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6"/>
  </bookViews>
  <sheets>
    <sheet name="Edges" sheetId="1" r:id="rId1"/>
    <sheet name="Vertices" sheetId="3" r:id="rId2"/>
    <sheet name="Do Not Delete" sheetId="4" state="hidden" r:id="rId3"/>
    <sheet name="Groups" sheetId="5" r:id="rId4"/>
    <sheet name="Group Vertices" sheetId="6" r:id="rId5"/>
    <sheet name="Misc" sheetId="2" state="hidden" r:id="rId6"/>
    <sheet name="Overall Metrics" sheetId="17"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externalReferences>
    <externalReference r:id="rId19"/>
  </externalReferences>
  <definedNames>
    <definedName name="BinDivisor" localSheetId="6">'Overall Metrics'!$X$2</definedName>
    <definedName name="BinDivisor">#REF!</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#REF!</definedName>
    <definedName name="DynamicFilterSourceColumnRange" localSheetId="6">'Overall Metrics'!$X$4</definedName>
    <definedName name="DynamicFilterSourceColumnRange">#REF!</definedName>
    <definedName name="DynamicFilterTableName" localSheetId="6">#REF!</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 localSheetId="6">'Overall Metrics'!$X$3</definedName>
    <definedName name="NoMetricMessage">#REF!</definedName>
    <definedName name="NotAvailable" localSheetId="6">'Overall Metrics'!$X$2</definedName>
    <definedName name="NotAvailable">#REF!</definedName>
    <definedName name="ValidBooleansDefaultFalse" localSheetId="6">'[1]Misc'!$G$2:$G$5</definedName>
    <definedName name="ValidBooleansDefaultFalse">'Misc'!$G$2:$G$5</definedName>
    <definedName name="ValidEdgeStyles" localSheetId="6">'[1]Misc'!$B$2:$B$11</definedName>
    <definedName name="ValidEdgeStyles">'Misc'!$B$2:$B$11</definedName>
    <definedName name="ValidEdgeVisibilities" localSheetId="6">'[1]Misc'!$A$2:$A$7</definedName>
    <definedName name="ValidEdgeVisibilities">'Misc'!$A$2:$A$7</definedName>
    <definedName name="ValidGroupShapes" localSheetId="6">'[1]Misc'!$E$2:$E$19</definedName>
    <definedName name="ValidGroupShapes">'Misc'!$E$2:$E$19</definedName>
    <definedName name="ValidGroupVisibilities" localSheetId="6">'[1]Misc'!$F$2:$F$7</definedName>
    <definedName name="ValidGroupVisibilities">'Misc'!$F$2:$F$7</definedName>
    <definedName name="ValidVertexLabelPositions" localSheetId="6">'[1]Misc'!$H$2:$H$21</definedName>
    <definedName name="ValidVertexLabelPositions">'Misc'!$H$2:$H$21</definedName>
    <definedName name="ValidVertexShapes" localSheetId="6">'[1]Misc'!$D$2:$D$23</definedName>
    <definedName name="ValidVertexShapes">'Misc'!$D$2:$D$23</definedName>
    <definedName name="ValidVertexVisibilities" localSheetId="6">'[1]Misc'!$C$2:$C$9</definedName>
    <definedName name="ValidVertexVisibilities">'Misc'!$C$2:$C$9</definedName>
  </definedNames>
  <calcPr calcId="152511"/>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<sst xmlns="http://schemas.openxmlformats.org/spreadsheetml/2006/main" count="8680" uniqueCount="2256">
  <si>
    <t>Visual Properties</t>
  </si>
  <si>
    <t>Labels</t>
  </si>
  <si>
    <t>Graph Metrics</t>
  </si>
  <si>
    <t>Do Not Edit</t>
  </si>
  <si>
    <t>Other Columns</t>
  </si>
  <si>
    <t>Vertex 1</t>
  </si>
  <si>
    <t>Vertex 2</t>
  </si>
  <si>
    <t>Color</t>
  </si>
  <si>
    <t>Width</t>
  </si>
  <si>
    <t>Style</t>
  </si>
  <si>
    <t>Opacity</t>
  </si>
  <si>
    <t>Visibility</t>
  </si>
  <si>
    <t>Label</t>
  </si>
  <si>
    <t>Label Text Color</t>
  </si>
  <si>
    <t>Label Font Size</t>
  </si>
  <si>
    <t>Reciprocated?</t>
  </si>
  <si>
    <t>ID</t>
  </si>
  <si>
    <t>Dynamic Filter</t>
  </si>
  <si>
    <t>Add Your Own Columns Here</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</si>
  <si>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</si>
  <si>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</si>
  <si>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</si>
  <si>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</si>
  <si>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</si>
  <si>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</si>
  <si>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</si>
  <si>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</si>
  <si>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</si>
  <si>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</si>
  <si>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</si>
  <si>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</si>
  <si>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Edge Weight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</si>
  <si>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</si>
  <si>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</si>
  <si>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</si>
  <si>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</si>
  <si>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</si>
  <si>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</si>
  <si>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</si>
  <si>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</si>
  <si>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</si>
  <si>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Media in Tweet</t>
  </si>
  <si>
    <t>Tweet Image File</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</si>
  <si>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</si>
  <si>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</si>
  <si>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</si>
  <si>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</si>
  <si>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</si>
  <si>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</si>
  <si>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</si>
  <si>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</si>
  <si>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</si>
  <si>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</si>
  <si>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</si>
  <si>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</si>
  <si>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</si>
  <si>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</si>
  <si>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</si>
  <si>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</si>
  <si>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</si>
  <si>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</si>
  <si>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</si>
  <si>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</si>
  <si>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</si>
  <si>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</si>
  <si>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</si>
  <si>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</si>
  <si>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1 Group</t>
  </si>
  <si>
    <t>Vertex 2 Group</t>
  </si>
  <si>
    <t>Date</t>
  </si>
  <si>
    <t>Time</t>
  </si>
  <si>
    <t>Sentiment List #1: List1 Word Count</t>
  </si>
  <si>
    <t>Sentiment List #1: List1 Word Percentage (%)</t>
  </si>
  <si>
    <t>Sentiment List #2: List2 Word Count</t>
  </si>
  <si>
    <t>Sentiment List #2: List2 Word Percentage (%)</t>
  </si>
  <si>
    <t>Sentiment List #3: List3 Word Count</t>
  </si>
  <si>
    <t>Sentiment List #3: List3 Word Percentage (%)</t>
  </si>
  <si>
    <t>Reply Count</t>
  </si>
  <si>
    <t>Quote Count</t>
  </si>
  <si>
    <t>Impression Count</t>
  </si>
  <si>
    <t>Mentions in Tweet</t>
  </si>
  <si>
    <t>Cashtags in Tweet</t>
  </si>
  <si>
    <t>Media Type</t>
  </si>
  <si>
    <t>Reply Settings</t>
  </si>
  <si>
    <t>Annotations</t>
  </si>
  <si>
    <t>Context Annotations</t>
  </si>
  <si>
    <t>Media Key</t>
  </si>
  <si>
    <t>Media Duration (ms)</t>
  </si>
  <si>
    <t>Media Height</t>
  </si>
  <si>
    <t>Media Width</t>
  </si>
  <si>
    <t>Media View Count</t>
  </si>
  <si>
    <t>Media Alt Text</t>
  </si>
  <si>
    <t>Media Variants</t>
  </si>
  <si>
    <t>Conversation ID</t>
  </si>
  <si>
    <t>In Reply To User ID</t>
  </si>
  <si>
    <t>In Reply To Tweet ID</t>
  </si>
  <si>
    <t>Author ID</t>
  </si>
  <si>
    <t>Withheld</t>
  </si>
  <si>
    <t>Poll ID</t>
  </si>
  <si>
    <t>Poll Options</t>
  </si>
  <si>
    <t>Poll Duration</t>
  </si>
  <si>
    <t>Poll End Date</t>
  </si>
  <si>
    <t>Poll Voting Status</t>
  </si>
  <si>
    <t>Relationship Date</t>
  </si>
  <si>
    <t>Text</t>
  </si>
  <si>
    <t>Media in Post</t>
  </si>
  <si>
    <t>Subreddit</t>
  </si>
  <si>
    <t>Author</t>
  </si>
  <si>
    <t>Fullname</t>
  </si>
  <si>
    <t>Permalink</t>
  </si>
  <si>
    <t>Created Date</t>
  </si>
  <si>
    <t>Edited Date</t>
  </si>
  <si>
    <t>Removed</t>
  </si>
  <si>
    <t>Spam</t>
  </si>
  <si>
    <t>Score</t>
  </si>
  <si>
    <t>Up Votes</t>
  </si>
  <si>
    <t>Down Votes</t>
  </si>
  <si>
    <t>Awards</t>
  </si>
  <si>
    <t>Is Upvoted</t>
  </si>
  <si>
    <t>Is Downvoted</t>
  </si>
  <si>
    <t>Post Title</t>
  </si>
  <si>
    <t>Not Safe For Work</t>
  </si>
  <si>
    <t>Upvote Ratio</t>
  </si>
  <si>
    <t>Parent ID</t>
  </si>
  <si>
    <t>Parent Fullname</t>
  </si>
  <si>
    <t>Unified Reddit ID</t>
  </si>
  <si>
    <t>Number of Replies</t>
  </si>
  <si>
    <t>Root</t>
  </si>
  <si>
    <t>Is Submitter</t>
  </si>
  <si>
    <t>Collapsed</t>
  </si>
  <si>
    <t>Collapsed Reason</t>
  </si>
  <si>
    <t>Score Hidden</t>
  </si>
  <si>
    <t>Depth</t>
  </si>
  <si>
    <t>jeremyl</t>
  </si>
  <si>
    <t>bessemervp</t>
  </si>
  <si>
    <t>Green</t>
  </si>
  <si>
    <t>Solid</t>
  </si>
  <si>
    <t>No</t>
  </si>
  <si>
    <t>Mentions</t>
  </si>
  <si>
    <t>Free "classes" on SaaS finance from my colleagues @BessemerVP: https://t.co/Q9NTbPBTFl</t>
  </si>
  <si>
    <t>bessemervp.team</t>
  </si>
  <si>
    <t>1699854535705887029</t>
  </si>
  <si>
    <t>en</t>
  </si>
  <si>
    <t/>
  </si>
  <si>
    <t>Twitter Web App</t>
  </si>
  <si>
    <t>18:37:57</t>
  </si>
  <si>
    <t>This reminds me of the surveys right after the 08/09 financial crisis which showed the average homeowner believed house values were way down almost everywhere except, of course, for their own house which was holding its value just fine. https://t.co/QiCUu8SLE3</t>
  </si>
  <si>
    <t>nytimes.com</t>
  </si>
  <si>
    <t>1701690629678411888</t>
  </si>
  <si>
    <t>20:13:56</t>
  </si>
  <si>
    <t>jeremyl_20</t>
  </si>
  <si>
    <t>popculture2000s</t>
  </si>
  <si>
    <t>Retweet</t>
  </si>
  <si>
    <t>RT @PopCulture2000s: EVERYTHING KEEPS COSTING MONEY https://t.co/KSjP65ttra</t>
  </si>
  <si>
    <t>1701831758478446966</t>
  </si>
  <si>
    <t>https://t.co/KSjP65ttra https://pbs.twimg.com/media/F5wMoS_WgAAwk_H.jpg</t>
  </si>
  <si>
    <t>1701248650020532481</t>
  </si>
  <si>
    <t>Twitter for iPhone</t>
  </si>
  <si>
    <t>05:34:44</t>
  </si>
  <si>
    <t>photo</t>
  </si>
  <si>
    <t>3_1701248645671059456</t>
  </si>
  <si>
    <t>949838868454563840</t>
  </si>
  <si>
    <t>ccooke6685</t>
  </si>
  <si>
    <t>jokozlowski</t>
  </si>
  <si>
    <t>Replies to</t>
  </si>
  <si>
    <t>@JoKozlowski @JeremyHL @NebraskaSower @effiedog @JaxImperator You're welcome, Jo!!</t>
  </si>
  <si>
    <t>1700324690235896007</t>
  </si>
  <si>
    <t>1698655074254238177</t>
  </si>
  <si>
    <t>01:46:11</t>
  </si>
  <si>
    <t>jokozlowski jeremyhl nebraskasower effiedog jaximperator</t>
  </si>
  <si>
    <t>1697848855734149625</t>
  </si>
  <si>
    <t>1048247004</t>
  </si>
  <si>
    <t>MentionsInReplyTo</t>
  </si>
  <si>
    <t>@JaxImperator @JeremyHL @NebraskaSower @effiedog @JoKozlowski You're welcome, Peter!!</t>
  </si>
  <si>
    <t>1700312740479349179</t>
  </si>
  <si>
    <t>1697858702852714986</t>
  </si>
  <si>
    <t>00:58:42</t>
  </si>
  <si>
    <t>jaximperator jeremyhl nebraskasower effiedog jokozlowski</t>
  </si>
  <si>
    <t>1169516073181466625</t>
  </si>
  <si>
    <t>effiedog</t>
  </si>
  <si>
    <t>Dash Dot Dot</t>
  </si>
  <si>
    <t>nebraskasower</t>
  </si>
  <si>
    <t>jaximperator</t>
  </si>
  <si>
    <t>jeremyhl</t>
  </si>
  <si>
    <t>louiselyons_</t>
  </si>
  <si>
    <t>antothenio</t>
  </si>
  <si>
    <t>_xD83D__xDE4F__xD83C__xDFFE_ Sending heartfelt prayers to the people of Morocco _xD83C__xDDF2__xD83C__xDDE6_ during these challenging times. Thinking especially of my friend @Antothenio</t>
  </si>
  <si>
    <t>1701128443491172724</t>
  </si>
  <si>
    <t>07:00:01</t>
  </si>
  <si>
    <t>jeremyl75946562</t>
  </si>
  <si>
    <t>g29cie3xev6p0yu</t>
  </si>
  <si>
    <t>@g29CIe3Xev6p0yU 认识吗</t>
  </si>
  <si>
    <t>1700922247224193190</t>
  </si>
  <si>
    <t>zh</t>
  </si>
  <si>
    <t>Twitter for Android</t>
  </si>
  <si>
    <t>1700921295486271905</t>
  </si>
  <si>
    <t>17:20:40</t>
  </si>
  <si>
    <t>1563976507697299456</t>
  </si>
  <si>
    <t>1441058411408355331</t>
  </si>
  <si>
    <t>jeremyl72410226</t>
  </si>
  <si>
    <t>youtube</t>
  </si>
  <si>
    <t>@Wiyo4 @YouTube 我喜欢李志的歌 哈哈</t>
  </si>
  <si>
    <t>1699831080671670294</t>
  </si>
  <si>
    <t>1699765509858926934</t>
  </si>
  <si>
    <t>17:04:45</t>
  </si>
  <si>
    <t>wiyo4 youtube</t>
  </si>
  <si>
    <t>2957206202</t>
  </si>
  <si>
    <t>1247485727929020418</t>
  </si>
  <si>
    <t>wiyo4</t>
  </si>
  <si>
    <t>xuemanzi8848</t>
  </si>
  <si>
    <t>@xuemanzi8848 红岩村 多么熟悉的名字</t>
  </si>
  <si>
    <t>1701027172398616769</t>
  </si>
  <si>
    <t>1700829933722022004</t>
  </si>
  <si>
    <t>00:17:36</t>
  </si>
  <si>
    <t>1487740096434831362</t>
  </si>
  <si>
    <t>whlamei</t>
  </si>
  <si>
    <t>@maoshen04 @WHlamei 牟其中？？？？？？？？</t>
  </si>
  <si>
    <t>1701817287047524441</t>
  </si>
  <si>
    <t>ja</t>
  </si>
  <si>
    <t>1701754819898220892</t>
  </si>
  <si>
    <t>04:37:14</t>
  </si>
  <si>
    <t>maoshen04 whlamei</t>
  </si>
  <si>
    <t>1154174763918606339</t>
  </si>
  <si>
    <t>maoshen04</t>
  </si>
  <si>
    <t>hfaxcjqrmpttxou</t>
  </si>
  <si>
    <t>有m吗 #南宁 https://t.co/skKLOimJIA</t>
  </si>
  <si>
    <t>南宁</t>
  </si>
  <si>
    <t>1701918018312474814</t>
  </si>
  <si>
    <t>https://t.co/skKLOimJIA https://t.co/skKLOimJIA https://t.co/skKLOimJIA https://pbs.twimg.com/media/F55tZ-ZaIAAWm2O.jpg https://pbs.twimg.com/media/F55tZ_kbMAAhfOG.jpg https://pbs.twimg.com/media/F55tZ-XacAAwz7r.jpg</t>
  </si>
  <si>
    <t>11:17:30</t>
  </si>
  <si>
    <t>photo photo photo</t>
  </si>
  <si>
    <t>3_1701918002206351360 3_1701918002520993792 3_1701918002197983232</t>
  </si>
  <si>
    <t>1305317178233806853</t>
  </si>
  <si>
    <t>jeremyl78036806</t>
  </si>
  <si>
    <t>nicoleevien_</t>
  </si>
  <si>
    <t>@nicoleevien_ Jolie petit luc _xD83E__xDD70__xD83D__xDE0D__xD83E__xDD70__xD83E__xDD70__xD83D__xDE3B_</t>
  </si>
  <si>
    <t>1700499315771236437</t>
  </si>
  <si>
    <t>fr</t>
  </si>
  <si>
    <t>1699929372713496867</t>
  </si>
  <si>
    <t>13:20:05</t>
  </si>
  <si>
    <t>1668283974488141826</t>
  </si>
  <si>
    <t>1539552955938095106</t>
  </si>
  <si>
    <t>rahsh33m</t>
  </si>
  <si>
    <t>Lil man’s face_xD83D__xDE2D__xD83E__xDD23__xD83E__xDD23__xD83E__xDD23_ https://t.co/HrUiIRr9Ml</t>
  </si>
  <si>
    <t>1700677897772470424</t>
  </si>
  <si>
    <t>https://t.co/HrUiIRr9Ml https://pbs.twimg.com/amplify_video_thumb/1700677845616300032/img/V-JLTTiL2E_q1jAL.jpg</t>
  </si>
  <si>
    <t>01:09:42</t>
  </si>
  <si>
    <t>video</t>
  </si>
  <si>
    <t>13_1700677845616300032</t>
  </si>
  <si>
    <t>1318365628466683904</t>
  </si>
  <si>
    <t>tdflakes</t>
  </si>
  <si>
    <t>Quote</t>
  </si>
  <si>
    <t>He lost a role model</t>
  </si>
  <si>
    <t>1700859335478333746</t>
  </si>
  <si>
    <t>13:10:40</t>
  </si>
  <si>
    <t>1374864906672091137</t>
  </si>
  <si>
    <t>jeremyl12866</t>
  </si>
  <si>
    <t>Have you bought your copy yet! https://t.co/92YxHZ9htU</t>
  </si>
  <si>
    <t>fb.watch</t>
  </si>
  <si>
    <t>1701985347515654565</t>
  </si>
  <si>
    <t>15:45:02</t>
  </si>
  <si>
    <t>1679937513316597762</t>
  </si>
  <si>
    <t>jeremyl21457481</t>
  </si>
  <si>
    <t>aocpresstwo</t>
  </si>
  <si>
    <t>@AOCpressTwo Not surprising for you to say. just surprised you ever were elected</t>
  </si>
  <si>
    <t>1699822139606786431</t>
  </si>
  <si>
    <t>1699466480335679854</t>
  </si>
  <si>
    <t>16:29:13</t>
  </si>
  <si>
    <t>1665347698210242567</t>
  </si>
  <si>
    <t>1513372724768301060</t>
  </si>
  <si>
    <t>@AOCpressTwo Then you get it and don’t worry about me.</t>
  </si>
  <si>
    <t>1699819950528139337</t>
  </si>
  <si>
    <t>1699486894155796768</t>
  </si>
  <si>
    <t>16:20:31</t>
  </si>
  <si>
    <t>49ers</t>
  </si>
  <si>
    <t>All the signings today _xD83C__xDFC8_✍️
Repost for the chance to win! 
No purchase necessary. Official rules: https://t.co/9R3WqqzRZm https://t.co/QHBcR3CVEm</t>
  </si>
  <si>
    <t>49rs.co</t>
  </si>
  <si>
    <t>1700328193222476182</t>
  </si>
  <si>
    <t>https://t.co/QHBcR3CVEm https://pbs.twimg.com/media/F5jHd_JaMAAQo1G.jpg</t>
  </si>
  <si>
    <t>Emplifi</t>
  </si>
  <si>
    <t>02:00:06</t>
  </si>
  <si>
    <t>3_1700328177313394688</t>
  </si>
  <si>
    <t>RT @49ers: All the signings today _xD83C__xDFC8_✍️
Repost for the chance to win! 
No purchase necessary. Official rules: https://t.co/9R3WqqzRZm https…</t>
  </si>
  <si>
    <t>1700634415138001269</t>
  </si>
  <si>
    <t>22:16:55</t>
  </si>
  <si>
    <t>elonmuskaoc</t>
  </si>
  <si>
    <t>@ElonMuskAOC Seek out the best advisers, financial planners and attorneys and not tell anyone that I know</t>
  </si>
  <si>
    <t>1699818881525952619</t>
  </si>
  <si>
    <t>1699809567046336708</t>
  </si>
  <si>
    <t>16:16:17</t>
  </si>
  <si>
    <t>1382209054999646212</t>
  </si>
  <si>
    <t>@ElonMuskAOC Everyone knows the mainstream media is full of shit.  Bought and paid for only</t>
  </si>
  <si>
    <t>1699821204163740032</t>
  </si>
  <si>
    <t>1699660577470394450</t>
  </si>
  <si>
    <t>16:25:30</t>
  </si>
  <si>
    <t>@ElonMuskAOC Yes</t>
  </si>
  <si>
    <t>1699820569196433560</t>
  </si>
  <si>
    <t>und</t>
  </si>
  <si>
    <t>1699698517965709765</t>
  </si>
  <si>
    <t>16:22:59</t>
  </si>
  <si>
    <t>nbcs49ers</t>
  </si>
  <si>
    <t>RT @NBCS49ers: Starting off the season with a W _xD83D__xDE24_ https://t.co/dGpw8wdi2k</t>
  </si>
  <si>
    <t>1701061370777879000</t>
  </si>
  <si>
    <t>https://t.co/dGpw8wdi2k https://pbs.twimg.com/media/F5sJj-xawAAGRPv.jpg</t>
  </si>
  <si>
    <t>1700964815139938757</t>
  </si>
  <si>
    <t>02:33:29</t>
  </si>
  <si>
    <t>3_1700963798012837888</t>
  </si>
  <si>
    <t>jl_chapman</t>
  </si>
  <si>
    <t>RT @JL_Chapman: Steelers fans: “49ers are going to find out.”
Also Steelers fans:
 https://t.co/r3iVbpfxK4</t>
  </si>
  <si>
    <t>1701061193686040691</t>
  </si>
  <si>
    <t>https://t.co/r3iVbpfxK4 https://pbs.twimg.com/media/F5rsW9zWkAA3rjG.jpg</t>
  </si>
  <si>
    <t>1700957494732849260</t>
  </si>
  <si>
    <t>02:32:47</t>
  </si>
  <si>
    <t>13_1700931649897164801</t>
  </si>
  <si>
    <t>Starting off the season with a W _xD83D__xDE24_ https://t.co/dGpw8wdi2k</t>
  </si>
  <si>
    <t>Twitter Media Studio</t>
  </si>
  <si>
    <t>20:09:48</t>
  </si>
  <si>
    <t>nassimretiere</t>
  </si>
  <si>
    <t>michaelbathurst</t>
  </si>
  <si>
    <t>https://t.co/qn0SL3egZS @JeremyHL @michaelbathurst</t>
  </si>
  <si>
    <t>x.com</t>
  </si>
  <si>
    <t>1701526775195374055</t>
  </si>
  <si>
    <t>qme</t>
  </si>
  <si>
    <t>09:22:50</t>
  </si>
  <si>
    <t>jeremyhl michaelbathurst</t>
  </si>
  <si>
    <t>MentionsInRetweet</t>
  </si>
  <si>
    <t>RT @NassimRETIERE: https://t.co/qn0SL3egZS @JeremyHL @michaelbathurst</t>
  </si>
  <si>
    <t>1701536127222419469</t>
  </si>
  <si>
    <t>10:00:00</t>
  </si>
  <si>
    <t>nassimretiere jeremyhl michaelbathurst</t>
  </si>
  <si>
    <t>jeremylammert79</t>
  </si>
  <si>
    <t>kattenbarge</t>
  </si>
  <si>
    <t>@The_RomaArmy @kattenbarge They want her number? Lady, we've got your number. Keep up the good work Chloe!</t>
  </si>
  <si>
    <t>1700960445954412819</t>
  </si>
  <si>
    <t>1700957517734707548</t>
  </si>
  <si>
    <t>19:52:27</t>
  </si>
  <si>
    <t>the_romaarmy kattenbarge</t>
  </si>
  <si>
    <t>1228645328313696257</t>
  </si>
  <si>
    <t>1238344108793417734</t>
  </si>
  <si>
    <t>the_romaarmy</t>
  </si>
  <si>
    <t>bitgetglobal</t>
  </si>
  <si>
    <t>_xD83D__xDD25_ #KCGI2023 is now kicking off on #Bitget!
_xD83D__xDE81_ Gear up to win 2,650,000 $USDT and even a helicopter!
⏰ Registration sets off: August 18, 2 AM (UTC)
➡️ Join now: https://t.co/JGkyveweUS https://t.co/7ZYZA9GQ1o</t>
  </si>
  <si>
    <t>bitget.com</t>
  </si>
  <si>
    <t>kcgi2023 bitget</t>
  </si>
  <si>
    <t>1692385833830027327</t>
  </si>
  <si>
    <t>https://t.co/7ZYZA9GQ1o https://pbs.twimg.com/ext_tw_video_thumb/1692381493501534208/pu/img/qo2j3f67wOOQxj1L.jpg</t>
  </si>
  <si>
    <t>04:00:00</t>
  </si>
  <si>
    <t>7_1692381493501534208</t>
  </si>
  <si>
    <t>1098881129057112064</t>
  </si>
  <si>
    <t>jeremyl2p41</t>
  </si>
  <si>
    <t>RT @bitgetglobal: _xD83D__xDD25_ #KCGI2023 is now kicking off on #Bitget!
_xD83D__xDE81_ Gear up to win 2,650,000 $USDT and even a helicopter!
⏰ Registration sets…</t>
  </si>
  <si>
    <t>1700197591005467092</t>
  </si>
  <si>
    <t>17:21:08</t>
  </si>
  <si>
    <t>1522372150920843265</t>
  </si>
  <si>
    <t>jiandevision</t>
  </si>
  <si>
    <t>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</si>
  <si>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hangzhou history culture scenery nature</t>
  </si>
  <si>
    <t>1700080794096853456</t>
  </si>
  <si>
    <t>https://t.co/eqEeAdh8PJ https://t.co/eqEeAdh8PJ https://t.co/eqEeAdh8PJ https://t.co/eqEeAdh8PJ https://pbs.twimg.com/media/F5fmO_GasAAYrA4.jpg https://pbs.twimg.com/media/F5fmPEFb0AAdxrB.jpg https://pbs.twimg.com/media/F5fmPsea8AADe6t.jpg https://pbs.twimg.com/media/F5fmPM2aYAA-Y1X.jpg</t>
  </si>
  <si>
    <t>09:37:01</t>
  </si>
  <si>
    <t>photo photo photo photo</t>
  </si>
  <si>
    <t>3_1700080529486557184 3_1700080530824613888 3_1700080541666832384 3_1700080533177524224</t>
  </si>
  <si>
    <t>1646039764645318658</t>
  </si>
  <si>
    <t>RT @JiandeVision: Shiling Village in #Jiande, #Hangzhou has a long #history, profound #culture and beautiful #scenery, attracting a large n…</t>
  </si>
  <si>
    <t>jiande hangzhou history culture scenery</t>
  </si>
  <si>
    <t>1700197649251709252</t>
  </si>
  <si>
    <t>17:21:22</t>
  </si>
  <si>
    <t>business</t>
  </si>
  <si>
    <t>RT @business: Top consulting firms from Bain to Deloitte are offering new grads stipends for their delayed start dates</t>
  </si>
  <si>
    <t>1701864805521641919</t>
  </si>
  <si>
    <t>1696541083809837196</t>
  </si>
  <si>
    <t>07:46:03</t>
  </si>
  <si>
    <t>savichtakes</t>
  </si>
  <si>
    <t>The original version of Kendrick Lamar’s ELEMENT. has leaked, including a scrapped verse in which he takes direct shots at the likes of Drake, Big Sean, French Montana, Meek Mill and Jay Electronica _xD83E__xDD2F_ https://t.co/z17z48U34C</t>
  </si>
  <si>
    <t>1699693770126590183</t>
  </si>
  <si>
    <t>https://t.co/z17z48U34C https://t.co/z17z48U34C https://pbs.twimg.com/media/F5aGZ5KXUAAQfZk.jpg https://pbs.twimg.com/amplify_video_thumb/1699693688790622208/img/eFeVv4uC4QV3Doxp.jpg</t>
  </si>
  <si>
    <t>07:59:08</t>
  </si>
  <si>
    <t>photo video</t>
  </si>
  <si>
    <t>3_1699693688778084352 13_1699693688790622208</t>
  </si>
  <si>
    <t>1392742201906667521</t>
  </si>
  <si>
    <t>jeremyl_7</t>
  </si>
  <si>
    <t>RT @SaVichTakes: The original version of Kendrick Lamar’s ELEMENT. has leaked, including a scrapped verse in which he takes direct shots at…</t>
  </si>
  <si>
    <t>1699759146600448462</t>
  </si>
  <si>
    <t>12:18:55</t>
  </si>
  <si>
    <t>RT @tdflakes: He lost a role model</t>
  </si>
  <si>
    <t>1701209537154261134</t>
  </si>
  <si>
    <t>12:22:15</t>
  </si>
  <si>
    <t>mimitheblogger</t>
  </si>
  <si>
    <t>RT @mimitheblogger: M huncho project &amp;gt;&amp;gt;&amp;gt;&amp;gt;
Perfect weather for it</t>
  </si>
  <si>
    <t>1701239484614943000</t>
  </si>
  <si>
    <t>1701194505582411961</t>
  </si>
  <si>
    <t>14:21:15</t>
  </si>
  <si>
    <t>RT @mimitheblogger: Mandy organised it</t>
  </si>
  <si>
    <t>1701678870221509074</t>
  </si>
  <si>
    <t>1701598423596879977</t>
  </si>
  <si>
    <t>1701612631587725513</t>
  </si>
  <si>
    <t>19:27:12</t>
  </si>
  <si>
    <t>kieronfish</t>
  </si>
  <si>
    <t>RT @kieronFish: He likkle man’d the whole U.K. _xD83D__xDE02_ https://t.co/EghZNYzovh</t>
  </si>
  <si>
    <t>1701678737362702488</t>
  </si>
  <si>
    <t>https://t.co/EghZNYzovh https://pbs.twimg.com/ext_tw_video_thumb/1701611202005352448/pu/img/cBVLuEF44szBP0_Y.jpg</t>
  </si>
  <si>
    <t>1701611380355539050</t>
  </si>
  <si>
    <t>19:26:41</t>
  </si>
  <si>
    <t>7_1701611202005352448</t>
  </si>
  <si>
    <t>crypto_qianxun</t>
  </si>
  <si>
    <t>有小伙伴问我从哪里搜索免费的电影资源，我统计了 18 个神仙影视网站，这些都是免费贼好用的，有需要的可以收藏一下
链接：https://t.co/nQGTNX9swU https://t.co/G9crC0lkzI</t>
  </si>
  <si>
    <t>feishu.cn</t>
  </si>
  <si>
    <t>1700363398964240587</t>
  </si>
  <si>
    <t>https://t.co/G9crC0lkzI https://pbs.twimg.com/media/F5ULPtaacAAp1Cp.jpg</t>
  </si>
  <si>
    <t>04:20:00</t>
  </si>
  <si>
    <t>3_1699276798918553600</t>
  </si>
  <si>
    <t>1387708368056328194</t>
  </si>
  <si>
    <t>jeremyl99313994</t>
  </si>
  <si>
    <t>RT @Crypto_QianXun: 有小伙伴问我从哪里搜索免费的电影资源，我统计了 18 个神仙影视网站，这些都是免费贼好用的，有需要的可以收藏一下
链接：https://t.co/nQGTNX9swU https://t.co/G9crC0lkzI</t>
  </si>
  <si>
    <t>1700661132401541449</t>
  </si>
  <si>
    <t>00:03:05</t>
  </si>
  <si>
    <t>1165437834573991936</t>
  </si>
  <si>
    <t>@Crypto_QianXun @readwise save thread</t>
  </si>
  <si>
    <t>1700661155788972392</t>
  </si>
  <si>
    <t>00:03:10</t>
  </si>
  <si>
    <t>crypto_qianxun readwise</t>
  </si>
  <si>
    <t>bearbig</t>
  </si>
  <si>
    <t>浏览器里输入地址后，发生了些什么。这图很详细了。
如果是accessibility（比如盲人用的screen reader），还要加一层东西。
现代互联网的确是伟大的工程。 https://t.co/KW57ySwlbl</t>
  </si>
  <si>
    <t>1701176990953553964</t>
  </si>
  <si>
    <t>https://t.co/KW57ySwlbl https://pbs.twimg.com/amplify_video_thumb/1701176933286039552/img/H3mD95i2arZ9_NFS.jpg</t>
  </si>
  <si>
    <t>10:12:55</t>
  </si>
  <si>
    <t>13_1701176933286039552</t>
  </si>
  <si>
    <t>RT @bearbig: 浏览器里输入地址后，发生了些什么。这图很详细了。
如果是accessibility（比如盲人用的screen reader），还要加一层东西。
现代互联网的确是伟大的工程。 https://t.co/KW57ySwlbl</t>
  </si>
  <si>
    <t>1701374922424246536</t>
  </si>
  <si>
    <t>23:19:26</t>
  </si>
  <si>
    <t>@bearbig @readwise save thread</t>
  </si>
  <si>
    <t>1701374939868381369</t>
  </si>
  <si>
    <t>23:19:30</t>
  </si>
  <si>
    <t>bearbig readwise</t>
  </si>
  <si>
    <t>259611996</t>
  </si>
  <si>
    <t>ftium4</t>
  </si>
  <si>
    <t>OpenAI 品牌指南
链接：https://t.co/FnbEms2Gc0
一共 108 页，对 Logo、颜色、图标、配图、可视化图表都想详细的说明。 https://t.co/1CxWNPqzbe</t>
  </si>
  <si>
    <t>area17.com</t>
  </si>
  <si>
    <t>1700867729769861368</t>
  </si>
  <si>
    <t>https://t.co/1CxWNPqzbe https://pbs.twimg.com/media/F5qyLhzaIAAUo3z.jpg</t>
  </si>
  <si>
    <t>13:44:02</t>
  </si>
  <si>
    <t>3_1700867720408080384</t>
  </si>
  <si>
    <t>RT @ftium4: OpenAI 品牌指南
链接：https://t.co/FnbEms2Gc0
一共 108 页，对 Logo、颜色、图标、配图、可视化图表都想详细的说明。 https://t.co/1CxWNPqzbe</t>
  </si>
  <si>
    <t>1700897262371852542</t>
  </si>
  <si>
    <t>15:41:23</t>
  </si>
  <si>
    <t>@ftium4 @readwise save thread</t>
  </si>
  <si>
    <t>1700897405762506833</t>
  </si>
  <si>
    <t>15:41:57</t>
  </si>
  <si>
    <t>ftium4 readwise</t>
  </si>
  <si>
    <t>377823810</t>
  </si>
  <si>
    <t>jackywine</t>
  </si>
  <si>
    <t>#Jacky用户体验
小组里很多同事不会 Figma？
快把这套教程介绍给他们
这里是
草帽老师figma 教学视频汇总
figma 新手教学，看完就能超过99%的设计师 https://t.co/Vj59DbAmGA https://t.co/Sjm4yrN8Sm</t>
  </si>
  <si>
    <t>craft.me</t>
  </si>
  <si>
    <t>jacky用户体验</t>
  </si>
  <si>
    <t>1699790975445749825</t>
  </si>
  <si>
    <t>https://t.co/Sjm4yrN8Sm https://pbs.twimg.com/media/F5be33FagAAep9F.jpg</t>
  </si>
  <si>
    <t>14:25:23</t>
  </si>
  <si>
    <t>3_1699790960639770624</t>
  </si>
  <si>
    <t>1404738934043602947</t>
  </si>
  <si>
    <t>RT @Jackywine: #Jacky用户体验
小组里很多同事不会 Figma？
快把这套教程介绍给他们
这里是
草帽老师figma 教学视频汇总
figma 新手教学，看完就能超过99%的设计师 https://t.co/Vj59DbAmGA https://t.co…</t>
  </si>
  <si>
    <t>1699999458120097874</t>
  </si>
  <si>
    <t>04:13:49</t>
  </si>
  <si>
    <t>@Jackywine @readwise save thread</t>
  </si>
  <si>
    <t>1699999483122340141</t>
  </si>
  <si>
    <t>04:13:55</t>
  </si>
  <si>
    <t>jackywine readwise</t>
  </si>
  <si>
    <t>1700305478230933733</t>
  </si>
  <si>
    <t>00:29:50</t>
  </si>
  <si>
    <t>gia917229015</t>
  </si>
  <si>
    <t>强烈推荐的一本书 《Efficient Linux at the Command Line》 好久没读过这么畅快的书了，shell 编程还是得系统学。</t>
  </si>
  <si>
    <t>1701280562789622205</t>
  </si>
  <si>
    <t>17:04:29</t>
  </si>
  <si>
    <t>1069823543658000385</t>
  </si>
  <si>
    <t>RT @GIA917229015: 强烈推荐的一本书 《Efficient Linux at the Command Line》 好久没读过这么畅快的书了，shell 编程还是得系统学。</t>
  </si>
  <si>
    <t>1701552209870086427</t>
  </si>
  <si>
    <t>11:03:54</t>
  </si>
  <si>
    <t>@GIA917229015 @readwise save thread</t>
  </si>
  <si>
    <t>1701552230913261834</t>
  </si>
  <si>
    <t>11:03:59</t>
  </si>
  <si>
    <t>gia917229015 readwise</t>
  </si>
  <si>
    <t>rickawsb</t>
  </si>
  <si>
    <t>@rickawsb @readwise save thread</t>
  </si>
  <si>
    <t>1699573789959606683</t>
  </si>
  <si>
    <t>1699553626602242514</t>
  </si>
  <si>
    <t>00:02:22</t>
  </si>
  <si>
    <t>rickawsb readwise</t>
  </si>
  <si>
    <t>930159781729333249</t>
  </si>
  <si>
    <t>1701374592928133497</t>
  </si>
  <si>
    <t>1701283706898620545</t>
  </si>
  <si>
    <t>23:18:07</t>
  </si>
  <si>
    <t>punk2898</t>
  </si>
  <si>
    <t>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</si>
  <si>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1701899811300200929</t>
  </si>
  <si>
    <t>https://t.co/uixZJG6WbE https://pbs.twimg.com/amplify_video_thumb/1701896852130668544/img/GNibFR_laP1BMkzI.jpg</t>
  </si>
  <si>
    <t>10:05:09</t>
  </si>
  <si>
    <t>13_1701896852130668544</t>
  </si>
  <si>
    <t>@punk2898 @readwise save thread</t>
  </si>
  <si>
    <t>1701927775815496085</t>
  </si>
  <si>
    <t>11:56:16</t>
  </si>
  <si>
    <t>punk2898 readwise</t>
  </si>
  <si>
    <t>2446896679</t>
  </si>
  <si>
    <t>RT @punk2898: 孟岩耗时 2 年制作的科普视频 _xD83D__xDCFA_
30 分钟讲述投资底层逻辑 _xD83D__xDCB0_
一口气看完、酣畅淋漓
这是我看过表现最好的投资科普视频
⬇️⬇️⬇️
站在此刻，我们不知道明天的走势，更无法预测遥远的 2030… https://t.co/uixZJG6…</t>
  </si>
  <si>
    <t>1701927608387313672</t>
  </si>
  <si>
    <t>11:55:36</t>
  </si>
  <si>
    <t>readwise</t>
  </si>
  <si>
    <t>Red</t>
  </si>
  <si>
    <t>@HiTw93 @readwise save thread</t>
  </si>
  <si>
    <t>1699939080648425550</t>
  </si>
  <si>
    <t>1699935076702695905</t>
  </si>
  <si>
    <t>00:13:54</t>
  </si>
  <si>
    <t>hitw93 readwise</t>
  </si>
  <si>
    <t>1521688129559613440</t>
  </si>
  <si>
    <t>1701804557729468781</t>
  </si>
  <si>
    <t>1701763438538801249</t>
  </si>
  <si>
    <t>03:46:39</t>
  </si>
  <si>
    <t>1700898552883577270</t>
  </si>
  <si>
    <t>1700848918328910038</t>
  </si>
  <si>
    <t>15:46:30</t>
  </si>
  <si>
    <t>@_akhaliq @readwise save thread</t>
  </si>
  <si>
    <t>1700003093323386901</t>
  </si>
  <si>
    <t>1699951105927512399</t>
  </si>
  <si>
    <t>04:28:16</t>
  </si>
  <si>
    <t>_akhaliq readwise</t>
  </si>
  <si>
    <t>2465283662</t>
  </si>
  <si>
    <t>@plantegg @readwise save thread</t>
  </si>
  <si>
    <t>1701552870439698704</t>
  </si>
  <si>
    <t>1701462752257343943</t>
  </si>
  <si>
    <t>11:06:32</t>
  </si>
  <si>
    <t>plantegg readwise</t>
  </si>
  <si>
    <t>39716430</t>
  </si>
  <si>
    <t>hitw93</t>
  </si>
  <si>
    <t>#工程师学习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https://t.co/eThdrgo7vN</t>
  </si>
  <si>
    <t>bookstash.io</t>
  </si>
  <si>
    <t>工程师学习</t>
  </si>
  <si>
    <t>https://t.co/eThdrgo7vN https://pbs.twimg.com/media/F5G7q12aQAAYAEp.jpg</t>
  </si>
  <si>
    <t>23:58:00</t>
  </si>
  <si>
    <t>3_1698344879179579392</t>
  </si>
  <si>
    <t>#工程师学习 Michael Simmons 的一篇「信息茧房自救指南」，非常适合当今信息过剩的情况下阅读，对于一个手机上没有抖音快手，没有新闻软件的人来说直呼好好好，从 #参考答案 看到。…</t>
  </si>
  <si>
    <t>工程师学习 参考答案</t>
  </si>
  <si>
    <t>12:29:17</t>
  </si>
  <si>
    <t>#工程师工具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</si>
  <si>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thorium.rocks</t>
  </si>
  <si>
    <t>工程师工具</t>
  </si>
  <si>
    <t>https://t.co/v0sO8gKcnH https://pbs.twimg.com/media/F53goAubwAAQLsB.jpg</t>
  </si>
  <si>
    <t>01:03:15</t>
  </si>
  <si>
    <t>3_1701763212210061312</t>
  </si>
  <si>
    <t>RT @HiTw93: #工程师学习 Michael Simmons 的一篇「信息茧房自救指南」，非常适合当今信息过剩的情况下阅读，对于一个手机上没有抖音快手，没有新闻软件的人来说直呼好好好，从 #参考答案 看到。…</t>
  </si>
  <si>
    <t>1700898524114899378</t>
  </si>
  <si>
    <t>15:46:23</t>
  </si>
  <si>
    <t>RT @HiTw93: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t>
  </si>
  <si>
    <t>1701804535071879594</t>
  </si>
  <si>
    <t>03:46:33</t>
  </si>
  <si>
    <t>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</si>
  <si>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1699939041670762534</t>
  </si>
  <si>
    <t>00:13:45</t>
  </si>
  <si>
    <t>_akhaliq</t>
  </si>
  <si>
    <t>RT @_akhaliq: GPT Can Solve Mathematical Problems Without a Calculator
paper page: https://t.co/PayMhNwodG
Previous studies have typicall…</t>
  </si>
  <si>
    <t>huggingface.co</t>
  </si>
  <si>
    <t>1700003060523942055</t>
  </si>
  <si>
    <t>04:28:08</t>
  </si>
  <si>
    <t>plantegg</t>
  </si>
  <si>
    <t>RT @plantegg: 既然如此我还是推荐你们看我的小抄吧，我自己每次都是先去小抄里find一下，没有的再去Google  https://t.co/A4L8U24KKR https://t.co/74CrkAiIvP</t>
  </si>
  <si>
    <t>github.io</t>
  </si>
  <si>
    <t>1701552851431096389</t>
  </si>
  <si>
    <t>https://t.co/74CrkAiIvP https://t.co/74CrkAiIvP https://pbs.twimg.com/media/F5zPEdWakAA3C9C.jpg https://pbs.twimg.com/media/F5zPTkJbUAAvp0p.jpg</t>
  </si>
  <si>
    <t>1701457822033268958</t>
  </si>
  <si>
    <t>11:06:27</t>
  </si>
  <si>
    <t>photo photo</t>
  </si>
  <si>
    <t>3_1701462434744274944 3_1701462694266884096</t>
  </si>
  <si>
    <t>He likkle man’d the whole U.K. _xD83D__xDE02_ https://t.co/EghZNYzovh</t>
  </si>
  <si>
    <t>14:59:02</t>
  </si>
  <si>
    <t>1187120970164776960</t>
  </si>
  <si>
    <t>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</si>
  <si>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https://t.co/CO0tRLrbS6 https://pbs.twimg.com/media/F5dwfAFWkAAHq_C.jpg</t>
  </si>
  <si>
    <t>01:01:41</t>
  </si>
  <si>
    <t>3_1699951062256357376</t>
  </si>
  <si>
    <t>instigator_h</t>
  </si>
  <si>
    <t>It’s all going off in Peckham _xD83D__xDE2C__xD83D__xDE2C__xD83D__xDE2C_ https://t.co/l4vJvqSN6p</t>
  </si>
  <si>
    <t>https://t.co/l4vJvqSN6p https://pbs.twimg.com/ext_tw_video_thumb/1701597764197699584/pu/img/6aFuGbTJU-ZLRVWJ.jpg</t>
  </si>
  <si>
    <t>14:07:33</t>
  </si>
  <si>
    <t>7_1701597764197699584</t>
  </si>
  <si>
    <t>1585238546742493184</t>
  </si>
  <si>
    <t>Mandy organised it</t>
  </si>
  <si>
    <t>15:04:00</t>
  </si>
  <si>
    <t>1637011093745704961</t>
  </si>
  <si>
    <t>M huncho project &amp;gt;&amp;gt;&amp;gt;&amp;gt;
Perfect weather for it</t>
  </si>
  <si>
    <t>11:22:31</t>
  </si>
  <si>
    <t>csyangchsh</t>
  </si>
  <si>
    <t>Yes</t>
  </si>
  <si>
    <t>既然如此我还是推荐你们看我的小抄吧，我自己每次都是先去小抄里find一下，没有的再去Google  https://t.co/A4L8U24KKR https://t.co/74CrkAiIvP</t>
  </si>
  <si>
    <t>05:08:26</t>
  </si>
  <si>
    <t>@plantegg 同感，我一般会把实用的命令记下来。如果很长，用的时候就直接复制粘贴。</t>
  </si>
  <si>
    <t>1701444487606907116</t>
  </si>
  <si>
    <t>04:48:50</t>
  </si>
  <si>
    <t>1701428490028118516</t>
  </si>
  <si>
    <t>jeremyl51357386</t>
  </si>
  <si>
    <t>RT @louiselyons_: _xD83D__xDE4F__xD83C__xDFFE_ Sending heartfelt prayers to the people of Morocco _xD83C__xDDF2__xD83C__xDDE6_ during these challenging times. Thinking especially of my friend…</t>
  </si>
  <si>
    <t>1701569642844574200</t>
  </si>
  <si>
    <t>12:13:11</t>
  </si>
  <si>
    <t>1030137633987547136</t>
  </si>
  <si>
    <t>elonmusk</t>
  </si>
  <si>
    <t>X’s @elonmusk has been called a dangerous anti-semite in his battle with the ADL. 
https://t.co/bCecx0oWvM</t>
  </si>
  <si>
    <t>cjr.org</t>
  </si>
  <si>
    <t>1699794080363057525</t>
  </si>
  <si>
    <t>14:37:44</t>
  </si>
  <si>
    <t>insidehighered</t>
  </si>
  <si>
    <t>“Some of the largest increases in socioeconomic diversity are happening at universities that don’t boast multibillion-dollar endowments” ( ⁦@insidehighered⁩ ). #highered  https://t.co/xpsObQAnsg</t>
  </si>
  <si>
    <t>insidehighered.com</t>
  </si>
  <si>
    <t>highered</t>
  </si>
  <si>
    <t>1701235412415520897</t>
  </si>
  <si>
    <t>14:05:04</t>
  </si>
  <si>
    <t>nytimes</t>
  </si>
  <si>
    <t>“The effort by Senators Richard Blumenthal and Josh Hawley is the latest move by lawmakers to catch up with the rapidly evolving technology.” ( ⁦@nytimes⁩ ). #smc2024 #SMProfs  https://t.co/nZ1hihxVL8</t>
  </si>
  <si>
    <t>smc2024 smprofs</t>
  </si>
  <si>
    <t>1700003930984402987</t>
  </si>
  <si>
    <t>04:31:36</t>
  </si>
  <si>
    <t>carscurious</t>
  </si>
  <si>
    <t>@CarsCurious I love the 1962 Thunderbird! _xD83D__xDC4F__xD83C__xDFFB_ https://t.co/eaW6xo4iwi</t>
  </si>
  <si>
    <t>1700568851082006845</t>
  </si>
  <si>
    <t>https://t.co/eaW6xo4iwi https://pbs.twimg.com/media/F5miWzlXAAEU-WV.jpg</t>
  </si>
  <si>
    <t>17:56:23</t>
  </si>
  <si>
    <t>3_1700568846996799489</t>
  </si>
  <si>
    <t>1520053071996407813</t>
  </si>
  <si>
    <t>ap</t>
  </si>
  <si>
    <t>“The list of do’s and don’ts seeks to prevent tech giants from cornering digital markets, with the threat of whopping fines or even forcing companies to sell of parts of their business to operate in Europe” ( @AP ). #smc2024  https://t.co/GcpsZkgQxY</t>
  </si>
  <si>
    <t>apnews.com</t>
  </si>
  <si>
    <t>smc2024</t>
  </si>
  <si>
    <t>1699770689467654396</t>
  </si>
  <si>
    <t>13:04:47</t>
  </si>
  <si>
    <t>“Google has exploited its dominance of the internet search market to lock out competitors and smother innovation, the Department of Justice charged Tuesday at the opening of the biggest U.S. antitrust trial in a quarter century” ( @AP ). #SMC2024 #SMProfs  https://t.co/aSMUaV2Vgc</t>
  </si>
  <si>
    <t>1701632276033892828</t>
  </si>
  <si>
    <t>16:22:04</t>
  </si>
  <si>
    <t>“The Boss is taking an unexpected breather and postponing his September shows, citing doctors’ orders” ( @AP ).  https://t.co/AYR4MXVvH4</t>
  </si>
  <si>
    <t>1699652692694442265</t>
  </si>
  <si>
    <t>05:15:54</t>
  </si>
  <si>
    <t>“A rare, powerful earthquake struck Morocco late Friday night, killing more than 800 people and damaging buildings from villages in the Atlas Mountains to the historic city of Marrakech” ( ⁦@AP⁩ ). #earthquake #Morocco  https://t.co/7CqziDjQh9</t>
  </si>
  <si>
    <t>earthquake morocco</t>
  </si>
  <si>
    <t>1700489580317749264</t>
  </si>
  <si>
    <t>12:41:24</t>
  </si>
  <si>
    <t>“In a video posted on Instagram, Kutcher and Kunis said they were sorry for the pain they may have caused with the letters, which were made public Friday” ( @AP ). #PRProfs  https://t.co/XtQmJv1k9y</t>
  </si>
  <si>
    <t>prprofs</t>
  </si>
  <si>
    <t>1701221517789384718</t>
  </si>
  <si>
    <t>13:09:51</t>
  </si>
  <si>
    <t>“Few people in Iowa knew about its status as a birthplace of OpenAI’s most advanced large language model, GPT-4, before a top Microsoft executive said in a speech it ‘was literally made next to cornfields west of Des Moines’” ( @AP ). #AI #smc2024 https://t.co/Cx0iaAMVW1</t>
  </si>
  <si>
    <t>ai smc2024</t>
  </si>
  <si>
    <t>1700851536769716690</t>
  </si>
  <si>
    <t>12:39:41</t>
  </si>
  <si>
    <t>“Los Angeles Superior Court Judge Charlaine F. Olmedo handed down the sentence to the 47-year-old Masterson after hearing statements from the women, and pleas for fairness from defense attorneys” ( @AP ). https://t.co/0ICISrD2o3</t>
  </si>
  <si>
    <t>1699963020158369823</t>
  </si>
  <si>
    <t>01:49:02</t>
  </si>
  <si>
    <t>“A government watchdog agency in France has ordered Apple to withdraw the iPhone 12 from the French market, saying it emits levels of electromagnetic radiation that are too high” ( ⁦@AP⁩ ). #tech #law https://t.co/jvCwxY16ot</t>
  </si>
  <si>
    <t>tech law</t>
  </si>
  <si>
    <t>1701949485838897595</t>
  </si>
  <si>
    <t>13:22:32</t>
  </si>
  <si>
    <t>“The maker of an extremely spicy tortilla chip sold as the One Chip Challenge and popularized as a dare on social media is pulling the product after the family of a Massachusetts teenager blamed the stunt for his death” ( @AP ). #SMProfs #smc2024  https://t.co/Et7Xj0Y3JM</t>
  </si>
  <si>
    <t>smprofs smc2024</t>
  </si>
  <si>
    <t>1700132550557958526</t>
  </si>
  <si>
    <t>13:02:41</t>
  </si>
  <si>
    <t>“AI-generated election ads on YouTube and other Google platforms that alter people or events must include a clear disclaimer located somewhere that users are likely to notice, the company said in an update this week…” ( @AP ). #AI #smc2024 #SMProfs  https://t.co/UISfBpbDTA</t>
  </si>
  <si>
    <t>ai smc2024 smprofs</t>
  </si>
  <si>
    <t>1700131911056699586</t>
  </si>
  <si>
    <t>13:00:09</t>
  </si>
  <si>
    <t>“A federal appeals court Friday significantly whittled down a lower court’s order curbing Biden administration communications with social media companies over controversial content about COVID-19 and other issues” ( ⁦@AP⁩ ). #smc2024 #SMProfs  https://t.co/U2fdMnzLCR</t>
  </si>
  <si>
    <t>1700490163137233267</t>
  </si>
  <si>
    <t>12:43:43</t>
  </si>
  <si>
    <t>“Nikki Menard left her job at the direction of school administrators this spring after a lesson on Alexander Hamilton turned to discussions of slavery and racism” (Nebraska Examiner).  https://t.co/pHgK6kiiV6</t>
  </si>
  <si>
    <t>nebraskaexaminer.com</t>
  </si>
  <si>
    <t>1701933692657061980</t>
  </si>
  <si>
    <t>12:19:47</t>
  </si>
  <si>
    <t>Beth Trejo: Social Media is Search https://t.co/Dfh6ZcH38R 
#smc2024 #SMProfs https://t.co/9S1sghSzkS</t>
  </si>
  <si>
    <t>linkedin.com</t>
  </si>
  <si>
    <t>1701407923035947298</t>
  </si>
  <si>
    <t>https://t.co/9S1sghSzkS https://pbs.twimg.com/media/F5ydfMwXYAAjcbv.jpg</t>
  </si>
  <si>
    <t>01:30:34</t>
  </si>
  <si>
    <t>3_1701407918564794368</t>
  </si>
  <si>
    <t>Steelers fans: “49ers are going to find out.”
Also Steelers fans:
 https://t.co/r3iVbpfxK4</t>
  </si>
  <si>
    <t>19:40:43</t>
  </si>
  <si>
    <t>EVERYTHING KEEPS COSTING MONEY https://t.co/KSjP65ttra</t>
  </si>
  <si>
    <t>14:57:40</t>
  </si>
  <si>
    <t>Top consulting firms from Bain to Deloitte are offering new grads stipends for their delayed start dates</t>
  </si>
  <si>
    <t>Twitter for Advertisers</t>
  </si>
  <si>
    <t>15:11:29</t>
  </si>
  <si>
    <t>Layout</t>
  </si>
  <si>
    <t>Vertex</t>
  </si>
  <si>
    <t>Subgraph</t>
  </si>
  <si>
    <t>Shape</t>
  </si>
  <si>
    <t>Size</t>
  </si>
  <si>
    <t>Image File</t>
  </si>
  <si>
    <t>Label Fill Color</t>
  </si>
  <si>
    <t>Label Position</t>
  </si>
  <si>
    <t>Tooltip</t>
  </si>
  <si>
    <t>Layout Order</t>
  </si>
  <si>
    <t>X</t>
  </si>
  <si>
    <t>Y</t>
  </si>
  <si>
    <t>Locked?</t>
  </si>
  <si>
    <t>Polar R</t>
  </si>
  <si>
    <t>Polar Angle</t>
  </si>
  <si>
    <t>Degree</t>
  </si>
  <si>
    <t>In-Degree</t>
  </si>
  <si>
    <t>Out-Degree</t>
  </si>
  <si>
    <t>Betweenness Centrality</t>
  </si>
  <si>
    <t>Closeness Centrality</t>
  </si>
  <si>
    <t>Eigenvector Centrality</t>
  </si>
  <si>
    <t>PageRank</t>
  </si>
  <si>
    <t>Clustering Coefficient</t>
  </si>
  <si>
    <t>Reciprocated Vertex Pair Ratio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</si>
  <si>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</si>
  <si>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</si>
  <si>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</si>
  <si>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</si>
  <si>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</si>
  <si>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</si>
  <si>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</si>
  <si>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</si>
  <si>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</si>
  <si>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</si>
  <si>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</si>
  <si>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</si>
  <si>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</si>
  <si>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</si>
  <si>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</si>
  <si>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</si>
  <si>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</si>
  <si>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</si>
  <si>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</si>
  <si>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</si>
  <si>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</si>
  <si>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</si>
  <si>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</si>
  <si>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</si>
  <si>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</si>
  <si>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</si>
  <si>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</si>
  <si>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</si>
  <si>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</si>
  <si>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</si>
  <si>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</si>
  <si>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Vertex Content Word Count</t>
  </si>
  <si>
    <t>Vertex Group</t>
  </si>
  <si>
    <t>User ID</t>
  </si>
  <si>
    <t>Verified Type</t>
  </si>
  <si>
    <t>Protected</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</si>
  <si>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</si>
  <si>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</si>
  <si>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</si>
  <si>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</si>
  <si>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</si>
  <si>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</si>
  <si>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</si>
  <si>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</si>
  <si>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</si>
  <si>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</si>
  <si>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</si>
  <si>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Created</t>
  </si>
  <si>
    <t>Number of Friends</t>
  </si>
  <si>
    <t>Link Karma</t>
  </si>
  <si>
    <t>Comment Karma</t>
  </si>
  <si>
    <t>Inbox Count</t>
  </si>
  <si>
    <t>Is Friend</t>
  </si>
  <si>
    <t>Profanity Filter</t>
  </si>
  <si>
    <t>Is Suspended</t>
  </si>
  <si>
    <t>Has Gold Subscription</t>
  </si>
  <si>
    <t>Is Verified</t>
  </si>
  <si>
    <t>Has New Modmail</t>
  </si>
  <si>
    <t>Full Name</t>
  </si>
  <si>
    <t>Over 18</t>
  </si>
  <si>
    <t>Is Gold</t>
  </si>
  <si>
    <t>Is Mod</t>
  </si>
  <si>
    <t>Icon Image</t>
  </si>
  <si>
    <t>Has Modmail</t>
  </si>
  <si>
    <t>Has Mail</t>
  </si>
  <si>
    <t>Has Subscribed</t>
  </si>
  <si>
    <t>Has Verified Email</t>
  </si>
  <si>
    <t>Favourites Count</t>
  </si>
  <si>
    <t>Media Count</t>
  </si>
  <si>
    <t>Is Blue Verified</t>
  </si>
  <si>
    <t>You Are Followed By</t>
  </si>
  <si>
    <t>You Are Following</t>
  </si>
  <si>
    <t>Can DM</t>
  </si>
  <si>
    <t>Can Media Tag</t>
  </si>
  <si>
    <t>Has Custom Timelines</t>
  </si>
  <si>
    <t>Is Translator</t>
  </si>
  <si>
    <t>Profile Interstitial Type</t>
  </si>
  <si>
    <t>Translator Type</t>
  </si>
  <si>
    <t>Want Retweets</t>
  </si>
  <si>
    <t>Image</t>
  </si>
  <si>
    <t>jeremyl
Free "classes" on SaaS finance
from my colleagues @BessemerVP:
https://t.co/Q9NTbPBTFl</t>
  </si>
  <si>
    <t>Jeremy Levine</t>
  </si>
  <si>
    <t>New York</t>
  </si>
  <si>
    <t>Open Twitter Page for This Person</t>
  </si>
  <si>
    <t>http://bessemervp.team/3Rcq10r https://www.nytimes.com/2023/09/12/opinion/crime-inflation-polls-economy.html</t>
  </si>
  <si>
    <t>bessemervp.team nytimes.com</t>
  </si>
  <si>
    <t>nytimes.com bessemervp.team</t>
  </si>
  <si>
    <t>believed,house  value,fine  saas,finance  way,down  right,08  house,holding  holding,value  down,everywhere  colleagues,bessemervp  surveys,right</t>
  </si>
  <si>
    <t>3674531</t>
  </si>
  <si>
    <t>bvp.com/team/jeremy-le…</t>
  </si>
  <si>
    <t>linkedin.com/in/jeremyl/</t>
  </si>
  <si>
    <t>none</t>
  </si>
  <si>
    <t xml:space="preserve">bessemervp
</t>
  </si>
  <si>
    <t>Bessemer</t>
  </si>
  <si>
    <t>For the entrepreneurs who want to build revolutions of their own.</t>
  </si>
  <si>
    <t>59166197</t>
  </si>
  <si>
    <t>bvp.com</t>
  </si>
  <si>
    <t>jeremyl_20
RT @PopCulture2000s: EVERYTHING
KEEPS COSTING MONEY https://t.co/KSjP65ttra</t>
  </si>
  <si>
    <t>JEREMY LONG</t>
  </si>
  <si>
    <t>https://t.co/CvHicC9teG snap//jlong.2043</t>
  </si>
  <si>
    <t>Sioux Falls, SD</t>
  </si>
  <si>
    <t>keeps costing everything popculture2000s money</t>
  </si>
  <si>
    <t>costing,money  popculture2000s,everything  keeps,costing  everything,keeps</t>
  </si>
  <si>
    <t>onlyfans.com/jeremylong30</t>
  </si>
  <si>
    <t>popculture2000s
EVERYTHING KEEPS COSTING MONEY
https://t.co/KSjP65ttra</t>
  </si>
  <si>
    <t>2000s</t>
  </si>
  <si>
    <t>i don’t think 2000s pop culture can ever be topped.</t>
  </si>
  <si>
    <t xml:space="preserve">personal account! </t>
  </si>
  <si>
    <t>keeps costing everything money</t>
  </si>
  <si>
    <t>costing,money  keeps,costing  everything,keeps</t>
  </si>
  <si>
    <t>2276698777</t>
  </si>
  <si>
    <t>regular</t>
  </si>
  <si>
    <t>ccooke6685
@JaxImperator @JeremyHL @NebraskaSower
@effiedog @JoKozlowski You're welcome,
Peter!!</t>
  </si>
  <si>
    <t>Christopher Cooke</t>
  </si>
  <si>
    <t>Student of spirituality, jazz music &amp; space exploration. 35+ years public radio host &amp; digital consultant. #StarTrek No DMs please.</t>
  </si>
  <si>
    <t>Midwest USA</t>
  </si>
  <si>
    <t>nebraskasower welcome effiedog jaximperator jokozlowski jo peter</t>
  </si>
  <si>
    <t>jo peter nebraskasower welcome effiedog jaximperator jokozlowski</t>
  </si>
  <si>
    <t>nebraskasower,effiedog  jeremyhl,nebraskasower  jokozlowski,jeremyhl  welcome,jo  welcome,peter  effiedog,jokozlowski  effiedog,jaximperator  jaximperator,welcome  jaximperator,jeremyhl  jokozlowski,welcome</t>
  </si>
  <si>
    <t>jokozlowski,jeremyhl  welcome,jo  welcome,peter  effiedog,jokozlowski  effiedog,jaximperator  jaximperator,welcome  jaximperator,jeremyhl  jokozlowski,welcome  nebraskasower,effiedog  jeremyhl,nebraskasower</t>
  </si>
  <si>
    <t>17035423</t>
  </si>
  <si>
    <t>instagram.com/christophercoo…</t>
  </si>
  <si>
    <t xml:space="preserve">jokozlowski
</t>
  </si>
  <si>
    <t>Jo Kozlowski</t>
  </si>
  <si>
    <t>Writer, Chicago native. Politically &amp; spiritually liberal. Married--finally, equal rights! Vegetarian. Owned by 7 cats and a Labrador Retriever.    No DMs.</t>
  </si>
  <si>
    <t xml:space="preserve">effiedog
</t>
  </si>
  <si>
    <t>Jesse Elin Browne</t>
  </si>
  <si>
    <t>News reporter 25 yrs. NBC, ABC - 
NYC,Chi, Dal, PHX, PHL   
Now I'm:    Jesse_Elin@Threads
and
JesseElinBrowne@Spoutible
      Elon made me do it.
#AFTRASAG</t>
  </si>
  <si>
    <t>USA</t>
  </si>
  <si>
    <t>1474274960</t>
  </si>
  <si>
    <t xml:space="preserve">nebraskasower
</t>
  </si>
  <si>
    <t>Robert Smith</t>
  </si>
  <si>
    <t>The Salvation of the State is Watchfulness in the Citizen. ~ Hartley Burr Alexander's words chiseled on the Nebraska State Capitol. Vote May 2, 2023 ⚖️</t>
  </si>
  <si>
    <t>Lincoln, Nebraska, USA</t>
  </si>
  <si>
    <t>69136365</t>
  </si>
  <si>
    <t xml:space="preserve">jaximperator
</t>
  </si>
  <si>
    <t>Peter Jackson II</t>
  </si>
  <si>
    <t>I can almost see America from my house! Retired broadcast journalist. Liberal. Followed by @TonyTodd54 @KirkAcevedo @HeatherThomasAF. #OnePride  NO DMs!!</t>
  </si>
  <si>
    <t>Sarnia, Ontario</t>
  </si>
  <si>
    <t>jeremyhl
“A federal appeals court Friday
significantly whittled down a lower
court’s order curbing Biden administration
communications with social media
companies over controversial content
about COVID-19 and other issues”
( ⁦@AP⁩ ). #smc2024 #SMProfs https://t.co/U2fdMnzLCR</t>
  </si>
  <si>
    <t>Professor Jeremy</t>
  </si>
  <si>
    <t>Jeremy Harris Lipschultz, PhD, Peter Kiewit Distinguished Professor @communo @unosmlre https://t.co/AXr4S186OC</t>
  </si>
  <si>
    <t>Omaha, Nebraska USA _xD83C__xDDFA__xD83C__xDDF8_</t>
  </si>
  <si>
    <t>https://apnews.com/article/6322aae981bdc5c9009babde4b31ab60 https://apnews.com/article/792cbae3e651d31028ae2c64f65f112c https://apnews.com/article/7382397136a285fd780f25f2fed16b9d https://apnews.com/article/b51b82309100f959c83a2a19536dc934 https://apnews.com/article/fd7a10eda44d0e3ddde582d4c7053eb6 https://apnews.com/article/f551fde98083d17a7e8d904f8be822c4 https://apnews.com/article/962edb0f437fe93a28724a5339176daf https://apnews.com/article/7f4a503009dede0dec0208c08d6b100b https://apnews.com/article/23a770d706f3d8a1d7b1a3e4fc8529e3 https://apnews.com/article/687b9a5b90ec18f207d36df3ba11aebd</t>
  </si>
  <si>
    <t>https://www.linkedin.com/pulse/beth-trejo-social-media-search-jeremy-harris-lipschultz https://apnews.com/article/44850c92a3d9480cc067474490140d88 https://apnews.com/article/687b9a5b90ec18f207d36df3ba11aebd https://apnews.com/article/7382397136a285fd780f25f2fed16b9d https://www.cjr.org/the_media_today/elon_musk_adl_antisemitism.php https://apnews.com/article/6322aae981bdc5c9009babde4b31ab60 https://apnews.com/article/fd7a10eda44d0e3ddde582d4c7053eb6 https://nebraskaexaminer.com/2023/09/13/it-ended-up-being-racist-teacher-describes-resignation-from-crete-public-schools/ https://apnews.com/article/7f4a503009dede0dec0208c08d6b100b https://apnews.com/article/792cbae3e651d31028ae2c64f65f112c</t>
  </si>
  <si>
    <t>apnews.com nytimes.com insidehighered.com cjr.org linkedin.com nebraskaexaminer.com</t>
  </si>
  <si>
    <t>smc2024 smprofs ai tech law prprofs earthquake morocco highered</t>
  </si>
  <si>
    <t>#smc2024,#smprofs  social,media  ap,#smc2024  #ai,#smc2024  ap,#ai  statements,women  menard,left  federal,appeals  watchdog,agency  villages,atlas</t>
  </si>
  <si>
    <t>12006842</t>
  </si>
  <si>
    <t>amzn.to/3DHnuRf</t>
  </si>
  <si>
    <t>amzn.to/2UaIVcv</t>
  </si>
  <si>
    <t>louiselyons_
_xD83D__xDE4F__xD83C__xDFFE_ Sending heartfelt prayers
to the people of Morocco _xD83C__xDDF2__xD83C__xDDE6_ during
these challenging times. Thinking
especially of my friend @Antothenio</t>
  </si>
  <si>
    <t>Louise Lyons</t>
  </si>
  <si>
    <t>Working to create a society where we can better understand ourselves and each other through facilitation, consultancy and advocacy.
Empathy|Curiosity|Integrity</t>
  </si>
  <si>
    <t>challenging friend especially prayers during sending morocco people times heartfelt</t>
  </si>
  <si>
    <t>people,morocco  thinking,especially  morocco,during  especially,friend  prayers,people  times,thinking  sending,heartfelt  during,challenging  friend,antothenio  challenging,times</t>
  </si>
  <si>
    <t>4106793329</t>
  </si>
  <si>
    <t xml:space="preserve">antothenio
</t>
  </si>
  <si>
    <t>António Ferreira</t>
  </si>
  <si>
    <t>‘Every four minutes, the Metropolitan Police service receives a call about a mental health concern.’ #Hearmespeak Get involved at https://t.co/2ytQaFKQBu</t>
  </si>
  <si>
    <t>Essex</t>
  </si>
  <si>
    <t>1111307993881165829</t>
  </si>
  <si>
    <t>linktr.ee/theantonio</t>
  </si>
  <si>
    <t>hearmespeak.co.uk/get-involved</t>
  </si>
  <si>
    <t>jeremyl75946562
@g29CIe3Xev6p0yU 认识吗</t>
  </si>
  <si>
    <t>jeremylim</t>
  </si>
  <si>
    <t>男 不搞基 头像随便放的</t>
  </si>
  <si>
    <t>认识吗 g29cie3xev6p0yu</t>
  </si>
  <si>
    <t>g29cie3xev6p0yu,认识吗</t>
  </si>
  <si>
    <t xml:space="preserve">g29cie3xev6p0yu
</t>
  </si>
  <si>
    <t>笨笨鲨^-^</t>
  </si>
  <si>
    <t>Malaysia♡｜不➕VX
IG:xyyyy.04 &amp; shark.0408
没流量不想更新｜ 看心情更新
不读私信 也不会回私信^ - ^</t>
  </si>
  <si>
    <t>jeremyl72410226
@maoshen04 @WHlamei 牟其中？？？？？？？？</t>
  </si>
  <si>
    <t>jeremy</t>
  </si>
  <si>
    <t>运动 时事新闻 音乐 不懂政治 喜欢聊社会问题</t>
  </si>
  <si>
    <t>youtube 牟其中 我喜欢李志的歌 wiyo4 红岩村 maoshen04 whlamei 哈哈 多么熟悉的名字 xuemanzi8848</t>
  </si>
  <si>
    <t>红岩村,多么熟悉的名字  maoshen04,whlamei  youtube,我喜欢李志的歌  wiyo4,youtube  我喜欢李志的歌,哈哈  xuemanzi8848,红岩村  whlamei,牟其中</t>
  </si>
  <si>
    <t xml:space="preserve">youtube
</t>
  </si>
  <si>
    <t>YouTube</t>
  </si>
  <si>
    <t>like and subscribe.</t>
  </si>
  <si>
    <t>San Bruno, CA</t>
  </si>
  <si>
    <t>10228272</t>
  </si>
  <si>
    <t>youtube.com</t>
  </si>
  <si>
    <t xml:space="preserve">wiyo4
</t>
  </si>
  <si>
    <t>Randy</t>
  </si>
  <si>
    <t>语言是人类的一座监狱</t>
  </si>
  <si>
    <t>ChiangMai</t>
  </si>
  <si>
    <t xml:space="preserve">xuemanzi8848
</t>
  </si>
  <si>
    <t>薛蛮子Charles</t>
  </si>
  <si>
    <t>中国天使投资第一人，由雷军李开复徐小平等十三个中国顶级投资大师组成的中国天使会创始主席。爱生活爱旅游，爱读书爱美食爱逛博物馆。爱说实话不装逼的老顽童。</t>
  </si>
  <si>
    <t>伦敦</t>
  </si>
  <si>
    <t xml:space="preserve">whlamei
</t>
  </si>
  <si>
    <t>_xD83C__xDDFA__xD83C__xDDF8_武汉辣妹_xD83C__xDDF9__xD83C__xDDFC_</t>
  </si>
  <si>
    <t>80后武汉辣妹子一枚❤️美国新公民、前副处级领导干部，中国容不下肉身，美国放不下灵魂，幽灵一样游荡在波士顿，政论电报群：https://t.co/kAF2AUDVji ❤️辣妹电报群 ❤️ https://t.co/IfuolRAO9q</t>
  </si>
  <si>
    <t>1349896547870367747</t>
  </si>
  <si>
    <t>https://t.co/kAF2AUDVji https://t.co/IfuolRAO9q</t>
  </si>
  <si>
    <t>https://t.me/maoshen950404 https://t.me/WHlamei</t>
  </si>
  <si>
    <t>t.me/maoshen950404 t.me/WHlamei</t>
  </si>
  <si>
    <t xml:space="preserve">maoshen04
</t>
  </si>
  <si>
    <t>貓神</t>
  </si>
  <si>
    <t>貓神官方唯一推號！油管「貓神看天下」博主，非民運、不站隊、拒絕加入任何組織，請貓神喝咖啡：https://t.co/ZliWzy3buM 油管：https://t.co/WbubXJ2HyM FB：maoshen，電報群：https://t.co/tBMbXQEknm</t>
  </si>
  <si>
    <t>Tampa, FL</t>
  </si>
  <si>
    <t>youtube.com/c/maoshen</t>
  </si>
  <si>
    <t>https://t.co/ZliWzy3buM https://t.co/WbubXJ2HyM https://t.co/tBMbXQEknm</t>
  </si>
  <si>
    <t>http://paypal.me/maoshen2020 https://www.youtube.com/c/maoshen https://t.me/maoshen950404</t>
  </si>
  <si>
    <t>paypal.me/maoshen2020 youtube.com/c/maoshen t.me/maoshen950404</t>
  </si>
  <si>
    <t>hfaxcjqrmpttxou
有m吗 #南宁 https://t.co/skKLOimJIA</t>
  </si>
  <si>
    <t>jeremyL</t>
  </si>
  <si>
    <t>不是同</t>
  </si>
  <si>
    <t>Guangxi</t>
  </si>
  <si>
    <t>#南宁 有m吗</t>
  </si>
  <si>
    <t>有m吗,#南宁</t>
  </si>
  <si>
    <t>jeremyl78036806
@nicoleevien_ Jolie petit luc _xD83E__xDD70__xD83D__xDE0D__xD83E__xDD70__xD83E__xDD70__xD83D__xDE3B_</t>
  </si>
  <si>
    <t>jeremy leclerc</t>
  </si>
  <si>
    <t>petit nicoleevien_ luc jolie</t>
  </si>
  <si>
    <t>petit,luc  nicoleevien_,jolie  jolie,petit</t>
  </si>
  <si>
    <t xml:space="preserve">nicoleevien_
</t>
  </si>
  <si>
    <t>nicoleevien _xD83C__xDF38_</t>
  </si>
  <si>
    <t>Hi, I'm Nicole and I'm here to share all positive emotions and horny mood with you. I sell content _xD83C__xDF38_</t>
  </si>
  <si>
    <t>onlyfans.com/action/trial/o…</t>
  </si>
  <si>
    <t>sensitive_media</t>
  </si>
  <si>
    <t>rahsh33m
Lil man’s face_xD83D__xDE2D__xD83E__xDD23__xD83E__xDD23__xD83E__xDD23_ https://t.co/HrUiIRr9Ml</t>
  </si>
  <si>
    <t>Mesh_xD83C__xDDE7__xD83C__xDDE7_</t>
  </si>
  <si>
    <t>Check media if you need some entertainment here and there _xD83D__xDE02_ I do not own any content * Dm for credits/removal</t>
  </si>
  <si>
    <t>s man lil face</t>
  </si>
  <si>
    <t>lil,man  man,s  s,face</t>
  </si>
  <si>
    <t>tdflakes
He lost a role model</t>
  </si>
  <si>
    <t>maybe: bishop</t>
  </si>
  <si>
    <t>yo. I’m fr sometimes. Packers/Bucks/Brewers</t>
  </si>
  <si>
    <t>Vice City 414</t>
  </si>
  <si>
    <t>model lost role</t>
  </si>
  <si>
    <t>lost,role  role,model</t>
  </si>
  <si>
    <t>jeremyl12866
Have you bought your copy yet!
https://t.co/92YxHZ9htU</t>
  </si>
  <si>
    <t>Jeremy Luberts</t>
  </si>
  <si>
    <t>Author of Murder on Elm Street - A true life crime story</t>
  </si>
  <si>
    <t>https://fb.watch/n1ACdhDEkQ/?mibextid=qC1gEa</t>
  </si>
  <si>
    <t>bought copy</t>
  </si>
  <si>
    <t>bought,copy</t>
  </si>
  <si>
    <t>jeremyl21457481
RT @JL_Chapman: Steelers fans:
“49ers are going to find out.”
Also Steelers fans: https://t.co/r3iVbpfxK4</t>
  </si>
  <si>
    <t>Jeremy lehman</t>
  </si>
  <si>
    <t>Open to any and everything then opinionated</t>
  </si>
  <si>
    <t>https://49rs.co/44LIh3Q</t>
  </si>
  <si>
    <t>elonmuskaoc out fans aocpresstwo 49ers steelers official elected anyone mainstream</t>
  </si>
  <si>
    <t>fans steelers elonmuskaoc out aocpresstwo 49ers official elected anyone mainstream</t>
  </si>
  <si>
    <t>steelers,fans  going,find  official,rules  surprised,elected  full,shit  elonmuskaoc,seek  aocpresstwo,surprising  tell,anyone  fans,49ers  necessary,official</t>
  </si>
  <si>
    <t xml:space="preserve">aocpresstwo
</t>
  </si>
  <si>
    <t>Alexandria Ocasio-Cortez Press Release (parody)</t>
  </si>
  <si>
    <t>I'm the boss - you mad bro? (parody)</t>
  </si>
  <si>
    <t>49ers
All the signings today _xD83C__xDFC8_✍️ Repost
for the chance to win! No purchase
necessary. Official rules: https://t.co/9R3WqqzRZm
https://t.co/QHBcR3CVEm</t>
  </si>
  <si>
    <t>San Francisco 49ers</t>
  </si>
  <si>
    <t>Official Twitter account of the 5x Super Bowl Champion San Francisco 49ers. _xD83C__xDDF2__xD83C__xDDFD_ @49ersESP _xD83C__xDFDF_ @LevisStadium _xD83E__xDD1D_ @49ersFoundation</t>
  </si>
  <si>
    <t>chance signings rules today official necessary win repost purchase</t>
  </si>
  <si>
    <t>necessary,official  repost,chance  today,repost  chance,win  purchase,necessary  signings,today  win,purchase  official,rules</t>
  </si>
  <si>
    <t>43403778</t>
  </si>
  <si>
    <t>49ers.com</t>
  </si>
  <si>
    <t xml:space="preserve">elonmuskaoc
</t>
  </si>
  <si>
    <t>Elon Musk (Parody)</t>
  </si>
  <si>
    <t>I’m on a quest to bang AOC on Mars. (Parody Account)</t>
  </si>
  <si>
    <t>Mars</t>
  </si>
  <si>
    <t>nbcs49ers
Starting off the season with a
W _xD83D__xDE24_ https://t.co/dGpw8wdi2k</t>
  </si>
  <si>
    <t>49ers on NBCS</t>
  </si>
  <si>
    <t>Your home for 49ers _xD83C__xDFC8_... find the 49ers on NBC Sports Bay Area.</t>
  </si>
  <si>
    <t>season starting w</t>
  </si>
  <si>
    <t>season,w  starting,season</t>
  </si>
  <si>
    <t>66758174</t>
  </si>
  <si>
    <t>nbcsportsbayarea.com/nfl/san-franci…</t>
  </si>
  <si>
    <t>jl_chapman
Steelers fans: “49ers are going
to find out.” Also Steelers fans:
https://t.co/r3iVbpfxK4</t>
  </si>
  <si>
    <t>John Chapman</t>
  </si>
  <si>
    <t>49ers Rush Podcast Creator/Host CEO Join us on https://t.co/PPEwgRjYzD Backup is @JohnChapman_</t>
  </si>
  <si>
    <t>Always bully bullies!</t>
  </si>
  <si>
    <t>steelers fans going out 49ers find</t>
  </si>
  <si>
    <t>steelers,fans  going,find  49ers,going  find,out  fans,49ers  out,steelers</t>
  </si>
  <si>
    <t>226221523</t>
  </si>
  <si>
    <t>the49ersrush.com/links</t>
  </si>
  <si>
    <t>The49ersRush.com</t>
  </si>
  <si>
    <t>nassimretiere
RT @NassimRETIERE: https://t.co/qn0SL3egZS
@JeremyHL @michaelbathurst</t>
  </si>
  <si>
    <t>Nassim RETIERE</t>
  </si>
  <si>
    <t>OU SONT MES MOMENTS ? : #Sporet 8ème Valeur Rép. / Activité sportive collectives mixtes  #Globall / Arctique Humanisé / Poèmes / Miroitements de photos 2Dessins</t>
  </si>
  <si>
    <t>Ville de Nantes</t>
  </si>
  <si>
    <t>https://x.com/ManonAubryFr/status/1701521575512608784?s=20</t>
  </si>
  <si>
    <t>michaelbathurst nassimretiere</t>
  </si>
  <si>
    <t>nassimretiere michaelbathurst</t>
  </si>
  <si>
    <t>jeremyhl,michaelbathurst  nassimretiere,jeremyhl</t>
  </si>
  <si>
    <t>nassimretiere,jeremyhl  jeremyhl,michaelbathurst</t>
  </si>
  <si>
    <t>466698672</t>
  </si>
  <si>
    <t xml:space="preserve">michaelbathurst
</t>
  </si>
  <si>
    <t>Michael George Bathurst #ShoutMGB</t>
  </si>
  <si>
    <t>The universe is in the process of a frequency shift. I believe in the power of positive thinking. I love following people who live to be creative &amp; kind.</t>
  </si>
  <si>
    <t>Toronto, Ontario, Canada</t>
  </si>
  <si>
    <t>37188645</t>
  </si>
  <si>
    <t>youtube.com/channel/UCIQ7Q…</t>
  </si>
  <si>
    <t>jeremylammert79
@The_RomaArmy @kattenbarge They
want her number? Lady, we've got
your number. Keep up the good work
Chloe!</t>
  </si>
  <si>
    <t>JeremyL</t>
  </si>
  <si>
    <t>Colorado Springs, CO</t>
  </si>
  <si>
    <t>number good work up kattenbarge lady want keep the_romaarmy we've</t>
  </si>
  <si>
    <t>want,number  up,good  kattenbarge,want  the_romaarmy,kattenbarge  work,chloe  good,work  number,keep  we've,number  keep,up  lady,we've</t>
  </si>
  <si>
    <t xml:space="preserve">kattenbarge
</t>
  </si>
  <si>
    <t>Kat Tenbarge</t>
  </si>
  <si>
    <t>Tech and culture reporter @nbcnews</t>
  </si>
  <si>
    <t>Brooklyn, NY</t>
  </si>
  <si>
    <t>429485301</t>
  </si>
  <si>
    <t>nbcnews.com/author/kat-ten…</t>
  </si>
  <si>
    <t xml:space="preserve">the_romaarmy
</t>
  </si>
  <si>
    <t>Chloe Roma</t>
  </si>
  <si>
    <t>Top Mens Rights Advocate| Ant- Manospere|  Anti- Red Pill | Trans Inclusive | Pro LGBTQ | Pro- Choice For Men AND Women| Podcast: Roma’s Man Cave |</t>
  </si>
  <si>
    <t>Calgary, Alberta</t>
  </si>
  <si>
    <t>linktr.ee/Romaarmy</t>
  </si>
  <si>
    <t>bitgetglobal
_xD83D__xDD25_ #KCGI2023 is now kicking off
on #Bitget! _xD83D__xDE81_ Gear up to win 2,650,000
$USDT and even a helicopter! ⏰
Registration sets off: August 18,
2 AM (UTC) ➡️ Join now: https://t.co/JGkyveweUS
https://t.co/7ZYZA9GQ1o</t>
  </si>
  <si>
    <t>Bitget</t>
  </si>
  <si>
    <t>The top crypto derivatives and largest copy trading platform
Official crypto partner of #Messi
Support @BitgetSupport</t>
  </si>
  <si>
    <t>Global</t>
  </si>
  <si>
    <t>https://www.bitget.com/events/kcgi?utmSource=Twitter</t>
  </si>
  <si>
    <t>2 now sets registration 650 even usdt august #kcgi2023 up</t>
  </si>
  <si>
    <t>2,utc  utc,join  helicopter,registration  up,win  kicking,#bitget  usdt,even  #kcgi2023,now  18,2  2,650  registration,sets</t>
  </si>
  <si>
    <t>linktr.ee/bitgettwitter</t>
  </si>
  <si>
    <t>jeremyl2p41
RT @JiandeVision: Shiling Village
in #Jiande, #Hangzhou has a long
#history, profound #culture and
beautiful #scenery, attracting
a large n…</t>
  </si>
  <si>
    <t>Noys_xD83D__xDE1D_</t>
  </si>
  <si>
    <t>Man on mission / A R K I</t>
  </si>
  <si>
    <t>Estados Unidos</t>
  </si>
  <si>
    <t>jiande hangzhou history culture scenery kcgi2023 bitget</t>
  </si>
  <si>
    <t>kicking #scenery bitgetglobal village large start attracting sets stipends profound</t>
  </si>
  <si>
    <t>large,n  beautiful,#scenery  new,grads  grads,stipends  delayed,start  bitgetglobal,#kcgi2023  #scenery,attracting  #hangzhou,long  helicopter,registration  up,win</t>
  </si>
  <si>
    <t>jiandevision
Shiling Village in #Jiande, #Hangzhou
has a long #history, profound #culture
and beautiful #scenery, attracting
a large number of artists to come
here to sketch. The village allows
urbanites to experience strong
rural culture and is a good place
to relax and enjoy #nature. https://t.co/eqEeAdh8PJ</t>
  </si>
  <si>
    <t>Jiande Vision</t>
  </si>
  <si>
    <t>Jiande is located in Hangzhou, Zhejiang Province, China. Let us show you a vibrant, livable city with rich and profound cultural heritage.</t>
  </si>
  <si>
    <t>Hangzhou</t>
  </si>
  <si>
    <t>village #scenery allows good #nature experience here large attracting place</t>
  </si>
  <si>
    <t>beautiful,#scenery  village,allows  #scenery,attracting  number,artists  rural,culture  #hangzhou,long  here,sketch  long,#history  place,relax  relax,enjoy</t>
  </si>
  <si>
    <t>business
Top consulting firms from Bain
to Deloitte are offering new grads
stipends for their delayed start
dates</t>
  </si>
  <si>
    <t>Bloomberg</t>
  </si>
  <si>
    <t>The first word in business news. 
Newsletters: https://t.co/nWaCxHTiks 
Podcasts: https://t.co/096e9xMJF7 
India Edition Newsletter: https://t.co/jNHJbY6vqN</t>
  </si>
  <si>
    <t>New York and the World</t>
  </si>
  <si>
    <t>deloitte dates bain new consulting grads top start stipends offering</t>
  </si>
  <si>
    <t>deloitte,offering  new,grads  grads,stipends  offering,new  consulting,firms  bain,deloitte  start,dates  top,consulting  delayed,start  stipends,delayed</t>
  </si>
  <si>
    <t>34713362</t>
  </si>
  <si>
    <t>bloomberg.com</t>
  </si>
  <si>
    <t>https://t.co/nWaCxHTiks https://t.co/096e9xMJF7 https://t.co/jNHJbY6vqN</t>
  </si>
  <si>
    <t>http://bloom.bg/newsletters http://bloom.bg/podcasts http://bloom.bg/45jP1GP</t>
  </si>
  <si>
    <t>bloom.bg/newsletters bloom.bg/podcasts bloom.bg/45jP1GP</t>
  </si>
  <si>
    <t>savichtakes
The original version of Kendrick
Lamar’s ELEMENT. has leaked, including
a scrapped verse in which he takes
direct shots at the likes of Drake,
Big Sean, French Montana, Meek
Mill and Jay Electronica _xD83E__xDD2F_ https://t.co/z17z48U34C</t>
  </si>
  <si>
    <t>RRT _xD83E__xDDCA_</t>
  </si>
  <si>
    <t>Dr. Strange | Hip-hop content ⭐️ | @SaVichPriv</t>
  </si>
  <si>
    <t>turn on noti’s _xD83D__xDD14_</t>
  </si>
  <si>
    <t>s leaked jay verse scrapped french version drake montana shots</t>
  </si>
  <si>
    <t>original,version  mill,jay  element,leaked  including,scrapped  drake,big  version,kendrick  s,element  meek,mill  kendrick,lamar  shots,likes</t>
  </si>
  <si>
    <t>jeremyl_7
RT @kieronFish: He likkle man’d
the whole U.K. _xD83D__xDE02_ https://t.co/EghZNYzovh</t>
  </si>
  <si>
    <t>J.L⚡️</t>
  </si>
  <si>
    <t>London, England</t>
  </si>
  <si>
    <t>gt mimitheblogger kendrick man shots tdflakes weather model d savichtakes</t>
  </si>
  <si>
    <t>gt,gt  likkle,man  original,version  kieronfish,likkle  element,leaked  u,k  including,scrapped  mimitheblogger,m  version,kendrick  mandy,organised</t>
  </si>
  <si>
    <t>115235401</t>
  </si>
  <si>
    <t>mimitheblogger
Mandy organised it</t>
  </si>
  <si>
    <t>Mimi the music blogger 2.0</t>
  </si>
  <si>
    <t>OFFICIAL ACCOUNT | Content creator &amp; Music tastemaker | ig: mimithemusicblogger | tiktok: mimithemusicblogger | email: mimithemusicblogger@gmail.com</t>
  </si>
  <si>
    <t>gt huncho organised perfect project mandy weather m</t>
  </si>
  <si>
    <t>gt,gt  m,huncho  mandy,organised  gt,perfect  huncho,project  project,gt  perfect,weather</t>
  </si>
  <si>
    <t>linktr.ee/mimithemusicbl…</t>
  </si>
  <si>
    <t>kieronfish
He likkle man’d the whole U.K.
_xD83D__xDE02_ https://t.co/EghZNYzovh</t>
  </si>
  <si>
    <t>WstLdnsMayor_</t>
  </si>
  <si>
    <t>_xD83C__xDDE6__xD83C__xDDEC__xD83C__xDDEF__xD83C__xDDF2_ “You can be anything you want in life, just don’t be a c*nt. Nobody likes a c*nt”</t>
  </si>
  <si>
    <t>man d k likkle u whole</t>
  </si>
  <si>
    <t>whole,u  man,d  likkle,man  u,k  d,whole</t>
  </si>
  <si>
    <t>crypto_qianxun
有小伙伴问我从哪里搜索免费的电影资源，我统计了 18 个神仙影视网站，这些都是免费贼好用的，有需要的可以收藏一下
链接：https://t.co/nQGTNX9swU https://t.co/G9crC0lkzI</t>
  </si>
  <si>
    <t>千寻</t>
  </si>
  <si>
    <t>_xD83D__xDC67_ 97 年小姐姐 / 盐以律己，甜以待人 / 独立洒脱
_xD83C__xDF38_ 实用工具分享 / 持续学习 / 干货分享
_xD83D__xDCBB_ All in AI 普通人的最大机遇</t>
  </si>
  <si>
    <t>玩物不丧志实验室 _xD83D__xDC49_</t>
  </si>
  <si>
    <t>https://t8ipkovzsy.feishu.cn/sheets/ZaaVs8vDPhkcrWttYTXc9bgmnhh?from=from_copylink</t>
  </si>
  <si>
    <t>有小伙伴问我从哪里搜索免费的电影资源 这些都是免费贼好用的 有需要的可以收藏一下 https nqgtnx9swu t 个神仙影视网站 我统计了 链接 18</t>
  </si>
  <si>
    <t>t,co  18,个神仙影视网站  有小伙伴问我从哪里搜索免费的电影资源,我统计了  这些都是免费贼好用的,有需要的可以收藏一下  有需要的可以收藏一下,链接  co,nqgtnx9swu  https,t  个神仙影视网站,这些都是免费贼好用的  我统计了,18  链接,https</t>
  </si>
  <si>
    <t>youtube.com/@wwbsz</t>
  </si>
  <si>
    <t>jeremyl99313994
RT @HiTw93: #工程师学习 喜欢看书的朋友可以去看看这个站点「BookStash」，将国外一些著名人物推荐的书籍用3分钟很简单的方式来了解，觉得不错再去买书看，大部分书看了看都是经典书籍同时也有中文版本。
_xD83E__xDD16_️https://t.co/XUGnMdZ7FK https…</t>
  </si>
  <si>
    <t>jeremyliu</t>
  </si>
  <si>
    <t>https://plantegg.github.io/2017/01/01/top_linux_commands/ https://huggingface.co/papers/2309.03241 https://bookstash.io/ https://www.craft.me/s/dbj8QJkuZ5ruTB https://archive.area17.com/directory/2023_openai/36_brand-guidelines.pdf https://t8ipkovzsy.feishu.cn/sheets/ZaaVs8vDPhkcrWttYTXc9bgmnhh?from=from_copylink</t>
  </si>
  <si>
    <t>github.io huggingface.co bookstash.io craft.me area17.com feishu.cn</t>
  </si>
  <si>
    <t>工程师学习 工程师工具 参考答案 jacky用户体验</t>
  </si>
  <si>
    <t>readwise thread save hitw93 https jackywine t co figma crypto_qianxun</t>
  </si>
  <si>
    <t>hitw93 https readwise thread save figma jackywine t co crypto_qianxun</t>
  </si>
  <si>
    <t>readwise,save  save,thread  https,t  hitw93,readwise  t,co  链接,https  rickawsb,readwise  hitw93,#工程师学习  jackywine,readwise  岁的美国小伙子,很牛逼</t>
  </si>
  <si>
    <t>bearbig
浏览器里输入地址后，发生了些什么。这图很详细了。 如果是accessibility（比如盲人用的screen
reader），还要加一层东西。 现代互联网的确是伟大的工程。
https://t.co/KW57ySwlbl</t>
  </si>
  <si>
    <t>Bear Liu</t>
  </si>
  <si>
    <t>Product Designer @Xero, 10 year+ podcaster and author of 2 books. Love things around design, tech and productivity. Exploring AI as everyone else.</t>
  </si>
  <si>
    <t>Check here _xD83D__xDC47_</t>
  </si>
  <si>
    <t>比如盲人用的screen 浏览器里输入地址后 如果是accessibility 发生了些什么 reader 现代互联网的确是伟大的工程 还要加一层东西 这图很详细了</t>
  </si>
  <si>
    <t>这图很详细了,如果是accessibility  还要加一层东西,现代互联网的确是伟大的工程  浏览器里输入地址后,发生了些什么  比如盲人用的screen,reader  发生了些什么,这图很详细了  如果是accessibility,比如盲人用的screen  reader,还要加一层东西</t>
  </si>
  <si>
    <t>bearliu.substack.com</t>
  </si>
  <si>
    <t>ftium4
OpenAI 品牌指南 链接：https://t.co/FnbEms2Gc0
一共 108 页，对 Logo、颜色、图标、配图、可视化图表都想详细的说明。
https://t.co/1CxWNPqzbe</t>
  </si>
  <si>
    <t>龙爪槐守望者</t>
  </si>
  <si>
    <t>想做独立开发者的设计师，做任何事情都只是因为兴趣罢了</t>
  </si>
  <si>
    <t>https://archive.area17.com/directory/2023_openai/36_brand-guidelines.pdf</t>
  </si>
  <si>
    <t>openai 品牌指南 logo 配图 108 fnbems2gc0 颜色 https t 图标</t>
  </si>
  <si>
    <t>logo,颜色  fnbems2gc0,一共  图标,配图  t,co  品牌指南,链接  颜色,图标  108,页  co,fnbems2gc0  页,对  openai,品牌指南</t>
  </si>
  <si>
    <t>ftium4.com</t>
  </si>
  <si>
    <t>jackywine
#Jacky用户体验 小组里很多同事不会 Figma？ 快把这套教程介绍给他们
这里是 草帽老师figma 教学视频汇总 figma 新手教学，看完就能超过99%的设计师
https://t.co/Vj59DbAmGA https://t.co/Sjm4yrN8Sm</t>
  </si>
  <si>
    <t>Jackywine</t>
  </si>
  <si>
    <t>产品设计师 | AI 纯小白 |热心网民|老婆的菜猪_xD83D__xDC37_
fully get involved__________________________
#Jacky随想  
#Jacky用户体验  
#JackyAIGC
#JackyCarUX
https://t.co/3iazbgJtUk</t>
  </si>
  <si>
    <t>目测是地球</t>
  </si>
  <si>
    <t>https://www.craft.me/s/dbj8QJkuZ5ruTB</t>
  </si>
  <si>
    <t>figma 这里是 快把这套教程介绍给他们 看完就能超过99 的设计师 草帽老师figma 新手教学 小组里很多同事不会 #jacky用户体验 教学视频汇总</t>
  </si>
  <si>
    <t>教学视频汇总,figma  看完就能超过99,的设计师  figma,新手教学  草帽老师figma,教学视频汇总  新手教学,看完就能超过99  这里是,草帽老师figma  快把这套教程介绍给他们,这里是  小组里很多同事不会,figma  #jacky用户体验,小组里很多同事不会  figma,快把这套教程介绍给他们</t>
  </si>
  <si>
    <t>figma.com/@jackywine1</t>
  </si>
  <si>
    <t>typefully.com/Jackywine</t>
  </si>
  <si>
    <t>gia917229015
强烈推荐的一本书 《Efficient Linux at the
Command Line》 好久没读过这么畅快的书了，shell
编程还是得系统学。</t>
  </si>
  <si>
    <t>咸糖_xD83C__xDFAF_</t>
  </si>
  <si>
    <t>喜欢 Neovim 并且对币圈有偏见的人</t>
  </si>
  <si>
    <t>Singapore</t>
  </si>
  <si>
    <t>shell efficient 好久没读过这么畅快的书了 command line 编程还是得系统学 强烈推荐的一本书 linux</t>
  </si>
  <si>
    <t>shell,编程还是得系统学  好久没读过这么畅快的书了,shell  line,好久没读过这么畅快的书了  command,line  linux,command  efficient,linux  强烈推荐的一本书,efficient</t>
  </si>
  <si>
    <t>vim0.com</t>
  </si>
  <si>
    <t xml:space="preserve">rickawsb
</t>
  </si>
  <si>
    <t>rick awsb ($people, $people)</t>
  </si>
  <si>
    <t>瞎读书，乱解释，买啥亏啥，宏观小学生，政经评论外卖员，正在ai中慢慢迷失自我，crypto holder, defi farmer, not financial advice 非投资建议</t>
  </si>
  <si>
    <t>no where</t>
  </si>
  <si>
    <t>punk2898
孟岩耗时 2 年制作的科普视频 _xD83D__xDCFA_ 30 分钟讲述投资底层逻辑
_xD83D__xDCB0_ 一口气看完、酣畅淋漓 这是我看过表现最好的投资科普视频
⬇️⬇️⬇️ 站在此刻，我们不知道明天的走势，更无法预测遥远的
2030… https://t.co/uixZJG6WbE</t>
  </si>
  <si>
    <t>2898 _xD83D__xDE4C__xD83D__xDC8E_</t>
  </si>
  <si>
    <t>_xD83D__xDDBC_️  Punk2898 HODL 
✍️【2898 的创业思考】连载中，都是真金白银换回来的干货
_xD83C__xDF0A_ 敬畏周期的力量，等待 FED 降息
#bitcoin #ethereum _xD83E__xDD87_ _xD83D__xDD0A_</t>
  </si>
  <si>
    <t>2898 Club _xD83D__xDC49_</t>
  </si>
  <si>
    <t>30 年制作的科普视频 更无法预测遥远的 分钟讲述投资底层逻辑 一口气看完 2030 2 我们不知道明天的走势 孟岩耗时 酣畅淋漓</t>
  </si>
  <si>
    <t>我们不知道明天的走势,更无法预测遥远的  一口气看完,酣畅淋漓  酣畅淋漓,这是我看过表现最好的投资科普视频  分钟讲述投资底层逻辑,一口气看完  年制作的科普视频,30  孟岩耗时,2  更无法预测遥远的,2030  站在此刻,我们不知道明天的走势  30,分钟讲述投资底层逻辑  2,年制作的科普视频</t>
  </si>
  <si>
    <t>t.me/punk2898_club</t>
  </si>
  <si>
    <t xml:space="preserve">readwise
</t>
  </si>
  <si>
    <t>Readwise</t>
  </si>
  <si>
    <t>Save your best highlights from Kindle, Twitter, Pocket, Instapaper, iBooks, and 30+ others.
Then revisit, search, organize, and export them seamlessly.</t>
  </si>
  <si>
    <t>920321515077414912</t>
  </si>
  <si>
    <t>readwise.io</t>
  </si>
  <si>
    <t>hitw93
#工程师工具 对于喜欢 Chrome 的同学，这个新颖浏览器「Thorium」很值得关注，基于
Chromium，号称地球上最快的浏览器，支持谷歌同步，做了大量的性能编译方面的优化，作者是一个
22 岁的美国小伙子，很牛逼，我试了试，真的很快，还有很多可定制的。
_xD83E__xDD16_️ https://t.co/pbruE0QWFY https://t.co/v0sO8gKcnH</t>
  </si>
  <si>
    <t>Tw93</t>
  </si>
  <si>
    <t>妙言 | Pake | 潮流周刊 | XRender 作者</t>
  </si>
  <si>
    <t>杭州</t>
  </si>
  <si>
    <t>https://thorium.rocks/ https://bookstash.io/</t>
  </si>
  <si>
    <t>https://bookstash.io/ https://thorium.rocks/</t>
  </si>
  <si>
    <t>thorium.rocks bookstash.io</t>
  </si>
  <si>
    <t>工程师学习 工程师工具 参考答案</t>
  </si>
  <si>
    <t>工程师工具 参考答案 工程师学习</t>
  </si>
  <si>
    <t>#工程师学习 从 号称地球上最快的浏览器 chromium 作者是一个 很牛逼 很值得关注 信息茧房自救指南 bookstash 觉得不错再去买书看</t>
  </si>
  <si>
    <t>从 号称地球上最快的浏览器 chromium 作者是一个 很牛逼 很值得关注 信息茧房自救指南 bookstash 觉得不错再去买书看 大部分书看了看都是经典书籍同时也有中文版本</t>
  </si>
  <si>
    <t>将国外一些著名人物推荐的书籍用3分钟很简单的方式来了解,觉得不错再去买书看  岁的美国小伙子,很牛逼  觉得不错再去买书看,大部分书看了看都是经典书籍同时也有中文版本  真的很快,还有很多可定制的  信息茧房自救指南,非常适合当今信息过剩的情况下阅读  号称地球上最快的浏览器,支持谷歌同步  对于一个手机上没有抖音快手,没有新闻软件的人来说直呼好好好  simmons,的一篇  22,岁的美国小伙子  支持谷歌同步,做了大量的性能编译方面的优化</t>
  </si>
  <si>
    <t>the.top/tw93</t>
  </si>
  <si>
    <t>_akhaliq
GPT Can Solve Mathematical Problems
Without a Calculator paper page:
https://t.co/PayMhNwodG Previous
studies have typically assumed
that large language models are
unable to accurately perform arithmetic
operations, particularly multiplication
of &amp;gt;8 digits, and operations…
https://t.co/CO0tRLrbS6</t>
  </si>
  <si>
    <t>AK</t>
  </si>
  <si>
    <t>AI research paper tweets, ML @Gradio (acq. by @HuggingFace _xD83E__xDD17_)
dm for promo</t>
  </si>
  <si>
    <t xml:space="preserve">subscribe → </t>
  </si>
  <si>
    <t>https://huggingface.co/papers/2309.03241</t>
  </si>
  <si>
    <t>operations arithmetic calculator gt large multiplication digits paper accurately page</t>
  </si>
  <si>
    <t>solve,mathematical  arithmetic,operations  language,models  particularly,multiplication  accurately,perform  problems,without  perform,arithmetic  digits,operations  mathematical,problems  multiplication,gt</t>
  </si>
  <si>
    <t>akhaliq.substack.com</t>
  </si>
  <si>
    <t>plantegg
既然如此我还是推荐你们看我的小抄吧，我自己每次都是先去小抄里find一下，没有的再去Google
https://t.co/A4L8U24KKR https://t.co/74CrkAiIvP</t>
  </si>
  <si>
    <t>工程师，网络、性能、CPU等领域。知识星球:https://t.co/IxNVHUg5qp 
 ，免费试看3天</t>
  </si>
  <si>
    <t>https://plantegg.github.io/2017/01/01/top_linux_commands/</t>
  </si>
  <si>
    <t>既然如此我还是推荐你们看我的小抄吧 没有的再去google 我自己每次都是先去小抄里find一下</t>
  </si>
  <si>
    <t>我自己每次都是先去小抄里find一下,没有的再去google  既然如此我还是推荐你们看我的小抄吧,我自己每次都是先去小抄里find一下</t>
  </si>
  <si>
    <t>plantegg.github.io</t>
  </si>
  <si>
    <t>t.zsxq.com/0cz93XUPj</t>
  </si>
  <si>
    <t>instigator_h
It’s all going off in Peckham _xD83D__xDE2C__xD83D__xDE2C__xD83D__xDE2C_
https://t.co/l4vJvqSN6p</t>
  </si>
  <si>
    <t>HEPH✨</t>
  </si>
  <si>
    <t>Burner account…My enemies are after me_xD83C__xDFC3__xD83C__xDFFE_‍♂️</t>
  </si>
  <si>
    <t>Deya</t>
  </si>
  <si>
    <t>going s peckham</t>
  </si>
  <si>
    <t>s,going  going,peckham</t>
  </si>
  <si>
    <t>Instagram.com/big_heph</t>
  </si>
  <si>
    <t>csyangchsh
@plantegg 同感，我一般会把实用的命令记下来。如果很长，用的时候就直接复制粘贴。</t>
  </si>
  <si>
    <t>Changsheng Yang</t>
  </si>
  <si>
    <t>如果很长 plantegg 我一般会把实用的命令记下来 同感 用的时候就直接复制粘贴</t>
  </si>
  <si>
    <t>我一般会把实用的命令记下来,如果很长  如果很长,用的时候就直接复制粘贴  同感,我一般会把实用的命令记下来  plantegg,同感</t>
  </si>
  <si>
    <t>227588754</t>
  </si>
  <si>
    <t>jeremyl51357386
RT @louiselyons_: _xD83D__xDE4F__xD83C__xDFFE_ Sending
heartfelt prayers to the people
of Morocco _xD83C__xDDF2__xD83C__xDDE6_ during these challenging
times. Thinking especially of my
friend…</t>
  </si>
  <si>
    <t>Jeremy Lyons</t>
  </si>
  <si>
    <t>Mental Health Advocate | Youth and EDI Consultant I Podcast host</t>
  </si>
  <si>
    <t>challenging friend especially prayers during sending morocco people times louiselyons_</t>
  </si>
  <si>
    <t>people,morocco  thinking,especially  morocco,during  especially,friend  prayers,people  times,thinking  sending,heartfelt  during,challenging  challenging,times  heartfelt,prayers</t>
  </si>
  <si>
    <t xml:space="preserve">elonmusk
</t>
  </si>
  <si>
    <t>Elon Musk</t>
  </si>
  <si>
    <t>_xD835__xDD4F_Ð</t>
  </si>
  <si>
    <t>44196397</t>
  </si>
  <si>
    <t xml:space="preserve">insidehighered
</t>
  </si>
  <si>
    <t>Inside Higher Ed</t>
  </si>
  <si>
    <t>Helping you make sense of #HigherEducation. Follow us for the latest news, opinions, jobs, and resources. Send #HigherEd news and tips via DM.</t>
  </si>
  <si>
    <t>Washington, D.C.</t>
  </si>
  <si>
    <t>16045268</t>
  </si>
  <si>
    <t xml:space="preserve">nytimes
</t>
  </si>
  <si>
    <t>The New York Times</t>
  </si>
  <si>
    <t>News tips? Share them here: https://t.co/ghL9OoYKMM</t>
  </si>
  <si>
    <t>New York City</t>
  </si>
  <si>
    <t>807095</t>
  </si>
  <si>
    <t>nyti.ms/2FVHq9v</t>
  </si>
  <si>
    <t xml:space="preserve">carscurious
</t>
  </si>
  <si>
    <t>CuriousCars</t>
  </si>
  <si>
    <t>Car reviews, weather reports, and eclectic car content.</t>
  </si>
  <si>
    <t xml:space="preserve">ap
</t>
  </si>
  <si>
    <t>The Associated Press</t>
  </si>
  <si>
    <t>Advancing the power of facts, globally _xD83C__xDF0E_</t>
  </si>
  <si>
    <t>51241574</t>
  </si>
  <si>
    <t>This worksheet is no longer used but is retained to allow older versions of NodeXL to open workbooks created with NodeXL version 1.0.1.96 or later.</t>
  </si>
  <si>
    <t>Do not delete this worksheet.</t>
  </si>
  <si>
    <t>Group</t>
  </si>
  <si>
    <t>Vertex Color</t>
  </si>
  <si>
    <t>Vertex Shape</t>
  </si>
  <si>
    <t>Collapsed?</t>
  </si>
  <si>
    <t>Collapsed X</t>
  </si>
  <si>
    <t>Collapsed Y</t>
  </si>
  <si>
    <t>Collapsed Properties</t>
  </si>
  <si>
    <t>Vertices</t>
  </si>
  <si>
    <t>Unique Edges</t>
  </si>
  <si>
    <t>Edges With Duplicates</t>
  </si>
  <si>
    <t>Total Edges</t>
  </si>
  <si>
    <t>Self-Loops</t>
  </si>
  <si>
    <t>Reciprocated Edge Ratio</t>
  </si>
  <si>
    <t>Connected Components</t>
  </si>
  <si>
    <t>Single-Vertex Connected Components</t>
  </si>
  <si>
    <t>Maximum Vertices in a Connected Component</t>
  </si>
  <si>
    <t>Maximum Edges in a Connected Component</t>
  </si>
  <si>
    <t>Maximum Geodesic Distance (Diameter)</t>
  </si>
  <si>
    <t>Average Geodesic Distance</t>
  </si>
  <si>
    <t>Graph Density</t>
  </si>
  <si>
    <t>Top URLs in Tweet</t>
  </si>
  <si>
    <t>Top Domains in Tweet</t>
  </si>
  <si>
    <t>Top Hashtags in Tweet</t>
  </si>
  <si>
    <t>Top Words in Tweet</t>
  </si>
  <si>
    <t>Top Word Pairs in Tweet</t>
  </si>
  <si>
    <t>Top Replied-To in Tweet</t>
  </si>
  <si>
    <t>Top Mentioned in Tweet</t>
  </si>
  <si>
    <t>Top Tweeters</t>
  </si>
  <si>
    <t>Group Content Word Count</t>
  </si>
  <si>
    <t>G1</t>
  </si>
  <si>
    <t>0, 12, 96</t>
  </si>
  <si>
    <t>Disk</t>
  </si>
  <si>
    <t>https://plantegg.github.io/2017/01/01/top_linux_commands/ https://t8ipkovzsy.feishu.cn/sheets/ZaaVs8vDPhkcrWttYTXc9bgmnhh?from=from_copylink https://archive.area17.com/directory/2023_openai/36_brand-guidelines.pdf https://www.craft.me/s/dbj8QJkuZ5ruTB https://bookstash.io/ https://huggingface.co/papers/2309.03241 https://thorium.rocks/</t>
  </si>
  <si>
    <t>github.io feishu.cn area17.com craft.me bookstash.io huggingface.co thorium.rocks</t>
  </si>
  <si>
    <t>工程师学习 jacky用户体验 参考答案 工程师工具</t>
  </si>
  <si>
    <t>hitw93 plantegg jackywine rickawsb crypto_qianxun bearbig ftium4 gia917229015 punk2898 _akhaliq</t>
  </si>
  <si>
    <t>readwise hitw93 crypto_qianxun bearbig ftium4 jackywine gia917229015 punk2898 _akhaliq plantegg</t>
  </si>
  <si>
    <t>readwise _akhaliq rickawsb bearbig jackywine ftium4 csyangchsh plantegg punk2898 hitw93</t>
  </si>
  <si>
    <t>G2</t>
  </si>
  <si>
    <t>0, 136, 227</t>
  </si>
  <si>
    <t>https://x.com/ManonAubryFr/status/1701521575512608784?s=20 https://apnews.com/article/6322aae981bdc5c9009babde4b31ab60 https://nebraskaexaminer.com/2023/09/13/it-ended-up-being-racist-teacher-describes-resignation-from-crete-public-schools/ https://www.linkedin.com/pulse/beth-trejo-social-media-search-jeremy-harris-lipschultz https://www.cjr.org/the_media_today/elon_musk_adl_antisemitism.php https://www.insidehighered.com/news/diversity/socioeconomics/2023/09/11/progress-backsliding-economic-diversity-selective-colleges https://www.nytimes.com/2023/09/07/technology/artificial-intelligence-framework-senate.html?smid=nytcore-ios-share&amp;referringSource=articleShare https://apnews.com/article/44850c92a3d9480cc067474490140d88 https://apnews.com/article/687b9a5b90ec18f207d36df3ba11aebd https://apnews.com/article/23a770d706f3d8a1d7b1a3e4fc8529e3</t>
  </si>
  <si>
    <t>apnews.com x.com nebraskaexaminer.com linkedin.com cjr.org insidehighered.com nytimes.com</t>
  </si>
  <si>
    <t>smc2024 smprofs ai highered earthquake morocco prprofs tech law</t>
  </si>
  <si>
    <t>ap jeremyhl michaelbathurst elonmusk insidehighered nytimes nassimretiere</t>
  </si>
  <si>
    <t>nytimes ap michaelbathurst jeremyhl nassimretiere insidehighered elonmusk carscurious</t>
  </si>
  <si>
    <t>G3</t>
  </si>
  <si>
    <t>0, 100, 50</t>
  </si>
  <si>
    <t>G3: gt s man perfect lost project version whole lamar scrapped</t>
  </si>
  <si>
    <t>gt s man perfect lost project version whole lamar scrapped</t>
  </si>
  <si>
    <t>gt,gt  takes,direct  s,element  role,model  verse,takes  including,scrapped  element,leaked  project,gt  version,kendrick  whole,u</t>
  </si>
  <si>
    <t>mimitheblogger kieronfish savichtakes tdflakes</t>
  </si>
  <si>
    <t>kieronfish tdflakes savichtakes mimitheblogger jeremyl_7 instigator_h rahsh33m</t>
  </si>
  <si>
    <t>G4</t>
  </si>
  <si>
    <t>0, 176, 22</t>
  </si>
  <si>
    <t>G4: fans steelers out elonmuskaoc 49ers official purchase rules win starting</t>
  </si>
  <si>
    <t>fans steelers out elonmuskaoc 49ers official purchase rules win starting</t>
  </si>
  <si>
    <t>elonmuskaoc aocpresstwo</t>
  </si>
  <si>
    <t>jl_chapman 49ers nbcs49ers</t>
  </si>
  <si>
    <t>49ers jl_chapman nbcs49ers elonmuskaoc aocpresstwo jeremyl21457481</t>
  </si>
  <si>
    <t>G5</t>
  </si>
  <si>
    <t>191, 0, 0</t>
  </si>
  <si>
    <t>maoshen04 wiyo4 xuemanzi8848</t>
  </si>
  <si>
    <t>whlamei youtube</t>
  </si>
  <si>
    <t>youtube xuemanzi8848 maoshen04 whlamei wiyo4 jeremyl72410226</t>
  </si>
  <si>
    <t>G6</t>
  </si>
  <si>
    <t>230, 120, 0</t>
  </si>
  <si>
    <t>G6: nebraskasower jeremyhl welcome effiedog jaximperator jokozlowski</t>
  </si>
  <si>
    <t>nebraskasower jeremyhl welcome effiedog jaximperator jokozlowski</t>
  </si>
  <si>
    <t>nebraskasower,effiedog  jeremyhl,nebraskasower</t>
  </si>
  <si>
    <t>jaximperator jokozlowski</t>
  </si>
  <si>
    <t>jeremyhl nebraskasower effiedog jokozlowski jaximperator</t>
  </si>
  <si>
    <t>effiedog jaximperator ccooke6685 nebraskasower jokozlowski</t>
  </si>
  <si>
    <t>G7</t>
  </si>
  <si>
    <t>255, 191, 0</t>
  </si>
  <si>
    <t>G7: village now 2 kicking #scenery large start attracting sets stipends</t>
  </si>
  <si>
    <t>kcgi2023 bitget jiande hangzhou history culture scenery nature</t>
  </si>
  <si>
    <t>village now 2 kicking #scenery large start attracting sets stipends</t>
  </si>
  <si>
    <t>business bitgetglobal jiandevision</t>
  </si>
  <si>
    <t>business bitgetglobal jiandevision jeremyl2p41</t>
  </si>
  <si>
    <t>G8</t>
  </si>
  <si>
    <t>150, 200, 0</t>
  </si>
  <si>
    <t>G8: challenging friend especially prayers during sending morocco people times heartfelt</t>
  </si>
  <si>
    <t>louiselyons_ antothenio</t>
  </si>
  <si>
    <t>antothenio louiselyons_ jeremyl51357386</t>
  </si>
  <si>
    <t>G9</t>
  </si>
  <si>
    <t>200, 0, 120</t>
  </si>
  <si>
    <t>G9: number</t>
  </si>
  <si>
    <t>number</t>
  </si>
  <si>
    <t>kattenbarge the_romaarmy jeremylammert79</t>
  </si>
  <si>
    <t>G10</t>
  </si>
  <si>
    <t>77, 0, 96</t>
  </si>
  <si>
    <t>nicoleevien_ jeremyl78036806</t>
  </si>
  <si>
    <t>G11</t>
  </si>
  <si>
    <t>91, 0, 191</t>
  </si>
  <si>
    <t>jeremyl75946562 g29cie3xev6p0yu</t>
  </si>
  <si>
    <t>G12</t>
  </si>
  <si>
    <t>0, 98, 130</t>
  </si>
  <si>
    <t>G12: keeps costing everything money</t>
  </si>
  <si>
    <t>popculture2000s jeremyl_20</t>
  </si>
  <si>
    <t>G13</t>
  </si>
  <si>
    <t>Solid Square</t>
  </si>
  <si>
    <t>G13: house</t>
  </si>
  <si>
    <t>house</t>
  </si>
  <si>
    <t>bessemervp jeremyl</t>
  </si>
  <si>
    <t>G14</t>
  </si>
  <si>
    <t>Not Applicable</t>
  </si>
  <si>
    <t>jeremyl12866 hfaxcjqrmpttxou</t>
  </si>
  <si>
    <t>Vertex ID</t>
  </si>
  <si>
    <t>Graph Metric</t>
  </si>
  <si>
    <t>Value</t>
  </si>
  <si>
    <t>Degree Bin</t>
  </si>
  <si>
    <t>Degree Frequency</t>
  </si>
  <si>
    <t>In-Degree Bin</t>
  </si>
  <si>
    <t>In-Degree Frequency</t>
  </si>
  <si>
    <t>Out-Degree Bin</t>
  </si>
  <si>
    <t>Out-Degree Frequency</t>
  </si>
  <si>
    <t>Betweenness Centrality Bin</t>
  </si>
  <si>
    <t>Betweenness Centrality Frequency</t>
  </si>
  <si>
    <t>Closeness Centrality Bin</t>
  </si>
  <si>
    <t>Closeness Centrality Frequency</t>
  </si>
  <si>
    <t>Eigenvector Centrality Bin</t>
  </si>
  <si>
    <t>Eigenvector Centrality Frequency</t>
  </si>
  <si>
    <t>PageRank Bin</t>
  </si>
  <si>
    <t>PageRank Frequency</t>
  </si>
  <si>
    <t>Clustering Coefficient Bin</t>
  </si>
  <si>
    <t>Clustering Coefficient Frequency</t>
  </si>
  <si>
    <t>Dynamic Filter Bin</t>
  </si>
  <si>
    <t>Dynamic Filter Frequency</t>
  </si>
  <si>
    <t>Histogram Property</t>
  </si>
  <si>
    <t>Graph Type</t>
  </si>
  <si>
    <t>Directed</t>
  </si>
  <si>
    <t>Bin Divisor</t>
  </si>
  <si>
    <t>No Metric Message</t>
  </si>
  <si>
    <t>Not Available</t>
  </si>
  <si>
    <t>Dynamic Filter Source Column Range</t>
  </si>
  <si>
    <t>TableName[ColumnName]</t>
  </si>
  <si>
    <t>Modularity</t>
  </si>
  <si>
    <t>NodeXL Version</t>
  </si>
  <si>
    <t>Graph Gallery URL</t>
  </si>
  <si>
    <t>Graph Image URL</t>
  </si>
  <si>
    <t>Graph Source</t>
  </si>
  <si>
    <t>TwitterSearch3</t>
  </si>
  <si>
    <t>Graph Term</t>
  </si>
  <si>
    <t>Data Import</t>
  </si>
  <si>
    <t>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</si>
  <si>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Layout Algorithm</t>
  </si>
  <si>
    <t>Groups</t>
  </si>
  <si>
    <t>The graph's vertices were grouped by cluster using the Clauset-Newman-Moore cluster algorithm.</t>
  </si>
  <si>
    <t>Edge Alpha</t>
  </si>
  <si>
    <t>Edge Color</t>
  </si>
  <si>
    <t>Edge Width</t>
  </si>
  <si>
    <t>Vertex Alpha</t>
  </si>
  <si>
    <t>Vertex Radius</t>
  </si>
  <si>
    <t>Vertex X</t>
  </si>
  <si>
    <t>Vertex y</t>
  </si>
  <si>
    <t>Maximum Degree</t>
  </si>
  <si>
    <t>Average Degree</t>
  </si>
  <si>
    <t>Median Degree</t>
  </si>
  <si>
    <t>Minimum In-Degree</t>
  </si>
  <si>
    <t>Maximum In-Degree</t>
  </si>
  <si>
    <t>Average In-Degree</t>
  </si>
  <si>
    <t>Median In-Degree</t>
  </si>
  <si>
    <t>Minimum Out-Degree</t>
  </si>
  <si>
    <t>Maximum Out-Degree</t>
  </si>
  <si>
    <t>Average Out-Degree</t>
  </si>
  <si>
    <t>Median Out-Degree</t>
  </si>
  <si>
    <t>Minimum Betweenness Centrality</t>
  </si>
  <si>
    <t>Maximum Betweenness Centrality</t>
  </si>
  <si>
    <t>Average Betweenness Centrality</t>
  </si>
  <si>
    <t>Median Betweenness Centrality</t>
  </si>
  <si>
    <t>Minimum Closeness Centrality</t>
  </si>
  <si>
    <t>Maximum Closeness Centrality</t>
  </si>
  <si>
    <t>Average Closeness Centrality</t>
  </si>
  <si>
    <t>Median Closeness Centrality</t>
  </si>
  <si>
    <t>Minimum Eigenvector Centrality</t>
  </si>
  <si>
    <t>Maximum Eigenvector Centrality</t>
  </si>
  <si>
    <t>Average Eigenvector Centrality</t>
  </si>
  <si>
    <t>Median Eigenvector Centrality</t>
  </si>
  <si>
    <t>Minimum PageRank</t>
  </si>
  <si>
    <t>Maximum PageRank</t>
  </si>
  <si>
    <t>Average PageRank</t>
  </si>
  <si>
    <t>Median PageRank</t>
  </si>
  <si>
    <t>Minimum Clustering Coefficient</t>
  </si>
  <si>
    <t>Maximum Clustering Coefficient</t>
  </si>
  <si>
    <t>Average Clustering Coefficient</t>
  </si>
  <si>
    <t>Median Clustering Coefficient</t>
  </si>
  <si>
    <t>Valid Edge Visibilities</t>
  </si>
  <si>
    <t>Valid Edge Styles</t>
  </si>
  <si>
    <t>Valid Vertex Visibilities</t>
  </si>
  <si>
    <t>Valid Vertex Shapes</t>
  </si>
  <si>
    <t>Valid Group Shapes</t>
  </si>
  <si>
    <t>Valid Group Visibilities</t>
  </si>
  <si>
    <t>Valid Booleans Default False</t>
  </si>
  <si>
    <t>Valid Vertex Label Positions</t>
  </si>
  <si>
    <t>Per-Workbook Setting</t>
  </si>
  <si>
    <t>Table Name</t>
  </si>
  <si>
    <t>Column Name</t>
  </si>
  <si>
    <t>Selected Minimum</t>
  </si>
  <si>
    <t>Selected Maximum</t>
  </si>
  <si>
    <t>Show</t>
  </si>
  <si>
    <t>Show if in an Edge</t>
  </si>
  <si>
    <t>Circle</t>
  </si>
  <si>
    <t>Nowhere</t>
  </si>
  <si>
    <t>Template Version</t>
  </si>
  <si>
    <t>Skip</t>
  </si>
  <si>
    <t>Dash</t>
  </si>
  <si>
    <t>Top Left</t>
  </si>
  <si>
    <t>Graph Directedness</t>
  </si>
  <si>
    <t>Hide</t>
  </si>
  <si>
    <t>Dot</t>
  </si>
  <si>
    <t>Sphere</t>
  </si>
  <si>
    <t>Top Center</t>
  </si>
  <si>
    <t>Auto Layout on Open</t>
  </si>
  <si>
    <t>Dash Dot</t>
  </si>
  <si>
    <t>Square</t>
  </si>
  <si>
    <t>Top Right</t>
  </si>
  <si>
    <t>Workbook Settings 1</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</si>
  <si>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</si>
  <si>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Middle Left</t>
  </si>
  <si>
    <t>Workbook Settings 2</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</si>
  <si>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</si>
  <si>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</si>
  <si>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Diamond</t>
  </si>
  <si>
    <t>Middle Center</t>
  </si>
  <si>
    <t>Workbook Settings 3</t>
  </si>
  <si>
    <t>Solid Diamond</t>
  </si>
  <si>
    <t>Middle Right</t>
  </si>
  <si>
    <t>Workbook Settings 4</t>
  </si>
  <si>
    <t>Triangle</t>
  </si>
  <si>
    <t>Bottom Left</t>
  </si>
  <si>
    <t>Workbook Settings 5</t>
  </si>
  <si>
    <t>Solid Triangle</t>
  </si>
  <si>
    <t>Bottom Center</t>
  </si>
  <si>
    <t>Workbook Settings 6</t>
  </si>
  <si>
    <t>Bottom Right</t>
  </si>
  <si>
    <t>Workbook Settings 7</t>
  </si>
  <si>
    <t>Workbook Settings Cell Count</t>
  </si>
  <si>
    <t>Autofill Workbook Results</t>
  </si>
  <si>
    <t>Graph History</t>
  </si>
  <si>
    <t>GraphSource░TwitterSearch3▓GraphTerm░jeremyhl▓ImportDescription░The graph represents a network of 65 Twitter users whose recent tweets contained "jeremyhl", or who were replied to, mentioned, retweeted or quoted in those tweets, taken from a data set limited to a maximum of 20,000 tweets, tweeted between 9/6/2023 11:35:12 AM and 9/13/2023 11:35:12 AM.  The network was obtained from Twitter on Wednesday, 13 September 2023 at 16:41 UTC.
The tweets in the network were tweeted over the 38-minute period from Wednesday, 13 September 2023 at 11:17 UTC to Wednesday, 13 September 2023 at 11:56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Wednesday, 13 September 2023 at 16:40 UTC▓ImportSuggestedFileNameNoExtension░2023-09-13 16-40-56 NodeXL Twitter Search jeremyhl▓GroupingDescription░The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</si>
  <si>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</si>
  <si>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</si>
  <si>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</si>
  <si>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Top URLs in Tweet in Entire Graph</t>
  </si>
  <si>
    <t>Entire Graph Count</t>
  </si>
  <si>
    <t>Top URLs in Tweet in G1</t>
  </si>
  <si>
    <t>G1 Count</t>
  </si>
  <si>
    <t>Top URLs in Tweet in G2</t>
  </si>
  <si>
    <t>G2 Count</t>
  </si>
  <si>
    <t>Top URLs in Tweet in G3</t>
  </si>
  <si>
    <t>G3 Count</t>
  </si>
  <si>
    <t>Top URLs in Tweet in G4</t>
  </si>
  <si>
    <t>G4 Count</t>
  </si>
  <si>
    <t>Top URLs in Tweet in G5</t>
  </si>
  <si>
    <t>G5 Count</t>
  </si>
  <si>
    <t>Top URLs in Tweet in G6</t>
  </si>
  <si>
    <t>G6 Count</t>
  </si>
  <si>
    <t>Top URLs in Tweet in G7</t>
  </si>
  <si>
    <t>G7 Count</t>
  </si>
  <si>
    <t>Top URLs in Tweet in G8</t>
  </si>
  <si>
    <t>G8 Count</t>
  </si>
  <si>
    <t>Top URLs in Tweet in G9</t>
  </si>
  <si>
    <t>G9 Count</t>
  </si>
  <si>
    <t>Top URLs in Tweet in G10</t>
  </si>
  <si>
    <t>G10 Count</t>
  </si>
  <si>
    <t>https://apnews.com/article/6322aae981bdc5c9009babde4b31ab60</t>
  </si>
  <si>
    <t>https://bookstash.io/</t>
  </si>
  <si>
    <t>https://nebraskaexaminer.com/2023/09/13/it-ended-up-being-racist-teacher-describes-resignation-from-crete-public-schools/</t>
  </si>
  <si>
    <t>https://www.linkedin.com/pulse/beth-trejo-social-media-search-jeremy-harris-lipschultz</t>
  </si>
  <si>
    <t>https://www.cjr.org/the_media_today/elon_musk_adl_antisemitism.php</t>
  </si>
  <si>
    <t>https://www.insidehighered.com/news/diversity/socioeconomics/2023/09/11/progress-backsliding-economic-diversity-selective-colleges</t>
  </si>
  <si>
    <t>https://thorium.rocks/</t>
  </si>
  <si>
    <t>https://www.nytimes.com/2023/09/07/technology/artificial-intelligence-framework-senate.html?smid=nytcore-ios-share&amp;referringSource=articleShare</t>
  </si>
  <si>
    <t>https://apnews.com/article/44850c92a3d9480cc067474490140d88</t>
  </si>
  <si>
    <t>https://apnews.com/article/687b9a5b90ec18f207d36df3ba11aebd</t>
  </si>
  <si>
    <t>https://apnews.com/article/792cbae3e651d31028ae2c64f65f112c</t>
  </si>
  <si>
    <t>https://apnews.com/article/23a770d706f3d8a1d7b1a3e4fc8529e3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</si>
  <si>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</si>
  <si>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</si>
  <si>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</si>
  <si>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</si>
  <si>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</si>
  <si>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</si>
  <si>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</si>
  <si>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</si>
  <si>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</si>
  <si>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</si>
  <si>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</si>
  <si>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</si>
  <si>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</si>
  <si>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</si>
  <si>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</si>
  <si>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</si>
  <si>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</si>
  <si>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</si>
  <si>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</si>
  <si>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</si>
  <si>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</si>
  <si>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</si>
  <si>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kcgi2023</t>
  </si>
  <si>
    <t>smprofs</t>
  </si>
  <si>
    <t>bitget</t>
  </si>
  <si>
    <t>参考答案</t>
  </si>
  <si>
    <t>ai</t>
  </si>
  <si>
    <t>jiande</t>
  </si>
  <si>
    <t>hangzhou</t>
  </si>
  <si>
    <t>earthquake</t>
  </si>
  <si>
    <t>history</t>
  </si>
  <si>
    <t>morocco</t>
  </si>
  <si>
    <t>culture</t>
  </si>
  <si>
    <t>scenery</t>
  </si>
  <si>
    <t>tech</t>
  </si>
  <si>
    <t>nature</t>
  </si>
  <si>
    <t>law</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</si>
  <si>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</si>
  <si>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</si>
  <si>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</si>
  <si>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</si>
  <si>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</si>
  <si>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</si>
  <si>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</si>
  <si>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</si>
  <si>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</si>
  <si>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</si>
  <si>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</si>
  <si>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gt</t>
  </si>
  <si>
    <t>fans</t>
  </si>
  <si>
    <t>village</t>
  </si>
  <si>
    <t>challenging</t>
  </si>
  <si>
    <t>thread</t>
  </si>
  <si>
    <t>#smc2024</t>
  </si>
  <si>
    <t>s</t>
  </si>
  <si>
    <t>steelers</t>
  </si>
  <si>
    <t>now</t>
  </si>
  <si>
    <t>friend</t>
  </si>
  <si>
    <t>save</t>
  </si>
  <si>
    <t>#smprofs</t>
  </si>
  <si>
    <t>man</t>
  </si>
  <si>
    <t>out</t>
  </si>
  <si>
    <t>welcome</t>
  </si>
  <si>
    <t>2</t>
  </si>
  <si>
    <t>especially</t>
  </si>
  <si>
    <t>https</t>
  </si>
  <si>
    <t>perfect</t>
  </si>
  <si>
    <t>kicking</t>
  </si>
  <si>
    <t>prayers</t>
  </si>
  <si>
    <t>t</t>
  </si>
  <si>
    <t>social</t>
  </si>
  <si>
    <t>lost</t>
  </si>
  <si>
    <t>#scenery</t>
  </si>
  <si>
    <t>during</t>
  </si>
  <si>
    <t>media</t>
  </si>
  <si>
    <t>project</t>
  </si>
  <si>
    <t>official</t>
  </si>
  <si>
    <t>large</t>
  </si>
  <si>
    <t>sending</t>
  </si>
  <si>
    <t>co</t>
  </si>
  <si>
    <t>people</t>
  </si>
  <si>
    <t>version</t>
  </si>
  <si>
    <t>purchase</t>
  </si>
  <si>
    <t>start</t>
  </si>
  <si>
    <t>figma</t>
  </si>
  <si>
    <t>friday</t>
  </si>
  <si>
    <t>whole</t>
  </si>
  <si>
    <t>rules</t>
  </si>
  <si>
    <t>attracting</t>
  </si>
  <si>
    <t>链接</t>
  </si>
  <si>
    <t>court</t>
  </si>
  <si>
    <t>lamar</t>
  </si>
  <si>
    <t>win</t>
  </si>
  <si>
    <t>sets</t>
  </si>
  <si>
    <t>times</t>
  </si>
  <si>
    <t>#工程师学习</t>
  </si>
  <si>
    <t>market</t>
  </si>
  <si>
    <t>scrapped</t>
  </si>
  <si>
    <t>starting</t>
  </si>
  <si>
    <t>stipends</t>
  </si>
  <si>
    <t>heartfelt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</si>
  <si>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</si>
  <si>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</si>
  <si>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</si>
  <si>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</si>
  <si>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</si>
  <si>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</si>
  <si>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</si>
  <si>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</si>
  <si>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</si>
  <si>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</si>
  <si>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</si>
  <si>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readwise,save</t>
  </si>
  <si>
    <t>save,thread</t>
  </si>
  <si>
    <t>#smc2024,#smprofs</t>
  </si>
  <si>
    <t>gt,gt</t>
  </si>
  <si>
    <t>steelers,fans</t>
  </si>
  <si>
    <t>nebraskasower,effiedog</t>
  </si>
  <si>
    <t>people,morocco</t>
  </si>
  <si>
    <t>social,media</t>
  </si>
  <si>
    <t>takes,direct</t>
  </si>
  <si>
    <t>jeremyhl,nebraskasower</t>
  </si>
  <si>
    <t>thinking,especially</t>
  </si>
  <si>
    <t>https,t</t>
  </si>
  <si>
    <t>ap,#smc2024</t>
  </si>
  <si>
    <t>s,element</t>
  </si>
  <si>
    <t>today,repost</t>
  </si>
  <si>
    <t>morocco,during</t>
  </si>
  <si>
    <t>t,co</t>
  </si>
  <si>
    <t>#ai,#smc2024</t>
  </si>
  <si>
    <t>role,model</t>
  </si>
  <si>
    <t>official,rules</t>
  </si>
  <si>
    <t>#scenery,attracting</t>
  </si>
  <si>
    <t>especially,friend</t>
  </si>
  <si>
    <t>链接,https</t>
  </si>
  <si>
    <t>ap,#ai</t>
  </si>
  <si>
    <t>verse,takes</t>
  </si>
  <si>
    <t>starting,season</t>
  </si>
  <si>
    <t>prayers,people</t>
  </si>
  <si>
    <t>hitw93,readwise</t>
  </si>
  <si>
    <t>jeremyhl,michaelbathurst</t>
  </si>
  <si>
    <t>including,scrapped</t>
  </si>
  <si>
    <t>grads,stipends</t>
  </si>
  <si>
    <t>times,thinking</t>
  </si>
  <si>
    <t>element,leaked</t>
  </si>
  <si>
    <t>usdt,even</t>
  </si>
  <si>
    <t>sending,heartfelt</t>
  </si>
  <si>
    <t>project,gt</t>
  </si>
  <si>
    <t>going,find</t>
  </si>
  <si>
    <t>during,challenging</t>
  </si>
  <si>
    <t>version,kendrick</t>
  </si>
  <si>
    <t>fans,49ers</t>
  </si>
  <si>
    <t>up,win</t>
  </si>
  <si>
    <t>challenging,times</t>
  </si>
  <si>
    <t>whole,u</t>
  </si>
  <si>
    <t>heartfelt,prayers</t>
  </si>
  <si>
    <t>Top Replied-To in Entire Graph</t>
  </si>
  <si>
    <t>Top Replied-To in G1</t>
  </si>
  <si>
    <t>Top Replied-To in G2</t>
  </si>
  <si>
    <t>Top Replied-To in G3</t>
  </si>
  <si>
    <t>Top Replied-To in G4</t>
  </si>
  <si>
    <t>Top Replied-To in G5</t>
  </si>
  <si>
    <t>Top Replied-To in G6</t>
  </si>
  <si>
    <t>Top Replied-To in G7</t>
  </si>
  <si>
    <t>Top Replied-To in G8</t>
  </si>
  <si>
    <t>Top Replied-To in G9</t>
  </si>
  <si>
    <t>Top Replied-To in G10</t>
  </si>
  <si>
    <t>Top Mentioned in Entire Graph</t>
  </si>
  <si>
    <t>Top Mentioned in G1</t>
  </si>
  <si>
    <t>Top Mentioned in G2</t>
  </si>
  <si>
    <t>Top Mentioned in G3</t>
  </si>
  <si>
    <t>Top Mentioned in G4</t>
  </si>
  <si>
    <t>Top Mentioned in G5</t>
  </si>
  <si>
    <t>Top Mentioned in G6</t>
  </si>
  <si>
    <t>Top Mentioned in G7</t>
  </si>
  <si>
    <t>Top Mentioned in G8</t>
  </si>
  <si>
    <t>Top Mentioned in G9</t>
  </si>
  <si>
    <t>Top Mentioned in G10</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</si>
  <si>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</si>
  <si>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</si>
  <si>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</si>
  <si>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</si>
  <si>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</si>
  <si>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</si>
  <si>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</si>
  <si>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</si>
  <si>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</si>
  <si>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</si>
  <si>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</si>
  <si>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Word</t>
  </si>
  <si>
    <t>Count</t>
  </si>
  <si>
    <t>Salience</t>
  </si>
  <si>
    <t>Word on Sentiment List #1: List1</t>
  </si>
  <si>
    <t>Word on Sentiment List #2: List2</t>
  </si>
  <si>
    <t>Word on Sentiment List #3: List3</t>
  </si>
  <si>
    <t>Sentiment List#1</t>
  </si>
  <si>
    <t>Positive</t>
  </si>
  <si>
    <t>Sentiment List#2</t>
  </si>
  <si>
    <t>Negative</t>
  </si>
  <si>
    <t>Sentiment List#3</t>
  </si>
  <si>
    <t>(Add your own word list)</t>
  </si>
  <si>
    <t>Words in Sentiment List#1</t>
  </si>
  <si>
    <t>Words in Sentiment List#2</t>
  </si>
  <si>
    <t>Words in Sentiment List#3</t>
  </si>
  <si>
    <t>Non-categorized Words</t>
  </si>
  <si>
    <t>Total Words</t>
  </si>
  <si>
    <t>(Entire graph)</t>
  </si>
  <si>
    <t>up</t>
  </si>
  <si>
    <t>openai</t>
  </si>
  <si>
    <t>u</t>
  </si>
  <si>
    <t>18</t>
  </si>
  <si>
    <t>don</t>
  </si>
  <si>
    <t>down</t>
  </si>
  <si>
    <t>even</t>
  </si>
  <si>
    <t>model</t>
  </si>
  <si>
    <t>top</t>
  </si>
  <si>
    <t>gpt</t>
  </si>
  <si>
    <t>going</t>
  </si>
  <si>
    <t>chance</t>
  </si>
  <si>
    <t>22</t>
  </si>
  <si>
    <t>without</t>
  </si>
  <si>
    <t>registration</t>
  </si>
  <si>
    <t>站在此刻</t>
  </si>
  <si>
    <t>paper</t>
  </si>
  <si>
    <t>logo</t>
  </si>
  <si>
    <t>shiling</t>
  </si>
  <si>
    <t>的设计师</t>
  </si>
  <si>
    <t>650</t>
  </si>
  <si>
    <t>deloitte</t>
  </si>
  <si>
    <t>likkle</t>
  </si>
  <si>
    <t>图标</t>
  </si>
  <si>
    <t>gear</t>
  </si>
  <si>
    <t>#kcgi2023</t>
  </si>
  <si>
    <t>shell</t>
  </si>
  <si>
    <t>huncho</t>
  </si>
  <si>
    <t>delayed</t>
  </si>
  <si>
    <t>bain</t>
  </si>
  <si>
    <t>firms</t>
  </si>
  <si>
    <t>usdt</t>
  </si>
  <si>
    <t>这个新颖浏览器</t>
  </si>
  <si>
    <t>可视化图表都想详细的说明</t>
  </si>
  <si>
    <t>offering</t>
  </si>
  <si>
    <t>grads</t>
  </si>
  <si>
    <t>mathematical</t>
  </si>
  <si>
    <t>我自己每次都是先去小抄里find一下</t>
  </si>
  <si>
    <t>shots</t>
  </si>
  <si>
    <t>everything</t>
  </si>
  <si>
    <t>#ai</t>
  </si>
  <si>
    <t>觉得不错再去买书看</t>
  </si>
  <si>
    <t>岁的美国小伙子</t>
  </si>
  <si>
    <t>年制作的科普视频</t>
  </si>
  <si>
    <t>#hangzhou</t>
  </si>
  <si>
    <t>一口气看完</t>
  </si>
  <si>
    <t>将国外一些著名人物推荐的书籍用3分钟很简单的方式来了解</t>
  </si>
  <si>
    <t>companies</t>
  </si>
  <si>
    <t>000</t>
  </si>
  <si>
    <t>#jacky用户体验</t>
  </si>
  <si>
    <t>search</t>
  </si>
  <si>
    <t>这里是</t>
  </si>
  <si>
    <t>keeps</t>
  </si>
  <si>
    <t>现代互联网的确是伟大的工程</t>
  </si>
  <si>
    <t>108</t>
  </si>
  <si>
    <t>today</t>
  </si>
  <si>
    <t>从</t>
  </si>
  <si>
    <t>simmons</t>
  </si>
  <si>
    <t>我试了试</t>
  </si>
  <si>
    <t>如果是accessibility</t>
  </si>
  <si>
    <t>我统计了</t>
  </si>
  <si>
    <t>chromium</t>
  </si>
  <si>
    <t>真的很快</t>
  </si>
  <si>
    <t>d</t>
  </si>
  <si>
    <t>m</t>
  </si>
  <si>
    <t>reader</t>
  </si>
  <si>
    <t>k</t>
  </si>
  <si>
    <t>w</t>
  </si>
  <si>
    <t>#工程师工具</t>
  </si>
  <si>
    <t>浏览器里输入地址后</t>
  </si>
  <si>
    <t>repost</t>
  </si>
  <si>
    <t>30</t>
  </si>
  <si>
    <t>including</t>
  </si>
  <si>
    <t>mandy</t>
  </si>
  <si>
    <t>role</t>
  </si>
  <si>
    <t>money</t>
  </si>
  <si>
    <t>problems</t>
  </si>
  <si>
    <t>leaked</t>
  </si>
  <si>
    <t>看完就能超过99</t>
  </si>
  <si>
    <t>financial</t>
  </si>
  <si>
    <t>organised</t>
  </si>
  <si>
    <t>previous</t>
  </si>
  <si>
    <t>这些都是免费贼好用的</t>
  </si>
  <si>
    <t>long</t>
  </si>
  <si>
    <t>direct</t>
  </si>
  <si>
    <t>编程还是得系统学</t>
  </si>
  <si>
    <t>kendrick</t>
  </si>
  <si>
    <t>很值得关注</t>
  </si>
  <si>
    <t>takes</t>
  </si>
  <si>
    <t>beautiful</t>
  </si>
  <si>
    <t>calculator</t>
  </si>
  <si>
    <t>line</t>
  </si>
  <si>
    <t>颜色</t>
  </si>
  <si>
    <t>consulting</t>
  </si>
  <si>
    <t>强烈推荐的一本书</t>
  </si>
  <si>
    <t>studies</t>
  </si>
  <si>
    <t>看到</t>
  </si>
  <si>
    <t>xugnmdz7fk</t>
  </si>
  <si>
    <t>号称地球上最快的浏览器</t>
  </si>
  <si>
    <t>好久没读过这么畅快的书了</t>
  </si>
  <si>
    <t>chip</t>
  </si>
  <si>
    <t>新手教学</t>
  </si>
  <si>
    <t>bought</t>
  </si>
  <si>
    <t>一共</t>
  </si>
  <si>
    <t>#jiande</t>
  </si>
  <si>
    <t>element</t>
  </si>
  <si>
    <t>发生了些什么</t>
  </si>
  <si>
    <t>made</t>
  </si>
  <si>
    <t>大部分书看了看都是经典书籍同时也有中文版本</t>
  </si>
  <si>
    <t>的同学</t>
  </si>
  <si>
    <t>new</t>
  </si>
  <si>
    <t>good</t>
  </si>
  <si>
    <t>小组里很多同事不会</t>
  </si>
  <si>
    <t>品牌指南</t>
  </si>
  <si>
    <t>还要加一层东西</t>
  </si>
  <si>
    <t>作者是一个</t>
  </si>
  <si>
    <t>weather</t>
  </si>
  <si>
    <t>costing</t>
  </si>
  <si>
    <t>#history</t>
  </si>
  <si>
    <t>solve</t>
  </si>
  <si>
    <t>attorneys</t>
  </si>
  <si>
    <t>nqgtnx9swu</t>
  </si>
  <si>
    <t>既然如此我还是推荐你们看我的小抄吧</t>
  </si>
  <si>
    <t>command</t>
  </si>
  <si>
    <t>快把这套教程介绍给他们</t>
  </si>
  <si>
    <t>verse</t>
  </si>
  <si>
    <t>我们不知道明天的走势</t>
  </si>
  <si>
    <t>fnbems2gc0</t>
  </si>
  <si>
    <t>喜欢看书的朋友可以去看看这个站点</t>
  </si>
  <si>
    <t>michael</t>
  </si>
  <si>
    <t>chrome</t>
  </si>
  <si>
    <t>配图</t>
  </si>
  <si>
    <t>profound</t>
  </si>
  <si>
    <t>efficient</t>
  </si>
  <si>
    <t>做了大量的性能编译方面的优化</t>
  </si>
  <si>
    <t>对于喜欢</t>
  </si>
  <si>
    <t>page</t>
  </si>
  <si>
    <t>2030</t>
  </si>
  <si>
    <t>页</t>
  </si>
  <si>
    <t>这图很详细了</t>
  </si>
  <si>
    <t>这是我看过表现最好的投资科普视频</t>
  </si>
  <si>
    <t>有需要的可以收藏一下</t>
  </si>
  <si>
    <t>教学视频汇总</t>
  </si>
  <si>
    <t>信息茧房自救指南</t>
  </si>
  <si>
    <t>helicopter</t>
  </si>
  <si>
    <t>对</t>
  </si>
  <si>
    <t>酣畅淋漓</t>
  </si>
  <si>
    <t>支持谷歌同步</t>
  </si>
  <si>
    <t>dates</t>
  </si>
  <si>
    <t>#bitget</t>
  </si>
  <si>
    <t>bookstash</t>
  </si>
  <si>
    <t>比如盲人用的screen</t>
  </si>
  <si>
    <t>#参考答案</t>
  </si>
  <si>
    <t>个神仙影视网站</t>
  </si>
  <si>
    <t>operations</t>
  </si>
  <si>
    <t>original</t>
  </si>
  <si>
    <t>linux</t>
  </si>
  <si>
    <t>language</t>
  </si>
  <si>
    <t>有小伙伴问我从哪里搜索免费的电影资源</t>
  </si>
  <si>
    <t>necessary</t>
  </si>
  <si>
    <t>对于一个手机上没有抖音快手</t>
  </si>
  <si>
    <t>google</t>
  </si>
  <si>
    <t>find</t>
  </si>
  <si>
    <t>很牛逼</t>
  </si>
  <si>
    <t>signings</t>
  </si>
  <si>
    <t>孟岩耗时</t>
  </si>
  <si>
    <t>的一篇</t>
  </si>
  <si>
    <t>thorium</t>
  </si>
  <si>
    <t>基于</t>
  </si>
  <si>
    <t>非常适合当今信息过剩的情况下阅读</t>
  </si>
  <si>
    <t>没有的再去google</t>
  </si>
  <si>
    <t>草帽老师figma</t>
  </si>
  <si>
    <t>thinking</t>
  </si>
  <si>
    <t>更无法预测遥远的</t>
  </si>
  <si>
    <t>french</t>
  </si>
  <si>
    <t>#culture</t>
  </si>
  <si>
    <t>season</t>
  </si>
  <si>
    <t>分钟讲述投资底层逻辑</t>
  </si>
  <si>
    <t>没有新闻软件的人来说直呼好好好</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</si>
  <si>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</si>
  <si>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</si>
  <si>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</si>
  <si>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</si>
  <si>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</si>
  <si>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</si>
  <si>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</si>
  <si>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</si>
  <si>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</si>
  <si>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Top 10 Vertices, Ranked by Betweenness Centrality</t>
  </si>
  <si>
    <t>VertexID</t>
  </si>
  <si>
    <t>Most</t>
  </si>
  <si>
    <t>1150421750745829376</t>
  </si>
  <si>
    <t>used</t>
  </si>
  <si>
    <t>words</t>
  </si>
  <si>
    <t>in</t>
  </si>
  <si>
    <t>tweets</t>
  </si>
  <si>
    <t>with</t>
  </si>
  <si>
    <t>thenextevolution</t>
  </si>
  <si>
    <t>1871Chicago</t>
  </si>
  <si>
    <t>TweetrootApp</t>
  </si>
  <si>
    <t>data</t>
  </si>
  <si>
    <t>First</t>
  </si>
  <si>
    <t>1149099244382564358</t>
  </si>
  <si>
    <t>VR</t>
  </si>
  <si>
    <t>patent</t>
  </si>
  <si>
    <t>years</t>
  </si>
  <si>
    <t>ago</t>
  </si>
  <si>
    <t>TheNextEvolution</t>
  </si>
  <si>
    <t>So</t>
  </si>
  <si>
    <t>1149110024297484288</t>
  </si>
  <si>
    <t>many</t>
  </si>
  <si>
    <t>AR</t>
  </si>
  <si>
    <t>issues</t>
  </si>
  <si>
    <t>wild</t>
  </si>
  <si>
    <t>west</t>
  </si>
  <si>
    <t>Nice</t>
  </si>
  <si>
    <t>1149106274258305024</t>
  </si>
  <si>
    <t>summary</t>
  </si>
  <si>
    <t>loadinglaw</t>
  </si>
  <si>
    <t>Game</t>
  </si>
  <si>
    <t>1149104225022033920</t>
  </si>
  <si>
    <t>user</t>
  </si>
  <si>
    <t>privacy</t>
  </si>
  <si>
    <t>concern</t>
  </si>
  <si>
    <t>Recent</t>
  </si>
  <si>
    <t>1149100137899266048</t>
  </si>
  <si>
    <t>surgical</t>
  </si>
  <si>
    <t>1149097799050506240</t>
  </si>
  <si>
    <t>vrarchicago</t>
  </si>
  <si>
    <t>1148270871561347072</t>
  </si>
  <si>
    <t>Solstice</t>
  </si>
  <si>
    <t>TheBUNDLAR</t>
  </si>
  <si>
    <t>FinTankChicago</t>
  </si>
  <si>
    <t>vrara_chicago</t>
  </si>
  <si>
    <t>Bold_IP</t>
  </si>
  <si>
    <t>LoadingLaw</t>
  </si>
  <si>
    <t>IlyaZlatkin</t>
  </si>
  <si>
    <t>Hey</t>
  </si>
  <si>
    <t>ChicagoBarAssoc</t>
  </si>
  <si>
    <t>are</t>
  </si>
  <si>
    <t>your</t>
  </si>
  <si>
    <t>members</t>
  </si>
  <si>
    <t>ready</t>
  </si>
  <si>
    <t>for</t>
  </si>
  <si>
    <t>the</t>
  </si>
  <si>
    <t>coming</t>
  </si>
  <si>
    <t>changes</t>
  </si>
  <si>
    <t>as</t>
  </si>
  <si>
    <t>VirtualReality</t>
  </si>
  <si>
    <t>and</t>
  </si>
  <si>
    <t>AugmentedReality</t>
  </si>
  <si>
    <t>grow</t>
  </si>
  <si>
    <t>to</t>
  </si>
  <si>
    <t>be</t>
  </si>
  <si>
    <t>communication</t>
  </si>
  <si>
    <t>technology</t>
  </si>
  <si>
    <t>Come</t>
  </si>
  <si>
    <t>learn</t>
  </si>
  <si>
    <t>it's</t>
  </si>
  <si>
    <t>free</t>
  </si>
  <si>
    <t>attend</t>
  </si>
  <si>
    <t>food</t>
  </si>
  <si>
    <t>drinks</t>
  </si>
  <si>
    <t>provided</t>
  </si>
  <si>
    <t>by</t>
  </si>
  <si>
    <t>1148270495386570752</t>
  </si>
  <si>
    <t>ISBAlawyer</t>
  </si>
  <si>
    <t>ziliaklaw</t>
  </si>
  <si>
    <t>Tomorrow</t>
  </si>
  <si>
    <t>1148641773671108608</t>
  </si>
  <si>
    <t>join</t>
  </si>
  <si>
    <t>ilyazlatkin</t>
  </si>
  <si>
    <t>origindev</t>
  </si>
  <si>
    <t>bold_IP</t>
  </si>
  <si>
    <t>amp</t>
  </si>
  <si>
    <t>LEGAL</t>
  </si>
  <si>
    <t>ASPECTS</t>
  </si>
  <si>
    <t>OF</t>
  </si>
  <si>
    <t>THENEXTEVOLUTION</t>
  </si>
  <si>
    <t>at</t>
  </si>
  <si>
    <t>thevrara's</t>
  </si>
  <si>
    <t>July</t>
  </si>
  <si>
    <t>Meetup</t>
  </si>
  <si>
    <t>At</t>
  </si>
  <si>
    <t>1149105146032459776</t>
  </si>
  <si>
    <t>learning</t>
  </si>
  <si>
    <t>about</t>
  </si>
  <si>
    <t>currently</t>
  </si>
  <si>
    <t>listening</t>
  </si>
  <si>
    <t>vrar_chicago</t>
  </si>
  <si>
    <t>Vrarchicago</t>
  </si>
  <si>
    <t>ar</t>
  </si>
  <si>
    <t>vr</t>
  </si>
  <si>
    <t>charlie_athanas</t>
  </si>
  <si>
    <t>1149101801007960064</t>
  </si>
  <si>
    <t>1148319547822432263</t>
  </si>
  <si>
    <t>experience</t>
  </si>
  <si>
    <t>Legal</t>
  </si>
  <si>
    <t>Aspects</t>
  </si>
  <si>
    <t>of</t>
  </si>
  <si>
    <t>meetup</t>
  </si>
  <si>
    <t>this</t>
  </si>
  <si>
    <t>Wednesday</t>
  </si>
  <si>
    <t>10th</t>
  </si>
  <si>
    <t>located</t>
  </si>
  <si>
    <t>30pm</t>
  </si>
  <si>
    <t>us</t>
  </si>
  <si>
    <t>hear</t>
  </si>
  <si>
    <t>experts</t>
  </si>
  <si>
    <t>dissuss</t>
  </si>
  <si>
    <t>current</t>
  </si>
  <si>
    <t>get</t>
  </si>
  <si>
    <t>questions</t>
  </si>
  <si>
    <t>answered</t>
  </si>
  <si>
    <t>our</t>
  </si>
  <si>
    <t>Q</t>
  </si>
  <si>
    <t>A</t>
  </si>
  <si>
    <t>Thanks</t>
  </si>
  <si>
    <t>1148298061837414406</t>
  </si>
  <si>
    <t>again</t>
  </si>
  <si>
    <t>hosting</t>
  </si>
  <si>
    <t>Wednesday's</t>
  </si>
  <si>
    <t>MeetUp</t>
  </si>
  <si>
    <t>Hope</t>
  </si>
  <si>
    <t>see</t>
  </si>
  <si>
    <t>you</t>
  </si>
  <si>
    <t>we</t>
  </si>
  <si>
    <t>discuss</t>
  </si>
  <si>
    <t>TheLaw</t>
  </si>
  <si>
    <t>Food</t>
  </si>
  <si>
    <t>Drinks</t>
  </si>
  <si>
    <t>who</t>
  </si>
  <si>
    <t>will</t>
  </si>
  <si>
    <t>on</t>
  </si>
  <si>
    <t>site</t>
  </si>
  <si>
    <t>recruiting</t>
  </si>
  <si>
    <t>thebundlar</t>
  </si>
  <si>
    <t>1148383576297222149</t>
  </si>
  <si>
    <t>markpersaud3</t>
  </si>
  <si>
    <t>As</t>
  </si>
  <si>
    <t>1148600501241597952</t>
  </si>
  <si>
    <t>technologies</t>
  </si>
  <si>
    <t>evolve</t>
  </si>
  <si>
    <t>must</t>
  </si>
  <si>
    <t>understand</t>
  </si>
  <si>
    <t>how</t>
  </si>
  <si>
    <t>apply</t>
  </si>
  <si>
    <t>them</t>
  </si>
  <si>
    <t>their</t>
  </si>
  <si>
    <t>limitations</t>
  </si>
  <si>
    <t>believing</t>
  </si>
  <si>
    <t>they</t>
  </si>
  <si>
    <t>adapt</t>
  </si>
  <si>
    <t>an</t>
  </si>
  <si>
    <t>expanding</t>
  </si>
  <si>
    <t>portfolio</t>
  </si>
  <si>
    <t>use</t>
  </si>
  <si>
    <t>cases</t>
  </si>
  <si>
    <t>Why</t>
  </si>
  <si>
    <t>Mixed</t>
  </si>
  <si>
    <t>Reality</t>
  </si>
  <si>
    <t>is</t>
  </si>
  <si>
    <t>Test</t>
  </si>
  <si>
    <t>Learn</t>
  </si>
  <si>
    <t>Mode</t>
  </si>
  <si>
    <t>microsoft</t>
  </si>
  <si>
    <t>hololens</t>
  </si>
  <si>
    <t>xr</t>
  </si>
  <si>
    <t>1148281476833861632</t>
  </si>
  <si>
    <t>patchedreality</t>
  </si>
  <si>
    <t>1148319626348191750</t>
  </si>
  <si>
    <t>List</t>
  </si>
  <si>
    <t>a</t>
  </si>
  <si>
    <t>Stop Words</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</si>
  <si>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</si>
  <si>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</si>
  <si>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</si>
  <si>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</si>
  <si>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</si>
  <si>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</si>
  <si>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</si>
  <si>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</si>
  <si>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</si>
  <si>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</si>
  <si>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</si>
  <si>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</si>
  <si>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</si>
  <si>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</si>
  <si>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</si>
  <si>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</si>
  <si>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</si>
  <si>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</si>
  <si>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</si>
  <si>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</si>
  <si>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</si>
  <si>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</si>
  <si>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</si>
  <si>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</si>
  <si>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</si>
  <si>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</si>
  <si>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</si>
  <si>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</si>
  <si>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</si>
  <si>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</si>
  <si>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</si>
  <si>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</si>
  <si>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</si>
  <si>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</si>
  <si>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</si>
  <si>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</si>
  <si>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</si>
  <si>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</si>
  <si>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</si>
  <si>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</si>
  <si>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</si>
  <si>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</si>
  <si>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</si>
  <si>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</si>
  <si>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</si>
  <si>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</si>
  <si>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</si>
  <si>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</si>
  <si>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</si>
  <si>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</si>
  <si>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</si>
  <si>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</si>
  <si>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</si>
  <si>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</si>
  <si>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</si>
  <si>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</si>
  <si>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</si>
  <si>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</si>
  <si>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</si>
  <si>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</si>
  <si>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</si>
  <si>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</si>
  <si>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</si>
  <si>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</si>
  <si>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</si>
  <si>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</si>
  <si>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</si>
  <si>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</si>
  <si>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</si>
  <si>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</si>
  <si>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</si>
  <si>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</si>
  <si>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</si>
  <si>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</si>
  <si>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</si>
  <si>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</si>
  <si>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</si>
  <si>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</si>
  <si>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</si>
  <si>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</si>
  <si>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</si>
  <si>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</si>
  <si>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</si>
  <si>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</si>
  <si>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</si>
  <si>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</si>
  <si>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</si>
  <si>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</si>
  <si>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</si>
  <si>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</si>
  <si>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</si>
  <si>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</si>
  <si>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</si>
  <si>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</si>
  <si>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</si>
  <si>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</si>
  <si>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</si>
  <si>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</si>
  <si>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</si>
  <si>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</si>
  <si>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</si>
  <si>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</si>
  <si>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</si>
  <si>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</si>
  <si>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</si>
  <si>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</si>
  <si>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</si>
  <si>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</si>
  <si>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</si>
  <si>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</si>
  <si>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</si>
  <si>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</si>
  <si>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</si>
  <si>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</si>
  <si>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</si>
  <si>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</si>
  <si>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</si>
  <si>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</si>
  <si>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</si>
  <si>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</si>
  <si>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</si>
  <si>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</si>
  <si>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</si>
  <si>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</si>
  <si>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</si>
  <si>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</si>
  <si>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</si>
  <si>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</si>
  <si>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</si>
  <si>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</si>
  <si>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</si>
  <si>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</si>
  <si>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</si>
  <si>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</si>
  <si>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</si>
  <si>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</si>
  <si>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</si>
  <si>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</si>
  <si>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</si>
  <si>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</si>
  <si>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</si>
  <si>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</si>
  <si>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Key</t>
  </si>
  <si>
    <t>Action Label</t>
  </si>
  <si>
    <t>Contact the UNO Social Media Lab</t>
  </si>
  <si>
    <t>Action URL</t>
  </si>
  <si>
    <t>nufoundation.org/-/uno-college-of-communication-fine-arts-and-media-lab-support-fund-01132630</t>
  </si>
  <si>
    <t>Brand Logo</t>
  </si>
  <si>
    <t>unomaha.edu/_files/images/logo-subsite-o-2.png</t>
  </si>
  <si>
    <t>Brand URL</t>
  </si>
  <si>
    <t>amazon.com/Social-Media-Communication-Concepts-Practices/dp/1138776459</t>
  </si>
  <si>
    <t>Hashtag</t>
  </si>
  <si>
    <t>#SMC2016</t>
  </si>
  <si>
    <t>unomaha.edu</t>
  </si>
  <si>
    <t>Readability Metric</t>
  </si>
  <si>
    <t>Minimum Degree</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</si>
  <si>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&lt;value&gt;arber.ceni&lt;/value&gt;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t>
  </si>
  <si>
    <t>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t>
  </si>
  <si>
    <t xml:space="preserve">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t>
  </si>
  <si>
    <t xml:space="preserve">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</si>
  <si>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 xml:space="preserve">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</si>
  <si>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thread save readwise https t co hitw93 链接 figma #工程师学习</t>
  </si>
  <si>
    <t>ap #smc2024 #smprofs s people media social court friday chip</t>
  </si>
  <si>
    <t>岁的美国小伙子,很牛逼</t>
  </si>
  <si>
    <t>18,个神仙影视网站</t>
  </si>
  <si>
    <t>图标,配图</t>
  </si>
  <si>
    <t>这些都是免费贼好用的,有需要的可以收藏一下</t>
  </si>
  <si>
    <t>necessary,official</t>
  </si>
  <si>
    <t>out,steelers</t>
  </si>
  <si>
    <t>chance,win</t>
  </si>
  <si>
    <t>season,w</t>
  </si>
  <si>
    <t>beautiful,#scenery</t>
  </si>
  <si>
    <t>new,grads</t>
  </si>
  <si>
    <t>delayed,start</t>
  </si>
  <si>
    <t>#hangzhou,long</t>
  </si>
  <si>
    <t>helicopter,registration</t>
  </si>
  <si>
    <t>kicking,#bitget</t>
  </si>
  <si>
    <t>readwise,save  save,thread  https,t  t,co  链接,https  hitw93,readwise  岁的美国小伙子,很牛逼  18,个神仙影视网站  图标,配图  这些都是免费贼好用的,有需要的可以收藏一下</t>
  </si>
  <si>
    <t>#smc2024,#smprofs  social,media  ap,#smc2024  #ai,#smc2024  jeremyhl,michaelbathurst  ap,#ai</t>
  </si>
  <si>
    <t>steelers,fans  going,find  official,rules  fans,49ers  necessary,official  today,repost  out,steelers  chance,win  starting,season  season,w</t>
  </si>
  <si>
    <t>beautiful,#scenery  new,grads  grads,stipends  delayed,start  #scenery,attracting  #hangzhou,long  helicopter,registration  up,win  kicking,#bitget  usdt,even</t>
  </si>
  <si>
    <t>https://archive.area17.com/directory/2023_openai/36_brand-guidelines.pdf https://t8ipkovzsy.feishu.cn/sheets/ZaaVs8vDPhkcrWttYTXc9bgmnhh?from=from_copylink https://huggingface.co/papers/2309.03241 https://www.craft.me/s/dbj8QJkuZ5ruTB https://bookstash.io/ https://plantegg.github.io/2017/01/01/top_linux_commands/</t>
  </si>
  <si>
    <t>apnews.com nytimes.com linkedin.com cjr.org insidehighered.com nebraskaexaminer.com</t>
  </si>
  <si>
    <t>github.io craft.me feishu.cn area17.com huggingface.co bookstash.io</t>
  </si>
  <si>
    <t>smprofs ai smc2024 earthquake law morocco prprofs highered tech</t>
  </si>
  <si>
    <t>bitget kcgi2023</t>
  </si>
  <si>
    <t>culture bitget kcgi2023 scenery jiande history hangzhou</t>
  </si>
  <si>
    <t>culture nature scenery jiande history hangzhou</t>
  </si>
  <si>
    <t>house finance values holding homeowner crisis fine financial colleagues saas</t>
  </si>
  <si>
    <t>court #smprofs s #smc2024 chip people media social friday ap</t>
  </si>
  <si>
    <t>1.0.1.522</t>
  </si>
  <si>
    <t>The graph was laid out using the Harel-Koren Fast Multiscale layout algorithm.</t>
  </si>
  <si>
    <t>7, 125, 0</t>
  </si>
  <si>
    <t>157, 49, 0</t>
  </si>
  <si>
    <t>G1: thread save readwise https t co hitw93 链接 figma #工程师学习</t>
  </si>
  <si>
    <t>G2: ap #smc2024 #smprofs s people media social court friday chip</t>
  </si>
  <si>
    <t>Edge Weight▓1▓196▓0▓True▓Green▓Red▓▓Edge Weight▓1▓9▓0▓5▓10▓False▓Edge Weight▓1▓196▓0▓16▓6▓False▓▓0▓0▓0▓True▓Black▓Black▓▓Followers▓0▓15986495▓0▓162▓1000▓False▓Followers▓0▓156540746▓0▓100▓70▓False▓▓0▓0▓0▓0▓0▓False▓▓0▓0▓0▓0▓0▓False</t>
  </si>
  <si>
    <t>https://nodexlgraphgallery.org/Pages/Graph.aspx?graphID=292667</t>
  </si>
  <si>
    <t>https://nodexlgraphgallery.org/Images/Image.ashx?graphID=292667&amp;type=f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</si>
</sst>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4">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right style="thin">
        <color theme="0"/>
      </right>
      <top/>
      <bottom/>
    </border>
    <border>
      <left style="thin">
        <color theme="0"/>
      </left>
      <right style="thin">
        <color theme="0"/>
      </right>
      <top style="thin">
        <color theme="0"/>
      </top>
      <bottom/>
    </border>
    <border>
      <left/>
      <right style="thin">
        <color theme="0"/>
      </right>
      <top style="thin">
        <color theme="0"/>
      </top>
      <bottom/>
    </border>
    <border>
      <left/>
      <right style="thin">
        <color theme="0"/>
      </right>
      <top/>
      <bottom style="thin">
        <color theme="0"/>
      </bottom>
    </border>
    <border>
      <left/>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5" xfId="23" applyNumberFormat="1" applyFont="1" applyBorder="1"/>
    <xf numFmtId="0" fontId="0" fillId="3" borderId="6" xfId="23" applyNumberFormat="1" applyFont="1" applyBorder="1"/>
    <xf numFmtId="0" fontId="0" fillId="3" borderId="7" xfId="23" applyNumberFormat="1" applyFont="1" applyBorder="1"/>
    <xf numFmtId="0" fontId="0" fillId="6" borderId="5" xfId="26" applyNumberFormat="1" applyFont="1" applyBorder="1"/>
    <xf numFmtId="0" fontId="6" fillId="6" borderId="7" xfId="26" applyNumberFormat="1" applyFont="1" applyBorder="1"/>
    <xf numFmtId="0" fontId="0" fillId="2" borderId="5" xfId="20" applyNumberFormat="1" applyBorder="1"/>
    <xf numFmtId="0" fontId="0" fillId="2" borderId="7" xfId="20" applyNumberFormat="1" applyBorder="1"/>
    <xf numFmtId="0" fontId="0" fillId="4" borderId="5" xfId="24" applyNumberFormat="1" applyBorder="1"/>
    <xf numFmtId="0" fontId="0" fillId="4" borderId="6" xfId="24" applyNumberFormat="1" applyBorder="1"/>
    <xf numFmtId="49" fontId="0" fillId="0" borderId="0" xfId="22" applyNumberFormat="1" applyFont="1" applyAlignment="1">
      <alignment/>
    </xf>
    <xf numFmtId="22" fontId="0" fillId="0" borderId="0" xfId="0" applyNumberFormat="1"/>
    <xf numFmtId="0" fontId="10" fillId="0" borderId="0" xfId="28" applyAlignment="1">
      <alignment/>
    </xf>
    <xf numFmtId="0" fontId="0" fillId="0" borderId="0" xfId="0" quotePrefix="1"/>
    <xf numFmtId="0" fontId="10" fillId="3" borderId="1" xfId="28" applyNumberFormat="1" applyFill="1" applyBorder="1" applyAlignment="1">
      <alignment/>
    </xf>
    <xf numFmtId="49" fontId="6" fillId="5" borderId="1" xfId="25" applyNumberFormat="1" applyAlignment="1">
      <alignment/>
    </xf>
    <xf numFmtId="0" fontId="0" fillId="3" borderId="8" xfId="23" applyNumberFormat="1" applyFont="1" applyBorder="1"/>
    <xf numFmtId="49" fontId="6" fillId="5" borderId="8" xfId="25" applyNumberFormat="1" applyBorder="1"/>
    <xf numFmtId="0" fontId="0" fillId="6" borderId="8" xfId="26" applyNumberFormat="1" applyFont="1" applyBorder="1"/>
    <xf numFmtId="0" fontId="0" fillId="2" borderId="8"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4"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67" fontId="0" fillId="4" borderId="1" xfId="24" applyNumberFormat="1" applyAlignment="1" quotePrefix="1">
      <alignment/>
    </xf>
    <xf numFmtId="0" fontId="0" fillId="0" borderId="0" xfId="0" applyAlignment="1" quotePrefix="1">
      <alignment wrapText="1"/>
    </xf>
    <xf numFmtId="14" fontId="0" fillId="0" borderId="0" xfId="0" applyNumberFormat="1"/>
    <xf numFmtId="21" fontId="0" fillId="0" borderId="0" xfId="0" applyNumberFormat="1" quotePrefix="1"/>
    <xf numFmtId="22" fontId="0" fillId="0" borderId="0" xfId="0" applyNumberFormat="1" quotePrefix="1"/>
    <xf numFmtId="49" fontId="0" fillId="2" borderId="1" xfId="20" applyNumberFormat="1" applyFont="1"/>
    <xf numFmtId="0" fontId="0" fillId="0" borderId="9" xfId="0" applyBorder="1"/>
    <xf numFmtId="0" fontId="0" fillId="0" borderId="2" xfId="0" applyBorder="1"/>
    <xf numFmtId="1" fontId="0" fillId="4" borderId="10" xfId="24" applyNumberFormat="1" applyBorder="1" applyAlignment="1">
      <alignment/>
    </xf>
    <xf numFmtId="167" fontId="0" fillId="4" borderId="10" xfId="24" applyNumberFormat="1" applyBorder="1" applyAlignment="1">
      <alignment/>
    </xf>
    <xf numFmtId="0" fontId="10" fillId="0" borderId="0" xfId="28" applyFill="1" applyAlignment="1">
      <alignment/>
    </xf>
    <xf numFmtId="49" fontId="0" fillId="0" borderId="9" xfId="22" applyNumberFormat="1" applyFont="1" applyBorder="1" applyAlignment="1">
      <alignment/>
    </xf>
    <xf numFmtId="0" fontId="0" fillId="3" borderId="10" xfId="23" applyNumberFormat="1" applyFont="1" applyBorder="1"/>
    <xf numFmtId="49" fontId="6" fillId="5" borderId="10" xfId="25" applyNumberFormat="1" applyBorder="1"/>
    <xf numFmtId="0" fontId="0" fillId="6" borderId="10" xfId="26" applyNumberFormat="1" applyFont="1" applyBorder="1"/>
    <xf numFmtId="0" fontId="0" fillId="2" borderId="10" xfId="20" applyNumberFormat="1" applyFont="1" applyBorder="1"/>
    <xf numFmtId="1" fontId="0" fillId="4" borderId="11" xfId="24" applyNumberFormat="1" applyBorder="1" applyAlignment="1">
      <alignment/>
    </xf>
    <xf numFmtId="0" fontId="0" fillId="0" borderId="9" xfId="22" applyFont="1" applyBorder="1" applyAlignment="1">
      <alignment/>
    </xf>
    <xf numFmtId="0" fontId="0" fillId="0" borderId="0" xfId="22" applyFont="1" applyBorder="1" applyAlignment="1">
      <alignment/>
    </xf>
    <xf numFmtId="0" fontId="10" fillId="0" borderId="0" xfId="28" applyAlignment="1" quotePrefix="1">
      <alignment/>
    </xf>
    <xf numFmtId="0" fontId="0" fillId="3" borderId="1" xfId="23" applyNumberFormat="1" applyFont="1"/>
    <xf numFmtId="0" fontId="0" fillId="6" borderId="1" xfId="26" applyNumberFormat="1" applyFont="1"/>
    <xf numFmtId="1" fontId="0" fillId="4" borderId="7" xfId="24" applyNumberFormat="1" applyBorder="1" applyAlignment="1">
      <alignment/>
    </xf>
    <xf numFmtId="0" fontId="0" fillId="0" borderId="9" xfId="0" applyBorder="1" quotePrefix="1"/>
    <xf numFmtId="0" fontId="0" fillId="3" borderId="1" xfId="23"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0" fontId="0" fillId="3" borderId="8" xfId="23" applyNumberFormat="1" applyFont="1" applyBorder="1"/>
    <xf numFmtId="0" fontId="0" fillId="2" borderId="8" xfId="20" applyNumberFormat="1" applyFont="1" applyBorder="1"/>
    <xf numFmtId="0" fontId="0" fillId="2" borderId="1" xfId="20" applyNumberFormat="1" applyFont="1"/>
    <xf numFmtId="0" fontId="0" fillId="3" borderId="10" xfId="23" applyNumberFormat="1" applyFont="1" applyBorder="1"/>
    <xf numFmtId="0" fontId="0" fillId="2" borderId="10" xfId="20" applyNumberFormat="1" applyFont="1" applyBorder="1"/>
    <xf numFmtId="0" fontId="0" fillId="0" borderId="0" xfId="0" applyNumberFormat="1"/>
    <xf numFmtId="4" fontId="0" fillId="8" borderId="12" xfId="0" applyNumberFormat="1" applyFont="1" applyFill="1" applyBorder="1"/>
    <xf numFmtId="0" fontId="0" fillId="8" borderId="13" xfId="0" applyNumberFormat="1" applyFont="1" applyFill="1" applyBorder="1"/>
    <xf numFmtId="0" fontId="0" fillId="8" borderId="12" xfId="0" applyNumberFormat="1" applyFont="1" applyFill="1" applyBorder="1"/>
    <xf numFmtId="4" fontId="0" fillId="0" borderId="0" xfId="0" applyNumberFormat="1" applyBorder="1"/>
    <xf numFmtId="4" fontId="0" fillId="9" borderId="12" xfId="0" applyNumberFormat="1" applyFont="1" applyFill="1" applyBorder="1"/>
    <xf numFmtId="0" fontId="0" fillId="9" borderId="13" xfId="0" applyNumberFormat="1" applyFont="1" applyFill="1" applyBorder="1"/>
    <xf numFmtId="0" fontId="0" fillId="9" borderId="12" xfId="0" applyNumberFormat="1" applyFont="1" applyFill="1" applyBorder="1"/>
    <xf numFmtId="0" fontId="0" fillId="0" borderId="0" xfId="0" applyBorder="1"/>
    <xf numFmtId="4" fontId="0" fillId="9" borderId="9" xfId="0" applyNumberFormat="1" applyFont="1" applyFill="1" applyBorder="1"/>
    <xf numFmtId="0" fontId="0" fillId="9" borderId="0" xfId="0" applyNumberFormat="1" applyFont="1" applyFill="1"/>
    <xf numFmtId="0" fontId="0" fillId="9" borderId="9" xfId="0" applyNumberFormat="1" applyFont="1" applyFill="1" applyBorder="1"/>
    <xf numFmtId="49" fontId="0" fillId="0" borderId="0" xfId="0" applyNumberFormat="1" applyAlignment="1">
      <alignment/>
    </xf>
    <xf numFmtId="0" fontId="0" fillId="3" borderId="1" xfId="23" applyNumberFormat="1" applyFont="1" applyBorder="1"/>
    <xf numFmtId="0" fontId="0" fillId="2" borderId="1" xfId="20" applyNumberFormat="1" applyFont="1" applyBorder="1"/>
    <xf numFmtId="1" fontId="0" fillId="4" borderId="1" xfId="24" applyNumberFormat="1" applyBorder="1" applyAlignment="1">
      <alignment/>
    </xf>
    <xf numFmtId="167" fontId="0" fillId="4" borderId="1" xfId="24" applyNumberFormat="1" applyBorder="1" applyAlignment="1">
      <alignment/>
    </xf>
    <xf numFmtId="0" fontId="0" fillId="0" borderId="0" xfId="0" applyFill="1" applyAlignment="1">
      <alignment/>
    </xf>
    <xf numFmtId="0" fontId="0" fillId="0" borderId="0" xfId="0" applyAlignment="1">
      <alignment/>
    </xf>
    <xf numFmtId="0" fontId="0" fillId="0" borderId="0" xfId="0" applyAlignment="1" quotePrefix="1">
      <alignment/>
    </xf>
    <xf numFmtId="0" fontId="0" fillId="0" borderId="0" xfId="0" applyFill="1" applyAlignment="1" quotePrefix="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7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numFmt numFmtId="177" formatCode="@"/>
    </dxf>
    <dxf>
      <numFmt numFmtId="177" formatCode="@"/>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70"/>
      <tableStyleElement type="headerRow" dxfId="569"/>
    </tableStyle>
    <tableStyle name="NodeXL Table" pivot="0" count="1">
      <tableStyleElement type="headerRow" dxfId="56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23" Type="http://schemas.openxmlformats.org/officeDocument/2006/relationships/customXml" Target="../customXml/item4.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v/>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gapWidth val="0"/>
        <c:axId val="25087698"/>
        <c:axId val="24462691"/>
      </c:barChart>
      <c:catAx>
        <c:axId val="25087698"/>
        <c:scaling>
          <c:orientation val="minMax"/>
        </c:scaling>
        <c:axPos val="b"/>
        <c:delete val="1"/>
        <c:majorTickMark val="out"/>
        <c:minorTickMark val="none"/>
        <c:tickLblPos val="none"/>
        <c:crossAx val="24462691"/>
        <c:crosses val="autoZero"/>
        <c:auto val="1"/>
        <c:lblOffset val="100"/>
        <c:noMultiLvlLbl val="0"/>
      </c:catAx>
      <c:valAx>
        <c:axId val="24462691"/>
        <c:scaling>
          <c:orientation val="minMax"/>
        </c:scaling>
        <c:axPos val="l"/>
        <c:delete val="1"/>
        <c:majorTickMark val="out"/>
        <c:minorTickMark val="none"/>
        <c:tickLblPos val="none"/>
        <c:crossAx val="250876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837628"/>
        <c:axId val="35320925"/>
      </c:barChart>
      <c:catAx>
        <c:axId val="188376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320925"/>
        <c:crosses val="autoZero"/>
        <c:auto val="1"/>
        <c:lblOffset val="100"/>
        <c:noMultiLvlLbl val="0"/>
      </c:catAx>
      <c:valAx>
        <c:axId val="35320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7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9452870"/>
        <c:axId val="42422647"/>
      </c:barChart>
      <c:catAx>
        <c:axId val="494528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422647"/>
        <c:crosses val="autoZero"/>
        <c:auto val="1"/>
        <c:lblOffset val="100"/>
        <c:noMultiLvlLbl val="0"/>
      </c:catAx>
      <c:valAx>
        <c:axId val="42422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52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259504"/>
        <c:axId val="13682353"/>
      </c:barChart>
      <c:catAx>
        <c:axId val="462595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682353"/>
        <c:crosses val="autoZero"/>
        <c:auto val="1"/>
        <c:lblOffset val="100"/>
        <c:noMultiLvlLbl val="0"/>
      </c:catAx>
      <c:valAx>
        <c:axId val="13682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032314"/>
        <c:axId val="34528779"/>
      </c:barChart>
      <c:catAx>
        <c:axId val="560323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528779"/>
        <c:crosses val="autoZero"/>
        <c:auto val="1"/>
        <c:lblOffset val="100"/>
        <c:noMultiLvlLbl val="0"/>
      </c:catAx>
      <c:valAx>
        <c:axId val="34528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32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23556"/>
        <c:axId val="45367685"/>
      </c:barChart>
      <c:catAx>
        <c:axId val="423235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67685"/>
        <c:crosses val="autoZero"/>
        <c:auto val="1"/>
        <c:lblOffset val="100"/>
        <c:noMultiLvlLbl val="0"/>
      </c:catAx>
      <c:valAx>
        <c:axId val="45367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3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55982"/>
        <c:axId val="50903839"/>
      </c:barChart>
      <c:catAx>
        <c:axId val="56559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903839"/>
        <c:crosses val="autoZero"/>
        <c:auto val="1"/>
        <c:lblOffset val="100"/>
        <c:noMultiLvlLbl val="0"/>
      </c:catAx>
      <c:valAx>
        <c:axId val="50903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9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481368"/>
        <c:axId val="29570265"/>
      </c:barChart>
      <c:catAx>
        <c:axId val="554813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570265"/>
        <c:crosses val="autoZero"/>
        <c:auto val="1"/>
        <c:lblOffset val="100"/>
        <c:noMultiLvlLbl val="0"/>
      </c:catAx>
      <c:valAx>
        <c:axId val="29570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813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805794"/>
        <c:axId val="46381235"/>
      </c:barChart>
      <c:catAx>
        <c:axId val="6480579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81235"/>
        <c:crosses val="autoZero"/>
        <c:auto val="1"/>
        <c:lblOffset val="100"/>
        <c:noMultiLvlLbl val="0"/>
      </c:catAx>
      <c:valAx>
        <c:axId val="463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05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67" name="Subgraph-jeremy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8" name="Subgraph-bessemervp"/>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9" name="Subgraph-jeremyl_2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70" name="Subgraph-popculture2000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71" name="Subgraph-ccooke66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2" name="Subgraph-jokozlowsk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73" name="Subgraph-effiedo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4" name="Subgraph-nebraskasow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75" name="Subgraph-jaximpera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76" name="Subgraph-jeremyh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77" name="Subgraph-louiselyons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78" name="Subgraph-antothen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79" name="Subgraph-jeremyl75946562"/>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80" name="Subgraph-g29cie3xev6p0y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81" name="Subgraph-jeremyl7241022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82" name="Subgraph-youtu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83" name="Subgraph-wiyo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4" name="Subgraph-xuemanzi884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85" name="Subgraph-whlame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6" name="Subgraph-maoshen04"/>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7" name="Subgraph-hfaxcjqrmpttxou"/>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88" name="Subgraph-jeremyl7803680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9" name="Subgraph-nicoleevien_"/>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90" name="Subgraph-rahsh33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91" name="Subgraph-tdflak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92" name="Subgraph-jeremyl1286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93" name="Subgraph-jeremyl2145748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4" name="Subgraph-aocpresstw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5" name="Subgraph-49er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6" name="Subgraph-elonmuskaoc"/>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nbcs49er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8" name="Subgraph-jl_chap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99" name="Subgraph-nassimretie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0" name="Subgraph-michaelbathurs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1" name="Subgraph-jeremylammert7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2" name="Subgraph-kattenbarg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3" name="Subgraph-the_romaarm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04" name="Subgraph-bitgetgloba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05" name="Subgraph-jeremyl2p4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06" name="Subgraph-jiandevisi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07" name="Subgraph-busin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08" name="Subgraph-savichtak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09" name="Subgraph-jeremyl_7"/>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10" name="Subgraph-mimitheblogger"/>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11" name="Subgraph-kieronfis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12" name="Subgraph-crypto_qianxu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13" name="Subgraph-jeremyl9931399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14" name="Subgraph-bearbi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15" name="Subgraph-ftium4"/>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16" name="Subgraph-jackywin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17" name="Subgraph-gia917229015"/>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18" name="Subgraph-rickaws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19" name="Subgraph-punk2898"/>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20" name="Subgraph-readwis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21" name="Subgraph-hitw9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22" name="Subgraph-_akhaliq"/>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23" name="Subgraph-plantegg"/>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24" name="Subgraph-instigator_h"/>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25" name="Subgraph-csyangchsh"/>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6" name="Subgraph-jeremyl5135738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7" name="Subgraph-elonmusk"/>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8" name="Subgraph-insidehighered"/>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9" name="Subgraph-nytime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30" name="Subgraph-carscuriou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p"/>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3"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5"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6"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7"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8"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9"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odeXLGraph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ges"/>
      <sheetName val="Vertices"/>
      <sheetName val="Do Not Delete"/>
      <sheetName val="Groups"/>
      <sheetName val="Group Vertices"/>
      <sheetName val="Overall Metrics"/>
      <sheetName val="Misc"/>
    </sheetNames>
    <sheetDataSet>
      <sheetData sheetId="0"/>
      <sheetData sheetId="1"/>
      <sheetData sheetId="2"/>
      <sheetData sheetId="3"/>
      <sheetData sheetId="4"/>
      <sheetData sheetId="5">
        <row r="2">
          <cell r="D2">
            <v>0</v>
          </cell>
          <cell r="E2">
            <v>0</v>
          </cell>
          <cell r="F2">
            <v>0</v>
          </cell>
          <cell r="G2">
            <v>0</v>
          </cell>
          <cell r="H2">
            <v>0</v>
          </cell>
          <cell r="I2">
            <v>0</v>
          </cell>
          <cell r="J2">
            <v>0</v>
          </cell>
          <cell r="K2">
            <v>0</v>
          </cell>
          <cell r="L2">
            <v>0</v>
          </cell>
          <cell r="M2">
            <v>0</v>
          </cell>
          <cell r="N2">
            <v>0</v>
          </cell>
          <cell r="O2">
            <v>0</v>
          </cell>
          <cell r="Q2">
            <v>0</v>
          </cell>
          <cell r="R2">
            <v>0</v>
          </cell>
          <cell r="S2">
            <v>0</v>
          </cell>
        </row>
        <row r="3">
          <cell r="D3">
            <v>0</v>
          </cell>
          <cell r="E3">
            <v>0</v>
          </cell>
          <cell r="F3">
            <v>0</v>
          </cell>
          <cell r="G3">
            <v>0</v>
          </cell>
          <cell r="H3">
            <v>0</v>
          </cell>
          <cell r="I3">
            <v>0</v>
          </cell>
          <cell r="J3">
            <v>0</v>
          </cell>
          <cell r="K3">
            <v>0</v>
          </cell>
          <cell r="L3">
            <v>0</v>
          </cell>
          <cell r="M3">
            <v>0</v>
          </cell>
          <cell r="N3">
            <v>0</v>
          </cell>
          <cell r="O3">
            <v>0</v>
          </cell>
          <cell r="Q3">
            <v>0</v>
          </cell>
          <cell r="R3">
            <v>0</v>
          </cell>
          <cell r="S3">
            <v>0</v>
          </cell>
        </row>
        <row r="4">
          <cell r="D4">
            <v>0</v>
          </cell>
          <cell r="E4">
            <v>0</v>
          </cell>
          <cell r="F4">
            <v>0</v>
          </cell>
          <cell r="G4">
            <v>0</v>
          </cell>
          <cell r="H4">
            <v>0</v>
          </cell>
          <cell r="I4">
            <v>0</v>
          </cell>
          <cell r="J4">
            <v>0</v>
          </cell>
          <cell r="K4">
            <v>0</v>
          </cell>
          <cell r="L4">
            <v>0</v>
          </cell>
          <cell r="M4">
            <v>0</v>
          </cell>
          <cell r="N4">
            <v>0</v>
          </cell>
          <cell r="O4">
            <v>0</v>
          </cell>
          <cell r="Q4">
            <v>0</v>
          </cell>
          <cell r="R4">
            <v>0</v>
          </cell>
          <cell r="S4">
            <v>0</v>
          </cell>
        </row>
        <row r="5">
          <cell r="D5">
            <v>0</v>
          </cell>
          <cell r="E5">
            <v>0</v>
          </cell>
          <cell r="F5">
            <v>0</v>
          </cell>
          <cell r="G5">
            <v>0</v>
          </cell>
          <cell r="H5">
            <v>0</v>
          </cell>
          <cell r="I5">
            <v>0</v>
          </cell>
          <cell r="J5">
            <v>0</v>
          </cell>
          <cell r="K5">
            <v>0</v>
          </cell>
          <cell r="L5">
            <v>0</v>
          </cell>
          <cell r="M5">
            <v>0</v>
          </cell>
          <cell r="N5">
            <v>0</v>
          </cell>
          <cell r="O5">
            <v>0</v>
          </cell>
          <cell r="Q5">
            <v>0</v>
          </cell>
          <cell r="R5">
            <v>0</v>
          </cell>
          <cell r="S5">
            <v>0</v>
          </cell>
        </row>
        <row r="6">
          <cell r="D6">
            <v>0</v>
          </cell>
          <cell r="E6">
            <v>0</v>
          </cell>
          <cell r="F6">
            <v>0</v>
          </cell>
          <cell r="G6">
            <v>0</v>
          </cell>
          <cell r="H6">
            <v>0</v>
          </cell>
          <cell r="I6">
            <v>0</v>
          </cell>
          <cell r="J6">
            <v>0</v>
          </cell>
          <cell r="K6">
            <v>0</v>
          </cell>
          <cell r="L6">
            <v>0</v>
          </cell>
          <cell r="M6">
            <v>0</v>
          </cell>
          <cell r="N6">
            <v>0</v>
          </cell>
          <cell r="O6">
            <v>0</v>
          </cell>
          <cell r="Q6">
            <v>0</v>
          </cell>
          <cell r="R6">
            <v>0</v>
          </cell>
          <cell r="S6">
            <v>0</v>
          </cell>
        </row>
        <row r="7">
          <cell r="D7">
            <v>0</v>
          </cell>
          <cell r="E7">
            <v>0</v>
          </cell>
          <cell r="F7">
            <v>0</v>
          </cell>
          <cell r="G7">
            <v>0</v>
          </cell>
          <cell r="H7">
            <v>0</v>
          </cell>
          <cell r="I7">
            <v>0</v>
          </cell>
          <cell r="J7">
            <v>0</v>
          </cell>
          <cell r="K7">
            <v>0</v>
          </cell>
          <cell r="L7">
            <v>0</v>
          </cell>
          <cell r="M7">
            <v>0</v>
          </cell>
          <cell r="N7">
            <v>0</v>
          </cell>
          <cell r="O7">
            <v>0</v>
          </cell>
          <cell r="Q7">
            <v>0</v>
          </cell>
          <cell r="R7">
            <v>0</v>
          </cell>
          <cell r="S7">
            <v>0</v>
          </cell>
        </row>
        <row r="8">
          <cell r="D8">
            <v>0</v>
          </cell>
          <cell r="E8">
            <v>0</v>
          </cell>
          <cell r="F8">
            <v>0</v>
          </cell>
          <cell r="G8">
            <v>0</v>
          </cell>
          <cell r="H8">
            <v>0</v>
          </cell>
          <cell r="I8">
            <v>0</v>
          </cell>
          <cell r="J8">
            <v>0</v>
          </cell>
          <cell r="K8">
            <v>0</v>
          </cell>
          <cell r="L8">
            <v>0</v>
          </cell>
          <cell r="M8">
            <v>0</v>
          </cell>
          <cell r="N8">
            <v>0</v>
          </cell>
          <cell r="O8">
            <v>0</v>
          </cell>
          <cell r="Q8">
            <v>0</v>
          </cell>
          <cell r="R8">
            <v>0</v>
          </cell>
          <cell r="S8">
            <v>0</v>
          </cell>
        </row>
        <row r="9">
          <cell r="D9">
            <v>0</v>
          </cell>
          <cell r="E9">
            <v>0</v>
          </cell>
          <cell r="F9">
            <v>0</v>
          </cell>
          <cell r="G9">
            <v>0</v>
          </cell>
          <cell r="H9">
            <v>0</v>
          </cell>
          <cell r="I9">
            <v>0</v>
          </cell>
          <cell r="J9">
            <v>0</v>
          </cell>
          <cell r="K9">
            <v>0</v>
          </cell>
          <cell r="L9">
            <v>0</v>
          </cell>
          <cell r="M9">
            <v>0</v>
          </cell>
          <cell r="N9">
            <v>0</v>
          </cell>
          <cell r="O9">
            <v>0</v>
          </cell>
          <cell r="Q9">
            <v>0</v>
          </cell>
          <cell r="R9">
            <v>0</v>
          </cell>
          <cell r="S9">
            <v>0</v>
          </cell>
        </row>
        <row r="10">
          <cell r="D10">
            <v>0</v>
          </cell>
          <cell r="E10">
            <v>0</v>
          </cell>
          <cell r="F10">
            <v>0</v>
          </cell>
          <cell r="G10">
            <v>0</v>
          </cell>
          <cell r="H10">
            <v>0</v>
          </cell>
          <cell r="I10">
            <v>0</v>
          </cell>
          <cell r="J10">
            <v>0</v>
          </cell>
          <cell r="K10">
            <v>0</v>
          </cell>
          <cell r="L10">
            <v>0</v>
          </cell>
          <cell r="M10">
            <v>0</v>
          </cell>
          <cell r="N10">
            <v>0</v>
          </cell>
          <cell r="O10">
            <v>0</v>
          </cell>
          <cell r="Q10">
            <v>0</v>
          </cell>
          <cell r="R10">
            <v>0</v>
          </cell>
          <cell r="S10">
            <v>0</v>
          </cell>
        </row>
        <row r="11">
          <cell r="D11">
            <v>0</v>
          </cell>
          <cell r="E11">
            <v>0</v>
          </cell>
          <cell r="F11">
            <v>0</v>
          </cell>
          <cell r="G11">
            <v>0</v>
          </cell>
          <cell r="H11">
            <v>0</v>
          </cell>
          <cell r="I11">
            <v>0</v>
          </cell>
          <cell r="J11">
            <v>0</v>
          </cell>
          <cell r="K11">
            <v>0</v>
          </cell>
          <cell r="L11">
            <v>0</v>
          </cell>
          <cell r="M11">
            <v>0</v>
          </cell>
          <cell r="N11">
            <v>0</v>
          </cell>
          <cell r="O11">
            <v>0</v>
          </cell>
          <cell r="Q11">
            <v>0</v>
          </cell>
          <cell r="R11">
            <v>0</v>
          </cell>
          <cell r="S11">
            <v>0</v>
          </cell>
        </row>
        <row r="12">
          <cell r="D12">
            <v>0</v>
          </cell>
          <cell r="E12">
            <v>0</v>
          </cell>
          <cell r="F12">
            <v>0</v>
          </cell>
          <cell r="G12">
            <v>0</v>
          </cell>
          <cell r="H12">
            <v>0</v>
          </cell>
          <cell r="I12">
            <v>0</v>
          </cell>
          <cell r="J12">
            <v>0</v>
          </cell>
          <cell r="K12">
            <v>0</v>
          </cell>
          <cell r="L12">
            <v>0</v>
          </cell>
          <cell r="M12">
            <v>0</v>
          </cell>
          <cell r="N12">
            <v>0</v>
          </cell>
          <cell r="O12">
            <v>0</v>
          </cell>
          <cell r="Q12">
            <v>0</v>
          </cell>
          <cell r="R12">
            <v>0</v>
          </cell>
          <cell r="S12">
            <v>0</v>
          </cell>
        </row>
        <row r="13">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row>
        <row r="14">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row>
        <row r="15">
          <cell r="D15">
            <v>0</v>
          </cell>
          <cell r="E15">
            <v>0</v>
          </cell>
          <cell r="F15">
            <v>0</v>
          </cell>
          <cell r="G15">
            <v>0</v>
          </cell>
          <cell r="H15">
            <v>0</v>
          </cell>
          <cell r="I15">
            <v>0</v>
          </cell>
          <cell r="J15">
            <v>0</v>
          </cell>
          <cell r="K15">
            <v>0</v>
          </cell>
          <cell r="L15">
            <v>0</v>
          </cell>
          <cell r="M15">
            <v>0</v>
          </cell>
          <cell r="N15">
            <v>0</v>
          </cell>
          <cell r="O15">
            <v>0</v>
          </cell>
          <cell r="Q15">
            <v>0</v>
          </cell>
          <cell r="R15">
            <v>0</v>
          </cell>
          <cell r="S15">
            <v>0</v>
          </cell>
        </row>
        <row r="16">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row>
        <row r="17">
          <cell r="D17">
            <v>0</v>
          </cell>
          <cell r="E17">
            <v>0</v>
          </cell>
          <cell r="F17">
            <v>0</v>
          </cell>
          <cell r="G17">
            <v>0</v>
          </cell>
          <cell r="H17">
            <v>0</v>
          </cell>
          <cell r="I17">
            <v>0</v>
          </cell>
          <cell r="J17">
            <v>0</v>
          </cell>
          <cell r="K17">
            <v>0</v>
          </cell>
          <cell r="L17">
            <v>0</v>
          </cell>
          <cell r="M17">
            <v>0</v>
          </cell>
          <cell r="N17">
            <v>0</v>
          </cell>
          <cell r="O17">
            <v>0</v>
          </cell>
          <cell r="Q17">
            <v>0</v>
          </cell>
          <cell r="R17">
            <v>0</v>
          </cell>
          <cell r="S17">
            <v>0</v>
          </cell>
        </row>
        <row r="18">
          <cell r="D18">
            <v>0</v>
          </cell>
          <cell r="E18">
            <v>0</v>
          </cell>
          <cell r="F18">
            <v>0</v>
          </cell>
          <cell r="G18">
            <v>0</v>
          </cell>
          <cell r="H18">
            <v>0</v>
          </cell>
          <cell r="I18">
            <v>0</v>
          </cell>
          <cell r="J18">
            <v>0</v>
          </cell>
          <cell r="K18">
            <v>0</v>
          </cell>
          <cell r="L18">
            <v>0</v>
          </cell>
          <cell r="M18">
            <v>0</v>
          </cell>
          <cell r="N18">
            <v>0</v>
          </cell>
          <cell r="O18">
            <v>0</v>
          </cell>
          <cell r="Q18">
            <v>0</v>
          </cell>
          <cell r="R18">
            <v>0</v>
          </cell>
          <cell r="S18">
            <v>0</v>
          </cell>
        </row>
        <row r="19">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row>
        <row r="20">
          <cell r="D20">
            <v>0</v>
          </cell>
          <cell r="E20">
            <v>0</v>
          </cell>
          <cell r="F20">
            <v>0</v>
          </cell>
          <cell r="G20">
            <v>0</v>
          </cell>
          <cell r="H20">
            <v>0</v>
          </cell>
          <cell r="I20">
            <v>0</v>
          </cell>
          <cell r="J20">
            <v>0</v>
          </cell>
          <cell r="K20">
            <v>0</v>
          </cell>
          <cell r="L20">
            <v>0</v>
          </cell>
          <cell r="M20">
            <v>0</v>
          </cell>
          <cell r="N20">
            <v>0</v>
          </cell>
          <cell r="O20">
            <v>0</v>
          </cell>
          <cell r="Q20">
            <v>0</v>
          </cell>
          <cell r="R20">
            <v>0</v>
          </cell>
          <cell r="S20">
            <v>0</v>
          </cell>
        </row>
        <row r="21">
          <cell r="D21">
            <v>0</v>
          </cell>
          <cell r="E21">
            <v>0</v>
          </cell>
          <cell r="F21">
            <v>0</v>
          </cell>
          <cell r="G21">
            <v>0</v>
          </cell>
          <cell r="H21">
            <v>0</v>
          </cell>
          <cell r="I21">
            <v>0</v>
          </cell>
          <cell r="J21">
            <v>0</v>
          </cell>
          <cell r="K21">
            <v>0</v>
          </cell>
          <cell r="L21">
            <v>0</v>
          </cell>
          <cell r="M21">
            <v>0</v>
          </cell>
          <cell r="N21">
            <v>0</v>
          </cell>
          <cell r="O21">
            <v>0</v>
          </cell>
          <cell r="Q21">
            <v>0</v>
          </cell>
          <cell r="R21">
            <v>0</v>
          </cell>
          <cell r="S21">
            <v>0</v>
          </cell>
        </row>
        <row r="22">
          <cell r="D22">
            <v>0</v>
          </cell>
          <cell r="E22">
            <v>0</v>
          </cell>
          <cell r="F22">
            <v>0</v>
          </cell>
          <cell r="G22">
            <v>0</v>
          </cell>
          <cell r="H22">
            <v>0</v>
          </cell>
          <cell r="I22">
            <v>0</v>
          </cell>
          <cell r="J22">
            <v>0</v>
          </cell>
          <cell r="K22">
            <v>0</v>
          </cell>
          <cell r="L22">
            <v>0</v>
          </cell>
          <cell r="M22">
            <v>0</v>
          </cell>
          <cell r="N22">
            <v>0</v>
          </cell>
          <cell r="O22">
            <v>0</v>
          </cell>
          <cell r="Q22">
            <v>0</v>
          </cell>
          <cell r="R22">
            <v>0</v>
          </cell>
          <cell r="S22">
            <v>0</v>
          </cell>
        </row>
        <row r="23">
          <cell r="D23">
            <v>0</v>
          </cell>
          <cell r="E23">
            <v>0</v>
          </cell>
          <cell r="F23">
            <v>0</v>
          </cell>
          <cell r="G23">
            <v>0</v>
          </cell>
          <cell r="H23">
            <v>0</v>
          </cell>
          <cell r="I23">
            <v>0</v>
          </cell>
          <cell r="J23">
            <v>0</v>
          </cell>
          <cell r="K23">
            <v>0</v>
          </cell>
          <cell r="L23">
            <v>0</v>
          </cell>
          <cell r="M23">
            <v>0</v>
          </cell>
          <cell r="N23">
            <v>0</v>
          </cell>
          <cell r="O23">
            <v>0</v>
          </cell>
          <cell r="Q23">
            <v>0</v>
          </cell>
          <cell r="R23">
            <v>0</v>
          </cell>
          <cell r="S23">
            <v>0</v>
          </cell>
        </row>
        <row r="24">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row>
        <row r="25">
          <cell r="D25">
            <v>0</v>
          </cell>
          <cell r="E25">
            <v>0</v>
          </cell>
          <cell r="F25">
            <v>0</v>
          </cell>
          <cell r="G25">
            <v>0</v>
          </cell>
          <cell r="H25">
            <v>0</v>
          </cell>
          <cell r="I25">
            <v>0</v>
          </cell>
          <cell r="J25">
            <v>0</v>
          </cell>
          <cell r="K25">
            <v>0</v>
          </cell>
          <cell r="L25">
            <v>0</v>
          </cell>
          <cell r="M25">
            <v>0</v>
          </cell>
          <cell r="N25">
            <v>0</v>
          </cell>
          <cell r="O25">
            <v>0</v>
          </cell>
          <cell r="Q25">
            <v>0</v>
          </cell>
          <cell r="R25">
            <v>0</v>
          </cell>
          <cell r="S25">
            <v>0</v>
          </cell>
        </row>
        <row r="26">
          <cell r="D26">
            <v>0</v>
          </cell>
          <cell r="E26">
            <v>0</v>
          </cell>
          <cell r="F26">
            <v>0</v>
          </cell>
          <cell r="G26">
            <v>0</v>
          </cell>
          <cell r="H26">
            <v>0</v>
          </cell>
          <cell r="I26">
            <v>0</v>
          </cell>
          <cell r="J26">
            <v>0</v>
          </cell>
          <cell r="K26">
            <v>0</v>
          </cell>
          <cell r="L26">
            <v>0</v>
          </cell>
          <cell r="M26">
            <v>0</v>
          </cell>
          <cell r="N26">
            <v>0</v>
          </cell>
          <cell r="O26">
            <v>0</v>
          </cell>
          <cell r="Q26">
            <v>0</v>
          </cell>
          <cell r="R26">
            <v>0</v>
          </cell>
          <cell r="S26">
            <v>0</v>
          </cell>
        </row>
        <row r="27">
          <cell r="D27">
            <v>0</v>
          </cell>
          <cell r="E27">
            <v>0</v>
          </cell>
          <cell r="F27">
            <v>0</v>
          </cell>
          <cell r="G27">
            <v>0</v>
          </cell>
          <cell r="H27">
            <v>0</v>
          </cell>
          <cell r="I27">
            <v>0</v>
          </cell>
          <cell r="J27">
            <v>0</v>
          </cell>
          <cell r="K27">
            <v>0</v>
          </cell>
          <cell r="L27">
            <v>0</v>
          </cell>
          <cell r="M27">
            <v>0</v>
          </cell>
          <cell r="N27">
            <v>0</v>
          </cell>
          <cell r="O27">
            <v>0</v>
          </cell>
          <cell r="Q27">
            <v>0</v>
          </cell>
          <cell r="R27">
            <v>0</v>
          </cell>
          <cell r="S27">
            <v>0</v>
          </cell>
        </row>
        <row r="28">
          <cell r="D28">
            <v>0</v>
          </cell>
          <cell r="E28">
            <v>0</v>
          </cell>
          <cell r="F28">
            <v>0</v>
          </cell>
          <cell r="G28">
            <v>0</v>
          </cell>
          <cell r="H28">
            <v>0</v>
          </cell>
          <cell r="I28">
            <v>0</v>
          </cell>
          <cell r="J28">
            <v>0</v>
          </cell>
          <cell r="K28">
            <v>0</v>
          </cell>
          <cell r="L28">
            <v>0</v>
          </cell>
          <cell r="M28">
            <v>0</v>
          </cell>
          <cell r="N28">
            <v>0</v>
          </cell>
          <cell r="O28">
            <v>0</v>
          </cell>
          <cell r="Q28">
            <v>0</v>
          </cell>
          <cell r="R28">
            <v>0</v>
          </cell>
          <cell r="S28">
            <v>0</v>
          </cell>
        </row>
        <row r="29">
          <cell r="D29">
            <v>0</v>
          </cell>
          <cell r="E29">
            <v>0</v>
          </cell>
          <cell r="F29">
            <v>0</v>
          </cell>
          <cell r="G29">
            <v>0</v>
          </cell>
          <cell r="H29">
            <v>0</v>
          </cell>
          <cell r="I29">
            <v>0</v>
          </cell>
          <cell r="J29">
            <v>0</v>
          </cell>
          <cell r="K29">
            <v>0</v>
          </cell>
          <cell r="L29">
            <v>0</v>
          </cell>
          <cell r="M29">
            <v>0</v>
          </cell>
          <cell r="N29">
            <v>0</v>
          </cell>
          <cell r="O29">
            <v>0</v>
          </cell>
          <cell r="Q29">
            <v>0</v>
          </cell>
          <cell r="R29">
            <v>0</v>
          </cell>
          <cell r="S29">
            <v>0</v>
          </cell>
        </row>
        <row r="30">
          <cell r="D30">
            <v>0</v>
          </cell>
          <cell r="E30">
            <v>0</v>
          </cell>
          <cell r="F30">
            <v>0</v>
          </cell>
          <cell r="G30">
            <v>0</v>
          </cell>
          <cell r="H30">
            <v>0</v>
          </cell>
          <cell r="I30">
            <v>0</v>
          </cell>
          <cell r="J30">
            <v>0</v>
          </cell>
          <cell r="K30">
            <v>0</v>
          </cell>
          <cell r="L30">
            <v>0</v>
          </cell>
          <cell r="M30">
            <v>0</v>
          </cell>
          <cell r="N30">
            <v>0</v>
          </cell>
          <cell r="O30">
            <v>0</v>
          </cell>
          <cell r="Q30">
            <v>0</v>
          </cell>
          <cell r="R30">
            <v>0</v>
          </cell>
          <cell r="S30">
            <v>0</v>
          </cell>
        </row>
        <row r="31">
          <cell r="D31">
            <v>0</v>
          </cell>
          <cell r="E31">
            <v>0</v>
          </cell>
          <cell r="F31">
            <v>0</v>
          </cell>
          <cell r="G31">
            <v>0</v>
          </cell>
          <cell r="H31">
            <v>0</v>
          </cell>
          <cell r="I31">
            <v>0</v>
          </cell>
          <cell r="J31">
            <v>0</v>
          </cell>
          <cell r="K31">
            <v>0</v>
          </cell>
          <cell r="L31">
            <v>0</v>
          </cell>
          <cell r="M31">
            <v>0</v>
          </cell>
          <cell r="N31">
            <v>0</v>
          </cell>
          <cell r="O31">
            <v>0</v>
          </cell>
          <cell r="Q31">
            <v>0</v>
          </cell>
          <cell r="R31">
            <v>0</v>
          </cell>
          <cell r="S31">
            <v>0</v>
          </cell>
        </row>
        <row r="32">
          <cell r="D32">
            <v>0</v>
          </cell>
          <cell r="E32">
            <v>0</v>
          </cell>
          <cell r="F32">
            <v>0</v>
          </cell>
          <cell r="G32">
            <v>0</v>
          </cell>
          <cell r="H32">
            <v>0</v>
          </cell>
          <cell r="I32">
            <v>0</v>
          </cell>
          <cell r="J32">
            <v>0</v>
          </cell>
          <cell r="K32">
            <v>0</v>
          </cell>
          <cell r="L32">
            <v>0</v>
          </cell>
          <cell r="M32">
            <v>0</v>
          </cell>
          <cell r="N32">
            <v>0</v>
          </cell>
          <cell r="O32">
            <v>0</v>
          </cell>
          <cell r="Q32">
            <v>0</v>
          </cell>
          <cell r="R32">
            <v>0</v>
          </cell>
          <cell r="S32">
            <v>0</v>
          </cell>
        </row>
        <row r="33">
          <cell r="D33">
            <v>0</v>
          </cell>
          <cell r="E33">
            <v>0</v>
          </cell>
          <cell r="F33">
            <v>0</v>
          </cell>
          <cell r="G33">
            <v>0</v>
          </cell>
          <cell r="H33">
            <v>0</v>
          </cell>
          <cell r="I33">
            <v>0</v>
          </cell>
          <cell r="J33">
            <v>0</v>
          </cell>
          <cell r="K33">
            <v>0</v>
          </cell>
          <cell r="L33">
            <v>0</v>
          </cell>
          <cell r="M33">
            <v>0</v>
          </cell>
          <cell r="N33">
            <v>0</v>
          </cell>
          <cell r="O33">
            <v>0</v>
          </cell>
          <cell r="Q33">
            <v>0</v>
          </cell>
          <cell r="R33">
            <v>0</v>
          </cell>
          <cell r="S33">
            <v>0</v>
          </cell>
        </row>
        <row r="34">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row>
        <row r="35">
          <cell r="D35">
            <v>0</v>
          </cell>
          <cell r="E35">
            <v>0</v>
          </cell>
          <cell r="F35">
            <v>0</v>
          </cell>
          <cell r="G35">
            <v>0</v>
          </cell>
          <cell r="H35">
            <v>0</v>
          </cell>
          <cell r="I35">
            <v>0</v>
          </cell>
          <cell r="J35">
            <v>0</v>
          </cell>
          <cell r="K35">
            <v>0</v>
          </cell>
          <cell r="L35">
            <v>0</v>
          </cell>
          <cell r="M35">
            <v>0</v>
          </cell>
          <cell r="N35">
            <v>0</v>
          </cell>
          <cell r="O35">
            <v>0</v>
          </cell>
          <cell r="Q35">
            <v>0</v>
          </cell>
          <cell r="R35">
            <v>0</v>
          </cell>
          <cell r="S35">
            <v>0</v>
          </cell>
        </row>
        <row r="36">
          <cell r="D36">
            <v>0</v>
          </cell>
          <cell r="E36">
            <v>0</v>
          </cell>
          <cell r="F36">
            <v>0</v>
          </cell>
          <cell r="G36">
            <v>0</v>
          </cell>
          <cell r="H36">
            <v>0</v>
          </cell>
          <cell r="I36">
            <v>0</v>
          </cell>
          <cell r="J36">
            <v>0</v>
          </cell>
          <cell r="K36">
            <v>0</v>
          </cell>
          <cell r="L36">
            <v>0</v>
          </cell>
          <cell r="M36">
            <v>0</v>
          </cell>
          <cell r="N36">
            <v>0</v>
          </cell>
          <cell r="O36">
            <v>0</v>
          </cell>
          <cell r="Q36">
            <v>0</v>
          </cell>
          <cell r="R36">
            <v>0</v>
          </cell>
          <cell r="S36">
            <v>0</v>
          </cell>
        </row>
      </sheetData>
      <sheetData sheetId="6">
        <row r="2">
          <cell r="A2" t="str">
            <v>Show</v>
          </cell>
          <cell r="B2" t="str">
            <v>Solid</v>
          </cell>
          <cell r="C2" t="str">
            <v>Show if in an Edge</v>
          </cell>
          <cell r="D2" t="str">
            <v>Circle</v>
          </cell>
          <cell r="E2" t="str">
            <v>Circle</v>
          </cell>
          <cell r="F2" t="str">
            <v>Show</v>
          </cell>
          <cell r="G2" t="str">
            <v>No</v>
          </cell>
          <cell r="H2" t="str">
            <v>Nowhere</v>
          </cell>
        </row>
        <row r="3">
          <cell r="A3" t="str">
            <v>Skip</v>
          </cell>
          <cell r="B3" t="str">
            <v>Dash</v>
          </cell>
          <cell r="C3" t="str">
            <v>Skip</v>
          </cell>
          <cell r="D3" t="str">
            <v>Disk</v>
          </cell>
          <cell r="E3" t="str">
            <v>Disk</v>
          </cell>
          <cell r="F3" t="str">
            <v>Skip</v>
          </cell>
          <cell r="G3" t="str">
            <v>Yes</v>
          </cell>
          <cell r="H3" t="str">
            <v>Top Left</v>
          </cell>
        </row>
        <row r="4">
          <cell r="A4" t="str">
            <v>Hide</v>
          </cell>
          <cell r="B4" t="str">
            <v>Dot</v>
          </cell>
          <cell r="C4" t="str">
            <v>Hide</v>
          </cell>
          <cell r="D4" t="str">
            <v>Sphere</v>
          </cell>
          <cell r="E4" t="str">
            <v>Sphere</v>
          </cell>
          <cell r="F4" t="str">
            <v>Hide</v>
          </cell>
          <cell r="G4">
            <v>0</v>
          </cell>
          <cell r="H4" t="str">
            <v>Top Center</v>
          </cell>
        </row>
        <row r="5">
          <cell r="A5">
            <v>1</v>
          </cell>
          <cell r="B5" t="str">
            <v>Dash Dot</v>
          </cell>
          <cell r="C5" t="str">
            <v>Show</v>
          </cell>
          <cell r="D5" t="str">
            <v>Square</v>
          </cell>
          <cell r="E5" t="str">
            <v>Square</v>
          </cell>
          <cell r="F5">
            <v>1</v>
          </cell>
          <cell r="G5">
            <v>1</v>
          </cell>
          <cell r="H5" t="str">
            <v>Top Right</v>
          </cell>
        </row>
        <row r="6">
          <cell r="A6">
            <v>0</v>
          </cell>
          <cell r="B6" t="str">
            <v>Dash Dot Dot</v>
          </cell>
          <cell r="C6">
            <v>1</v>
          </cell>
          <cell r="D6" t="str">
            <v>Solid Square</v>
          </cell>
          <cell r="E6" t="str">
            <v>Solid Square</v>
          </cell>
          <cell r="F6">
            <v>0</v>
          </cell>
          <cell r="H6" t="str">
            <v>Middle Left</v>
          </cell>
        </row>
        <row r="7">
          <cell r="A7">
            <v>2</v>
          </cell>
          <cell r="B7">
            <v>1</v>
          </cell>
          <cell r="C7">
            <v>0</v>
          </cell>
          <cell r="D7" t="str">
            <v>Diamond</v>
          </cell>
          <cell r="E7" t="str">
            <v>Diamond</v>
          </cell>
          <cell r="F7">
            <v>2</v>
          </cell>
          <cell r="H7" t="str">
            <v>Middle Center</v>
          </cell>
        </row>
        <row r="8">
          <cell r="B8">
            <v>2</v>
          </cell>
          <cell r="C8">
            <v>2</v>
          </cell>
          <cell r="D8" t="str">
            <v>Solid Diamond</v>
          </cell>
          <cell r="E8" t="str">
            <v>Solid Diamond</v>
          </cell>
          <cell r="H8" t="str">
            <v>Middle Right</v>
          </cell>
        </row>
        <row r="9">
          <cell r="B9">
            <v>3</v>
          </cell>
          <cell r="C9">
            <v>4</v>
          </cell>
          <cell r="D9" t="str">
            <v>Triangle</v>
          </cell>
          <cell r="E9" t="str">
            <v>Triangle</v>
          </cell>
          <cell r="H9" t="str">
            <v>Bottom Left</v>
          </cell>
        </row>
        <row r="10">
          <cell r="B10">
            <v>4</v>
          </cell>
          <cell r="D10" t="str">
            <v>Solid Triangle</v>
          </cell>
          <cell r="E10" t="str">
            <v>Solid Triangle</v>
          </cell>
          <cell r="H10" t="str">
            <v>Bottom Center</v>
          </cell>
        </row>
        <row r="11">
          <cell r="B11">
            <v>5</v>
          </cell>
          <cell r="D11" t="str">
            <v>Label</v>
          </cell>
          <cell r="E11">
            <v>1</v>
          </cell>
          <cell r="H11" t="str">
            <v>Bottom Right</v>
          </cell>
        </row>
        <row r="12">
          <cell r="D12" t="str">
            <v>Image</v>
          </cell>
          <cell r="E12">
            <v>2</v>
          </cell>
          <cell r="H12">
            <v>0</v>
          </cell>
        </row>
        <row r="13">
          <cell r="D13">
            <v>1</v>
          </cell>
          <cell r="E13">
            <v>3</v>
          </cell>
          <cell r="H13">
            <v>1</v>
          </cell>
        </row>
        <row r="14">
          <cell r="D14">
            <v>2</v>
          </cell>
          <cell r="E14">
            <v>4</v>
          </cell>
          <cell r="H14">
            <v>2</v>
          </cell>
        </row>
        <row r="15">
          <cell r="D15">
            <v>3</v>
          </cell>
          <cell r="E15">
            <v>5</v>
          </cell>
          <cell r="H15">
            <v>3</v>
          </cell>
        </row>
        <row r="16">
          <cell r="D16">
            <v>4</v>
          </cell>
          <cell r="E16">
            <v>6</v>
          </cell>
          <cell r="H16">
            <v>4</v>
          </cell>
        </row>
        <row r="17">
          <cell r="D17">
            <v>5</v>
          </cell>
          <cell r="E17">
            <v>7</v>
          </cell>
          <cell r="H17">
            <v>5</v>
          </cell>
        </row>
        <row r="18">
          <cell r="D18">
            <v>6</v>
          </cell>
          <cell r="E18">
            <v>8</v>
          </cell>
          <cell r="H18">
            <v>6</v>
          </cell>
        </row>
        <row r="19">
          <cell r="D19">
            <v>7</v>
          </cell>
          <cell r="E19">
            <v>9</v>
          </cell>
          <cell r="H19">
            <v>7</v>
          </cell>
        </row>
        <row r="20">
          <cell r="D20">
            <v>8</v>
          </cell>
          <cell r="H20">
            <v>8</v>
          </cell>
        </row>
        <row r="21">
          <cell r="D21">
            <v>9</v>
          </cell>
          <cell r="H21">
            <v>9</v>
          </cell>
        </row>
        <row r="22">
          <cell r="D22">
            <v>10</v>
          </cell>
        </row>
        <row r="23">
          <cell r="D23">
            <v>11</v>
          </cell>
        </row>
      </sheetData>
    </sheetDataSet>
  </externalBook>
</externalLink>
</file>

<file path=xl/tables/table1.xml><?xml version="1.0" encoding="utf-8"?>
<table xmlns="http://schemas.openxmlformats.org/spreadsheetml/2006/main" id="1" name="Edges" displayName="Edges" ref="A2:DX131" totalsRowShown="0" headerRowDxfId="567" dataDxfId="566">
  <autoFilter ref="A2:DX131"/>
  <tableColumns count="128">
    <tableColumn id="1" name="Vertex 1" dataDxfId="565"/>
    <tableColumn id="2" name="Vertex 2" dataDxfId="564"/>
    <tableColumn id="3" name="Color" dataDxfId="563"/>
    <tableColumn id="4" name="Width" dataDxfId="562"/>
    <tableColumn id="11" name="Style" dataDxfId="561"/>
    <tableColumn id="5" name="Opacity" dataDxfId="560"/>
    <tableColumn id="6" name="Visibility" dataDxfId="559"/>
    <tableColumn id="10" name="Label" dataDxfId="558"/>
    <tableColumn id="12" name="Label Text Color" dataDxfId="557"/>
    <tableColumn id="13" name="Label Font Size" dataDxfId="556"/>
    <tableColumn id="14" name="Reciprocated?" dataDxfId="289"/>
    <tableColumn id="7" name="ID" dataDxfId="555"/>
    <tableColumn id="9" name="Dynamic Filter" dataDxfId="554"/>
    <tableColumn id="8" name="Add Your Own Columns Here" dataDxfId="553"/>
    <tableColumn id="15" name="Relationship" dataDxfId="552"/>
    <tableColumn id="16" name="Relationship Date (UTC)" dataDxfId="551"/>
    <tableColumn id="17" name="Tweet" dataDxfId="550"/>
    <tableColumn id="18" name="URLs in Tweet" dataDxfId="549"/>
    <tableColumn id="19" name="Domains in Tweet" dataDxfId="548"/>
    <tableColumn id="20" name="Hashtags in Tweet" dataDxfId="547"/>
    <tableColumn id="21" name="Tweet Date (UTC)" dataDxfId="546"/>
    <tableColumn id="22" name="Twitter Page for Tweet" dataDxfId="545"/>
    <tableColumn id="23" name="Latitude" dataDxfId="544"/>
    <tableColumn id="24" name="Longitude" dataDxfId="543"/>
    <tableColumn id="25" name="Imported ID" dataDxfId="542"/>
    <tableColumn id="26" name="In-Reply-To Tweet ID" dataDxfId="541"/>
    <tableColumn id="27" name="Edge Weight" dataDxfId="540"/>
    <tableColumn id="28" name="Sentiment List #1: Positive Word Count" dataDxfId="539"/>
    <tableColumn id="29" name="Sentiment List #1: Positive Word Percentage (%)" dataDxfId="538"/>
    <tableColumn id="30" name="Sentiment List #2: Negative Word Count" dataDxfId="537"/>
    <tableColumn id="31" name="Sentiment List #2: Negative Word Percentage (%)" dataDxfId="536"/>
    <tableColumn id="32" name="Sentiment List #3: (Add your own word list) Word Count" dataDxfId="535"/>
    <tableColumn id="33" name="Sentiment List #3: (Add your own word list) Word Percentage (%)" dataDxfId="47"/>
    <tableColumn id="34" name="Non-categorized Word Count" dataDxfId="46"/>
    <tableColumn id="35" name="Non-categorized Word Percentage (%)" dataDxfId="45"/>
    <tableColumn id="36" name="Edge Content Word Count" dataDxfId="43"/>
    <tableColumn id="37" name="Media in Tweet" dataDxfId="44"/>
    <tableColumn id="38" name="Tweet Image File" dataDxfId="534"/>
    <tableColumn id="39" name="Favorited" dataDxfId="533"/>
    <tableColumn id="40" name="Favorite Count" dataDxfId="532"/>
    <tableColumn id="41" name="In-Reply-To User ID" dataDxfId="531"/>
    <tableColumn id="42" name="Is Quote Status" dataDxfId="530"/>
    <tableColumn id="43" name="Language" dataDxfId="529"/>
    <tableColumn id="44" name="Possibly Sensitive" dataDxfId="528"/>
    <tableColumn id="45" name="Quoted Status ID" dataDxfId="527"/>
    <tableColumn id="46" name="Retweeted" dataDxfId="526"/>
    <tableColumn id="47" name="Retweet Count" dataDxfId="525"/>
    <tableColumn id="48" name="Retweet ID" dataDxfId="524"/>
    <tableColumn id="49" name="Source" dataDxfId="523"/>
    <tableColumn id="50" name="Truncated" dataDxfId="522"/>
    <tableColumn id="51" name="Unified Twitter ID" dataDxfId="521"/>
    <tableColumn id="52" name="Imported Tweet Type" dataDxfId="520"/>
    <tableColumn id="53" name="Added By Extended Analysis" dataDxfId="519"/>
    <tableColumn id="54" name="Corrected By Extended Analysis" dataDxfId="518"/>
    <tableColumn id="55" name="Place Bounding Box" dataDxfId="517"/>
    <tableColumn id="56" name="Place Country" dataDxfId="516"/>
    <tableColumn id="57" name="Place Country Code" dataDxfId="515"/>
    <tableColumn id="58" name="Place Full Name" dataDxfId="514"/>
    <tableColumn id="59" name="Place ID" dataDxfId="513"/>
    <tableColumn id="60" name="Place Name" dataDxfId="512"/>
    <tableColumn id="61" name="Place Type" dataDxfId="511"/>
    <tableColumn id="62" name="Place URL" dataDxfId="307"/>
    <tableColumn id="63" name="Vertex 1 Group" dataDxfId="306">
      <calculatedColumnFormula>REPLACE(INDEX(GroupVertices[Group], MATCH(Edges[[#This Row],[Vertex 1]],GroupVertices[Vertex],0)),1,1,"")</calculatedColumnFormula>
    </tableColumn>
    <tableColumn id="64" name="Vertex 2 Group" dataDxfId="304">
      <calculatedColumnFormula>REPLACE(INDEX(GroupVertices[Group], MATCH(Edges[[#This Row],[Vertex 2]],GroupVertices[Vertex],0)),1,1,"")</calculatedColumnFormula>
    </tableColumn>
    <tableColumn id="65" name="Date" dataDxfId="305"/>
    <tableColumn id="66" name="Time" dataDxfId="55"/>
    <tableColumn id="67" name="Sentiment List #1: List1 Word Count" dataDxfId="54"/>
    <tableColumn id="68" name="Sentiment List #1: List1 Word Percentage (%)" dataDxfId="53"/>
    <tableColumn id="69" name="Sentiment List #2: List2 Word Count" dataDxfId="52"/>
    <tableColumn id="70" name="Sentiment List #2: List2 Word Percentage (%)" dataDxfId="51"/>
    <tableColumn id="71" name="Sentiment List #3: List3 Word Count" dataDxfId="50"/>
    <tableColumn id="72" name="Sentiment List #3: List3 Word Percentage (%)" dataDxfId="48"/>
    <tableColumn id="73" name="Reply Count" dataDxfId="49"/>
    <tableColumn id="74" name="Quote Count" dataDxfId="510"/>
    <tableColumn id="75" name="Impression Count" dataDxfId="509"/>
    <tableColumn id="76" name="Mentions in Tweet" dataDxfId="508"/>
    <tableColumn id="77" name="Cashtags in Tweet" dataDxfId="507"/>
    <tableColumn id="78" name="Media Type" dataDxfId="506"/>
    <tableColumn id="79" name="Reply Settings" dataDxfId="505"/>
    <tableColumn id="80" name="Annotations" dataDxfId="504"/>
    <tableColumn id="81" name="Context Annotations" dataDxfId="503"/>
    <tableColumn id="82" name="Media Key" dataDxfId="502"/>
    <tableColumn id="83" name="Media Duration (ms)" dataDxfId="501"/>
    <tableColumn id="84" name="Media Height" dataDxfId="500"/>
    <tableColumn id="85" name="Media Width" dataDxfId="499"/>
    <tableColumn id="86" name="Media View Count" dataDxfId="498"/>
    <tableColumn id="87" name="Media Alt Text" dataDxfId="497"/>
    <tableColumn id="88" name="Media Variants" dataDxfId="496"/>
    <tableColumn id="89" name="Conversation ID" dataDxfId="495"/>
    <tableColumn id="90" name="In Reply To User ID" dataDxfId="494"/>
    <tableColumn id="91" name="In Reply To Tweet ID" dataDxfId="493"/>
    <tableColumn id="92" name="Author ID" dataDxfId="492"/>
    <tableColumn id="93" name="Withheld" dataDxfId="491"/>
    <tableColumn id="94" name="Poll ID" dataDxfId="490"/>
    <tableColumn id="95" name="Poll Options" dataDxfId="489"/>
    <tableColumn id="96" name="Poll Duration" dataDxfId="488"/>
    <tableColumn id="97" name="Poll End Date" dataDxfId="487"/>
    <tableColumn id="98" name="Poll Voting Status" dataDxfId="486"/>
    <tableColumn id="99" name="Relationship Date" dataDxfId="485"/>
    <tableColumn id="100" name="Text" dataDxfId="484"/>
    <tableColumn id="101" name="Media in Post" dataDxfId="483"/>
    <tableColumn id="102" name="Subreddit" dataDxfId="482"/>
    <tableColumn id="103" name="Author" dataDxfId="481"/>
    <tableColumn id="104" name="Fullname" dataDxfId="480"/>
    <tableColumn id="105" name="Permalink" dataDxfId="479"/>
    <tableColumn id="106" name="Created Date" dataDxfId="478"/>
    <tableColumn id="107" name="Edited Date" dataDxfId="477"/>
    <tableColumn id="108" name="Removed" dataDxfId="476"/>
    <tableColumn id="109" name="Spam" dataDxfId="475"/>
    <tableColumn id="110" name="Score" dataDxfId="474"/>
    <tableColumn id="111" name="Up Votes" dataDxfId="473"/>
    <tableColumn id="112" name="Down Votes" dataDxfId="472"/>
    <tableColumn id="113" name="Awards" dataDxfId="471"/>
    <tableColumn id="114" name="Is Upvoted" dataDxfId="470"/>
    <tableColumn id="115" name="Is Downvoted" dataDxfId="469"/>
    <tableColumn id="116" name="Post Title" dataDxfId="468"/>
    <tableColumn id="117" name="Not Safe For Work" dataDxfId="467"/>
    <tableColumn id="118" name="Upvote Ratio" dataDxfId="466"/>
    <tableColumn id="119" name="Parent ID" dataDxfId="465"/>
    <tableColumn id="120" name="Parent Fullname" dataDxfId="464"/>
    <tableColumn id="121" name="Unified Reddit ID" dataDxfId="463"/>
    <tableColumn id="122" name="Number of Replies" dataDxfId="462"/>
    <tableColumn id="123" name="Root" dataDxfId="461"/>
    <tableColumn id="124" name="Is Submitter" dataDxfId="460"/>
    <tableColumn id="125" name="Collapsed" dataDxfId="459"/>
    <tableColumn id="126" name="Collapsed Reason" dataDxfId="458"/>
    <tableColumn id="127" name="Score Hidden" dataDxfId="457"/>
    <tableColumn id="128" name="Depth" dataDxfId="456"/>
  </tableColumns>
  <tableStyleInfo name="NodeXL Table" showFirstColumn="0" showLastColumn="0" showRowStripes="0" showColumnStripes="0"/>
</table>
</file>

<file path=xl/tables/table10.xml><?xml version="1.0" encoding="utf-8"?>
<table xmlns="http://schemas.openxmlformats.org/spreadsheetml/2006/main" id="15"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7" totalsRowShown="0" headerRowDxfId="350" dataDxfId="349">
  <autoFilter ref="A2:C17"/>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6" name="TwitterSearchNetworkTopItems_1" displayName="TwitterSearchNetworkTopItems_1" ref="A1:V11" totalsRowShown="0" headerRowDxfId="288" dataDxfId="287">
  <autoFilter ref="A1:V11"/>
  <tableColumns count="22">
    <tableColumn id="1" name="Top URLs in Tweet in Entire Graph" dataDxfId="286"/>
    <tableColumn id="2" name="Entire Graph Count" dataDxfId="285"/>
    <tableColumn id="3" name="Top URLs in Tweet in G1" dataDxfId="284"/>
    <tableColumn id="4" name="G1 Count" dataDxfId="283"/>
    <tableColumn id="5" name="Top URLs in Tweet in G2" dataDxfId="282"/>
    <tableColumn id="6" name="G2 Count" dataDxfId="281"/>
    <tableColumn id="7" name="Top URLs in Tweet in G3" dataDxfId="280"/>
    <tableColumn id="8" name="G3 Count" dataDxfId="279"/>
    <tableColumn id="9" name="Top URLs in Tweet in G4" dataDxfId="278"/>
    <tableColumn id="10" name="G4 Count" dataDxfId="277"/>
    <tableColumn id="11" name="Top URLs in Tweet in G5" dataDxfId="276"/>
    <tableColumn id="12" name="G5 Count" dataDxfId="275"/>
    <tableColumn id="13" name="Top URLs in Tweet in G6" dataDxfId="274"/>
    <tableColumn id="14" name="G6 Count" dataDxfId="273"/>
    <tableColumn id="15" name="Top URLs in Tweet in G7" dataDxfId="272"/>
    <tableColumn id="16" name="G7 Count" dataDxfId="271"/>
    <tableColumn id="17" name="Top URLs in Tweet in G8" dataDxfId="270"/>
    <tableColumn id="18" name="G8 Count" dataDxfId="269"/>
    <tableColumn id="19" name="Top URLs in Tweet in G9" dataDxfId="268"/>
    <tableColumn id="20" name="G9 Count" dataDxfId="267"/>
    <tableColumn id="21" name="Top URLs in Tweet in G10" dataDxfId="266"/>
    <tableColumn id="22" name="G10 Count" dataDxfId="265"/>
  </tableColumns>
  <tableStyleInfo name="NodeXL Table" showFirstColumn="0" showLastColumn="0" showRowStripes="1" showColumnStripes="0"/>
</table>
</file>

<file path=xl/tables/table13.xml><?xml version="1.0" encoding="utf-8"?>
<table xmlns="http://schemas.openxmlformats.org/spreadsheetml/2006/main" id="17" name="TwitterSearchNetworkTopItems_2" displayName="TwitterSearchNetworkTopItems_2" ref="A14:V24" totalsRowShown="0" headerRowDxfId="263" dataDxfId="262">
  <autoFilter ref="A14:V24"/>
  <tableColumns count="22">
    <tableColumn id="1" name="Top Domains in Tweet in Entire Graph" dataDxfId="261"/>
    <tableColumn id="2" name="Entire Graph Count" dataDxfId="260"/>
    <tableColumn id="3" name="Top Domains in Tweet in G1" dataDxfId="259"/>
    <tableColumn id="4" name="G1 Count" dataDxfId="258"/>
    <tableColumn id="5" name="Top Domains in Tweet in G2" dataDxfId="257"/>
    <tableColumn id="6" name="G2 Count" dataDxfId="256"/>
    <tableColumn id="7" name="Top Domains in Tweet in G3" dataDxfId="255"/>
    <tableColumn id="8" name="G3 Count" dataDxfId="254"/>
    <tableColumn id="9" name="Top Domains in Tweet in G4" dataDxfId="253"/>
    <tableColumn id="10" name="G4 Count" dataDxfId="252"/>
    <tableColumn id="11" name="Top Domains in Tweet in G5" dataDxfId="251"/>
    <tableColumn id="12" name="G5 Count" dataDxfId="250"/>
    <tableColumn id="13" name="Top Domains in Tweet in G6" dataDxfId="249"/>
    <tableColumn id="14" name="G6 Count" dataDxfId="248"/>
    <tableColumn id="15" name="Top Domains in Tweet in G7" dataDxfId="247"/>
    <tableColumn id="16" name="G7 Count" dataDxfId="246"/>
    <tableColumn id="17" name="Top Domains in Tweet in G8" dataDxfId="245"/>
    <tableColumn id="18" name="G8 Count" dataDxfId="244"/>
    <tableColumn id="19" name="Top Domains in Tweet in G9" dataDxfId="243"/>
    <tableColumn id="20" name="G9 Count" dataDxfId="242"/>
    <tableColumn id="21" name="Top Domains in Tweet in G10" dataDxfId="241"/>
    <tableColumn id="22" name="G10 Count" dataDxfId="240"/>
  </tableColumns>
  <tableStyleInfo name="NodeXL Table" showFirstColumn="0" showLastColumn="0" showRowStripes="1" showColumnStripes="0"/>
</table>
</file>

<file path=xl/tables/table14.xml><?xml version="1.0" encoding="utf-8"?>
<table xmlns="http://schemas.openxmlformats.org/spreadsheetml/2006/main" id="18" name="TwitterSearchNetworkTopItems_3" displayName="TwitterSearchNetworkTopItems_3" ref="A27:V37" totalsRowShown="0" headerRowDxfId="238" dataDxfId="237">
  <autoFilter ref="A27:V37"/>
  <tableColumns count="22">
    <tableColumn id="1" name="Top Hashtags in Tweet in Entire Graph" dataDxfId="236"/>
    <tableColumn id="2" name="Entire Graph Count" dataDxfId="235"/>
    <tableColumn id="3" name="Top Hashtags in Tweet in G1" dataDxfId="234"/>
    <tableColumn id="4" name="G1 Count" dataDxfId="233"/>
    <tableColumn id="5" name="Top Hashtags in Tweet in G2" dataDxfId="232"/>
    <tableColumn id="6" name="G2 Count" dataDxfId="231"/>
    <tableColumn id="7" name="Top Hashtags in Tweet in G3" dataDxfId="230"/>
    <tableColumn id="8" name="G3 Count" dataDxfId="229"/>
    <tableColumn id="9" name="Top Hashtags in Tweet in G4" dataDxfId="228"/>
    <tableColumn id="10" name="G4 Count" dataDxfId="227"/>
    <tableColumn id="11" name="Top Hashtags in Tweet in G5" dataDxfId="226"/>
    <tableColumn id="12" name="G5 Count" dataDxfId="225"/>
    <tableColumn id="13" name="Top Hashtags in Tweet in G6" dataDxfId="224"/>
    <tableColumn id="14" name="G6 Count" dataDxfId="223"/>
    <tableColumn id="15" name="Top Hashtags in Tweet in G7" dataDxfId="222"/>
    <tableColumn id="16" name="G7 Count" dataDxfId="221"/>
    <tableColumn id="17" name="Top Hashtags in Tweet in G8" dataDxfId="220"/>
    <tableColumn id="18" name="G8 Count" dataDxfId="219"/>
    <tableColumn id="19" name="Top Hashtags in Tweet in G9" dataDxfId="218"/>
    <tableColumn id="20" name="G9 Count" dataDxfId="217"/>
    <tableColumn id="21" name="Top Hashtags in Tweet in G10" dataDxfId="216"/>
    <tableColumn id="22" name="G10 Count" dataDxfId="215"/>
  </tableColumns>
  <tableStyleInfo name="NodeXL Table" showFirstColumn="0" showLastColumn="0" showRowStripes="1" showColumnStripes="0"/>
</table>
</file>

<file path=xl/tables/table15.xml><?xml version="1.0" encoding="utf-8"?>
<table xmlns="http://schemas.openxmlformats.org/spreadsheetml/2006/main" id="19" name="TwitterSearchNetworkTopItems_4" displayName="TwitterSearchNetworkTopItems_4" ref="A40:V50" totalsRowShown="0" headerRowDxfId="213" dataDxfId="212">
  <autoFilter ref="A40:V50"/>
  <tableColumns count="22">
    <tableColumn id="1" name="Top Words in Tweet in Entire Graph" dataDxfId="211"/>
    <tableColumn id="2" name="Entire Graph Count" dataDxfId="210"/>
    <tableColumn id="3" name="Top Words in Tweet in G1" dataDxfId="209"/>
    <tableColumn id="4" name="G1 Count" dataDxfId="208"/>
    <tableColumn id="5" name="Top Words in Tweet in G2" dataDxfId="207"/>
    <tableColumn id="6" name="G2 Count" dataDxfId="206"/>
    <tableColumn id="7" name="Top Words in Tweet in G3" dataDxfId="205"/>
    <tableColumn id="8" name="G3 Count" dataDxfId="204"/>
    <tableColumn id="9" name="Top Words in Tweet in G4" dataDxfId="203"/>
    <tableColumn id="10" name="G4 Count" dataDxfId="202"/>
    <tableColumn id="11" name="Top Words in Tweet in G5" dataDxfId="201"/>
    <tableColumn id="12" name="G5 Count" dataDxfId="200"/>
    <tableColumn id="13" name="Top Words in Tweet in G6" dataDxfId="199"/>
    <tableColumn id="14" name="G6 Count" dataDxfId="198"/>
    <tableColumn id="15" name="Top Words in Tweet in G7" dataDxfId="197"/>
    <tableColumn id="16" name="G7 Count" dataDxfId="196"/>
    <tableColumn id="17" name="Top Words in Tweet in G8" dataDxfId="195"/>
    <tableColumn id="18" name="G8 Count" dataDxfId="194"/>
    <tableColumn id="19" name="Top Words in Tweet in G9" dataDxfId="193"/>
    <tableColumn id="20" name="G9 Count" dataDxfId="192"/>
    <tableColumn id="21" name="Top Words in Tweet in G10" dataDxfId="191"/>
    <tableColumn id="22" name="G10 Count" dataDxfId="190"/>
  </tableColumns>
  <tableStyleInfo name="NodeXL Table" showFirstColumn="0" showLastColumn="0" showRowStripes="1" showColumnStripes="0"/>
</table>
</file>

<file path=xl/tables/table16.xml><?xml version="1.0" encoding="utf-8"?>
<table xmlns="http://schemas.openxmlformats.org/spreadsheetml/2006/main" id="26" name="TwitterSearchNetworkTopItems_5" displayName="TwitterSearchNetworkTopItems_5" ref="A53:V63" totalsRowShown="0" headerRowDxfId="188" dataDxfId="187">
  <autoFilter ref="A53:V63"/>
  <tableColumns count="22">
    <tableColumn id="1" name="Top Word Pairs in Tweet in Entire Graph" dataDxfId="186"/>
    <tableColumn id="2" name="Entire Graph Count" dataDxfId="185"/>
    <tableColumn id="3" name="Top Word Pairs in Tweet in G1" dataDxfId="184"/>
    <tableColumn id="4" name="G1 Count" dataDxfId="183"/>
    <tableColumn id="5" name="Top Word Pairs in Tweet in G2" dataDxfId="182"/>
    <tableColumn id="6" name="G2 Count" dataDxfId="181"/>
    <tableColumn id="7" name="Top Word Pairs in Tweet in G3" dataDxfId="180"/>
    <tableColumn id="8" name="G3 Count" dataDxfId="179"/>
    <tableColumn id="9" name="Top Word Pairs in Tweet in G4" dataDxfId="178"/>
    <tableColumn id="10" name="G4 Count" dataDxfId="177"/>
    <tableColumn id="11" name="Top Word Pairs in Tweet in G5" dataDxfId="176"/>
    <tableColumn id="12" name="G5 Count" dataDxfId="175"/>
    <tableColumn id="13" name="Top Word Pairs in Tweet in G6" dataDxfId="174"/>
    <tableColumn id="14" name="G6 Count" dataDxfId="173"/>
    <tableColumn id="15" name="Top Word Pairs in Tweet in G7" dataDxfId="172"/>
    <tableColumn id="16" name="G7 Count" dataDxfId="171"/>
    <tableColumn id="17" name="Top Word Pairs in Tweet in G8" dataDxfId="170"/>
    <tableColumn id="18" name="G8 Count" dataDxfId="169"/>
    <tableColumn id="19" name="Top Word Pairs in Tweet in G9" dataDxfId="168"/>
    <tableColumn id="20" name="G9 Count" dataDxfId="167"/>
    <tableColumn id="21" name="Top Word Pairs in Tweet in G10" dataDxfId="166"/>
    <tableColumn id="22" name="G10 Count" dataDxfId="165"/>
  </tableColumns>
  <tableStyleInfo name="NodeXL Table" showFirstColumn="0" showLastColumn="0" showRowStripes="1" showColumnStripes="0"/>
</table>
</file>

<file path=xl/tables/table17.xml><?xml version="1.0" encoding="utf-8"?>
<table xmlns="http://schemas.openxmlformats.org/spreadsheetml/2006/main" id="27" name="TwitterSearchNetworkTopItems_6" displayName="TwitterSearchNetworkTopItems_6" ref="A66:V76" totalsRowShown="0" headerRowDxfId="163" dataDxfId="162">
  <autoFilter ref="A66:V76"/>
  <tableColumns count="22">
    <tableColumn id="1" name="Top Replied-To in Entire Graph" dataDxfId="161"/>
    <tableColumn id="2" name="Entire Graph Count" dataDxfId="157"/>
    <tableColumn id="3" name="Top Replied-To in G1" dataDxfId="156"/>
    <tableColumn id="4" name="G1 Count" dataDxfId="153"/>
    <tableColumn id="5" name="Top Replied-To in G2" dataDxfId="152"/>
    <tableColumn id="6" name="G2 Count" dataDxfId="149"/>
    <tableColumn id="7" name="Top Replied-To in G3" dataDxfId="148"/>
    <tableColumn id="8" name="G3 Count" dataDxfId="145"/>
    <tableColumn id="9" name="Top Replied-To in G4" dataDxfId="144"/>
    <tableColumn id="10" name="G4 Count" dataDxfId="141"/>
    <tableColumn id="11" name="Top Replied-To in G5" dataDxfId="140"/>
    <tableColumn id="12" name="G5 Count" dataDxfId="137"/>
    <tableColumn id="13" name="Top Replied-To in G6" dataDxfId="136"/>
    <tableColumn id="14" name="G6 Count" dataDxfId="133"/>
    <tableColumn id="15" name="Top Replied-To in G7" dataDxfId="132"/>
    <tableColumn id="16" name="G7 Count" dataDxfId="129"/>
    <tableColumn id="17" name="Top Replied-To in G8" dataDxfId="128"/>
    <tableColumn id="18" name="G8 Count" dataDxfId="125"/>
    <tableColumn id="19" name="Top Replied-To in G9" dataDxfId="124"/>
    <tableColumn id="20" name="G9 Count" dataDxfId="121"/>
    <tableColumn id="21" name="Top Replied-To in G10" dataDxfId="120"/>
    <tableColumn id="22" name="G10 Count" dataDxfId="119"/>
  </tableColumns>
  <tableStyleInfo name="NodeXL Table" showFirstColumn="0" showLastColumn="0" showRowStripes="1" showColumnStripes="0"/>
</table>
</file>

<file path=xl/tables/table18.xml><?xml version="1.0" encoding="utf-8"?>
<table xmlns="http://schemas.openxmlformats.org/spreadsheetml/2006/main" id="28" name="TwitterSearchNetworkTopItems_7" displayName="TwitterSearchNetworkTopItems_7" ref="A79:V89" totalsRowShown="0" headerRowDxfId="160" dataDxfId="159">
  <autoFilter ref="A79:V89"/>
  <tableColumns count="22">
    <tableColumn id="1" name="Top Mentioned in Entire Graph" dataDxfId="158"/>
    <tableColumn id="2" name="Entire Graph Count" dataDxfId="155"/>
    <tableColumn id="3" name="Top Mentioned in G1" dataDxfId="154"/>
    <tableColumn id="4" name="G1 Count" dataDxfId="151"/>
    <tableColumn id="5" name="Top Mentioned in G2" dataDxfId="150"/>
    <tableColumn id="6" name="G2 Count" dataDxfId="147"/>
    <tableColumn id="7" name="Top Mentioned in G3" dataDxfId="146"/>
    <tableColumn id="8" name="G3 Count" dataDxfId="143"/>
    <tableColumn id="9" name="Top Mentioned in G4" dataDxfId="142"/>
    <tableColumn id="10" name="G4 Count" dataDxfId="139"/>
    <tableColumn id="11" name="Top Mentioned in G5" dataDxfId="138"/>
    <tableColumn id="12" name="G5 Count" dataDxfId="135"/>
    <tableColumn id="13" name="Top Mentioned in G6" dataDxfId="134"/>
    <tableColumn id="14" name="G6 Count" dataDxfId="131"/>
    <tableColumn id="15" name="Top Mentioned in G7" dataDxfId="130"/>
    <tableColumn id="16" name="G7 Count" dataDxfId="127"/>
    <tableColumn id="17" name="Top Mentioned in G8" dataDxfId="126"/>
    <tableColumn id="18" name="G8 Count" dataDxfId="123"/>
    <tableColumn id="19" name="Top Mentioned in G9" dataDxfId="122"/>
    <tableColumn id="20" name="G9 Count" dataDxfId="118"/>
    <tableColumn id="21" name="Top Mentioned in G10" dataDxfId="117"/>
    <tableColumn id="22" name="G10 Count" dataDxfId="116"/>
  </tableColumns>
  <tableStyleInfo name="NodeXL Table" showFirstColumn="0" showLastColumn="0" showRowStripes="1" showColumnStripes="0"/>
</table>
</file>

<file path=xl/tables/table19.xml><?xml version="1.0" encoding="utf-8"?>
<table xmlns="http://schemas.openxmlformats.org/spreadsheetml/2006/main" id="29" name="TwitterSearchNetworkTopItems_8" displayName="TwitterSearchNetworkTopItems_8" ref="A92:V102" totalsRowShown="0" headerRowDxfId="113" dataDxfId="112">
  <autoFilter ref="A92:V102"/>
  <tableColumns count="22">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 id="19" name="Top Tweeters in G9" dataDxfId="93"/>
    <tableColumn id="20" name="G9 Count" dataDxfId="92"/>
    <tableColumn id="21" name="Top Tweeters in G10" dataDxfId="91"/>
    <tableColumn id="22" name="G10 Count" dataDxfId="9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DV67" totalsRowShown="0" headerRowDxfId="455" dataDxfId="454">
  <autoFilter ref="A2:DV67"/>
  <sortState ref="A3:BJ18">
    <sortCondition descending="1" sortBy="value" ref="V3:V18"/>
  </sortState>
  <tableColumns count="126">
    <tableColumn id="1" name="Vertex" dataDxfId="453"/>
    <tableColumn id="62" name="Subgraph" dataDxfId="452"/>
    <tableColumn id="2" name="Color" dataDxfId="451"/>
    <tableColumn id="5" name="Shape" dataDxfId="450"/>
    <tableColumn id="6" name="Size" dataDxfId="449"/>
    <tableColumn id="4" name="Opacity" dataDxfId="448"/>
    <tableColumn id="7" name="Image File" dataDxfId="447"/>
    <tableColumn id="3" name="Visibility" dataDxfId="446"/>
    <tableColumn id="10" name="Label" dataDxfId="445"/>
    <tableColumn id="16" name="Label Fill Color" dataDxfId="444"/>
    <tableColumn id="9" name="Label Position" dataDxfId="443"/>
    <tableColumn id="8" name="Tooltip" dataDxfId="442"/>
    <tableColumn id="18" name="Layout Order" dataDxfId="441"/>
    <tableColumn id="13" name="X" dataDxfId="440"/>
    <tableColumn id="14" name="Y" dataDxfId="439"/>
    <tableColumn id="12" name="Locked?" dataDxfId="438"/>
    <tableColumn id="19" name="Polar R" dataDxfId="437"/>
    <tableColumn id="20" name="Polar Angle" dataDxfId="436"/>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435"/>
    <tableColumn id="28" name="Dynamic Filter" dataDxfId="434"/>
    <tableColumn id="17" name="Add Your Own Columns Here" dataDxfId="433"/>
    <tableColumn id="30" name="Name" dataDxfId="432"/>
    <tableColumn id="31" name="Followed" dataDxfId="431"/>
    <tableColumn id="32" name="Followers" dataDxfId="430"/>
    <tableColumn id="33" name="Tweets" dataDxfId="429"/>
    <tableColumn id="34" name="Favorites" dataDxfId="428"/>
    <tableColumn id="35" name="Time Zone UTC Offset (Seconds)" dataDxfId="427"/>
    <tableColumn id="36" name="Description" dataDxfId="426"/>
    <tableColumn id="37" name="Location" dataDxfId="425"/>
    <tableColumn id="38" name="Web" dataDxfId="424"/>
    <tableColumn id="39" name="Time Zone" dataDxfId="423"/>
    <tableColumn id="40" name="Joined Twitter Date (UTC)" dataDxfId="422"/>
    <tableColumn id="41" name="Profile Banner Url" dataDxfId="421"/>
    <tableColumn id="42" name="Default Profile" dataDxfId="420"/>
    <tableColumn id="43" name="Default Profile Image" dataDxfId="419"/>
    <tableColumn id="44" name="Geo Enabled" dataDxfId="418"/>
    <tableColumn id="45" name="Language" dataDxfId="417"/>
    <tableColumn id="46" name="Listed Count" dataDxfId="416"/>
    <tableColumn id="47" name="Profile Background Image Url" dataDxfId="415"/>
    <tableColumn id="48" name="Verified" dataDxfId="414"/>
    <tableColumn id="49" name="Custom Menu Item Text" dataDxfId="413"/>
    <tableColumn id="50" name="Custom Menu Item Action" dataDxfId="412"/>
    <tableColumn id="51" name="Tweeted Search Term?" dataDxfId="86"/>
    <tableColumn id="52" name="Top URLs in Tweet by Count" dataDxfId="85"/>
    <tableColumn id="53" name="Top URLs in Tweet by Salience" dataDxfId="84"/>
    <tableColumn id="54" name="Top Domains in Tweet by Count" dataDxfId="83"/>
    <tableColumn id="55" name="Top Domains in Tweet by Salience" dataDxfId="82"/>
    <tableColumn id="56" name="Top Hashtags in Tweet by Count" dataDxfId="81"/>
    <tableColumn id="57" name="Top Hashtags in Tweet by Salience" dataDxfId="80"/>
    <tableColumn id="58" name="Top Words in Tweet by Count" dataDxfId="79"/>
    <tableColumn id="59" name="Top Words in Tweet by Salience" dataDxfId="78"/>
    <tableColumn id="60" name="Top Word Pairs in Tweet by Count" dataDxfId="77"/>
    <tableColumn id="61" name="Top Word Pairs in Tweet by Salience" dataDxfId="75"/>
    <tableColumn id="63" name="Sentiment List #1: Positive Word Count" dataDxfId="76"/>
    <tableColumn id="64" name="Sentiment List #1: Positive Word Percentage (%)" dataDxfId="411"/>
    <tableColumn id="65" name="Sentiment List #2: Negative Word Count" dataDxfId="410"/>
    <tableColumn id="66" name="Sentiment List #2: Negative Word Percentage (%)" dataDxfId="409"/>
    <tableColumn id="67" name="Sentiment List #3: (Add your own word list) Word Count" dataDxfId="408"/>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 id="73" name="User ID" dataDxfId="42"/>
    <tableColumn id="74" name="Sentiment List #1: List1 Word Count" dataDxfId="41"/>
    <tableColumn id="75" name="Sentiment List #1: List1 Word Percentage (%)" dataDxfId="40"/>
    <tableColumn id="76" name="Sentiment List #2: List2 Word Count" dataDxfId="39"/>
    <tableColumn id="77" name="Sentiment List #2: List2 Word Percentage (%)" dataDxfId="38"/>
    <tableColumn id="78" name="Sentiment List #3: List3 Word Count" dataDxfId="37"/>
    <tableColumn id="79" name="Sentiment List #3: List3 Word Percentage (%)" dataDxfId="35"/>
    <tableColumn id="80" name="Verified Type" dataDxfId="36"/>
    <tableColumn id="81" name="Protected" dataDxfId="407"/>
    <tableColumn id="82" name="URLs (Details)" dataDxfId="406"/>
    <tableColumn id="83" name="Expanded URLs (Details)" dataDxfId="405"/>
    <tableColumn id="84" name="Display URLs (Details)" dataDxfId="404"/>
    <tableColumn id="85" name="Description URLs (Details)" dataDxfId="403"/>
    <tableColumn id="86" name="Description Expanded URLs (Details)" dataDxfId="402"/>
    <tableColumn id="87" name="Description Display URLS (Details)" dataDxfId="401"/>
    <tableColumn id="88" name="Description Hashtags" dataDxfId="400"/>
    <tableColumn id="89" name="Description Mentions" dataDxfId="399"/>
    <tableColumn id="90" name="Description Cashtags" dataDxfId="398"/>
    <tableColumn id="91" name="Pinned Tweet ID" dataDxfId="397"/>
    <tableColumn id="92" name="URL" dataDxfId="396"/>
    <tableColumn id="93" name="Created" dataDxfId="395"/>
    <tableColumn id="94" name="Number of Friends" dataDxfId="394"/>
    <tableColumn id="95" name="Link Karma" dataDxfId="393"/>
    <tableColumn id="96" name="Comment Karma" dataDxfId="392"/>
    <tableColumn id="97" name="Inbox Count" dataDxfId="391"/>
    <tableColumn id="98" name="Is Friend" dataDxfId="390"/>
    <tableColumn id="99" name="Profanity Filter" dataDxfId="389"/>
    <tableColumn id="100" name="Is Suspended" dataDxfId="388"/>
    <tableColumn id="101" name="Has Gold Subscription" dataDxfId="387"/>
    <tableColumn id="102" name="Is Verified" dataDxfId="386"/>
    <tableColumn id="103" name="Has New Modmail" dataDxfId="385"/>
    <tableColumn id="104" name="Full Name" dataDxfId="384"/>
    <tableColumn id="105" name="Over 18" dataDxfId="383"/>
    <tableColumn id="106" name="Is Gold" dataDxfId="382"/>
    <tableColumn id="107" name="Is Mod" dataDxfId="381"/>
    <tableColumn id="108" name="Icon Image" dataDxfId="380"/>
    <tableColumn id="109" name="Has Modmail" dataDxfId="379"/>
    <tableColumn id="110" name="Has Mail" dataDxfId="378"/>
    <tableColumn id="111" name="Has Subscribed" dataDxfId="377"/>
    <tableColumn id="112" name="Has Verified Email" dataDxfId="376"/>
    <tableColumn id="113" name="Favourites Count" dataDxfId="375"/>
    <tableColumn id="114" name="Media Count" dataDxfId="374"/>
    <tableColumn id="115" name="Is Blue Verified" dataDxfId="373"/>
    <tableColumn id="116" name="You Are Followed By" dataDxfId="372"/>
    <tableColumn id="117" name="You Are Following" dataDxfId="371"/>
    <tableColumn id="118" name="Can DM" dataDxfId="370"/>
    <tableColumn id="119" name="Can Media Tag" dataDxfId="369"/>
    <tableColumn id="120" name="Has Custom Timelines" dataDxfId="368"/>
    <tableColumn id="121" name="Is Translator" dataDxfId="367"/>
    <tableColumn id="122" name="Possibly Sensitive" dataDxfId="366"/>
    <tableColumn id="123" name="Profile Interstitial Type" dataDxfId="365"/>
    <tableColumn id="124" name="Translator Type" dataDxfId="364"/>
    <tableColumn id="125" name="Want Retweets" dataDxfId="363"/>
    <tableColumn id="126" name="Withheld" dataDxfId="362"/>
  </tableColumns>
  <tableStyleInfo name="NodeXL Table" showFirstColumn="0" showLastColumn="0" showRowStripes="0" showColumnStripes="0"/>
</table>
</file>

<file path=xl/tables/table20.xml><?xml version="1.0" encoding="utf-8"?>
<table xmlns="http://schemas.openxmlformats.org/spreadsheetml/2006/main" id="20" name="Words" displayName="Words" ref="A1:G524" totalsRowShown="0" headerRowDxfId="348" dataDxfId="347">
  <autoFilter ref="A1:G524"/>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17" totalsRowShown="0" headerRowDxfId="346" dataDxfId="345">
  <autoFilter ref="A1:L417"/>
  <tableColumns count="12">
    <tableColumn id="1" name="Word 1" dataDxfId="67"/>
    <tableColumn id="2" name="Word 2" dataDxfId="66"/>
    <tableColumn id="3" name="Count" dataDxfId="65"/>
    <tableColumn id="4" name="Salience" dataDxfId="64"/>
    <tableColumn id="5" name="Mutual Information" dataDxfId="63"/>
    <tableColumn id="6" name="Group" dataDxfId="62"/>
    <tableColumn id="7" name="Word1 on Sentiment List #1: List1" dataDxfId="61"/>
    <tableColumn id="8" name="Word1 on Sentiment List #2: List2" dataDxfId="60"/>
    <tableColumn id="9" name="Word1 on Sentiment List #3: List3" dataDxfId="59"/>
    <tableColumn id="10" name="Word2 on Sentiment List #1: List1" dataDxfId="58"/>
    <tableColumn id="11" name="Word2 on Sentiment List #2: List2" dataDxfId="57"/>
    <tableColumn id="12" name="Word2 on Sentiment List #3: List3" dataDxfId="56"/>
  </tableColumns>
  <tableStyleInfo name="NodeXL Table" showFirstColumn="0" showLastColumn="0" showRowStripes="1" showColumnStripes="0"/>
</table>
</file>

<file path=xl/tables/table22.xml><?xml version="1.0" encoding="utf-8"?>
<table xmlns="http://schemas.openxmlformats.org/spreadsheetml/2006/main" id="30"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44" dataDxfId="343">
  <autoFilter ref="A1:D407"/>
  <tableColumns count="4">
    <tableColumn id="1" name="VertexID" dataDxfId="342"/>
    <tableColumn id="2" name="Word" dataDxfId="341"/>
    <tableColumn id="3" name="Imported ID" dataDxfId="340"/>
    <tableColumn id="4" name="Date" dataDxfId="339"/>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38" dataDxfId="337">
  <autoFilter ref="A1:B176"/>
  <tableColumns count="2">
    <tableColumn id="1" name="Word" dataDxfId="336"/>
    <tableColumn id="2" name="List" dataDxfId="335"/>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34" dataDxfId="333">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U16" totalsRowShown="0" headerRowDxfId="361">
  <autoFilter ref="A2:AU16"/>
  <tableColumns count="47">
    <tableColumn id="1" name="Group" dataDxfId="314"/>
    <tableColumn id="2" name="Vertex Color" dataDxfId="313"/>
    <tableColumn id="3" name="Vertex Shape" dataDxfId="311"/>
    <tableColumn id="22" name="Visibility" dataDxfId="312"/>
    <tableColumn id="4" name="Collapsed?"/>
    <tableColumn id="18" name="Label" dataDxfId="360"/>
    <tableColumn id="20" name="Collapsed X"/>
    <tableColumn id="21" name="Collapsed Y"/>
    <tableColumn id="6" name="ID" dataDxfId="359"/>
    <tableColumn id="19" name="Collapsed Properties" dataDxfId="303"/>
    <tableColumn id="5" name="Vertices" dataDxfId="302"/>
    <tableColumn id="7" name="Unique Edges" dataDxfId="301"/>
    <tableColumn id="8" name="Edges With Duplicates" dataDxfId="300"/>
    <tableColumn id="9" name="Total Edges" dataDxfId="299"/>
    <tableColumn id="10" name="Self-Loops" dataDxfId="298"/>
    <tableColumn id="24" name="Reciprocated Vertex Pair Ratio" dataDxfId="297"/>
    <tableColumn id="25" name="Reciprocated Edge Ratio" dataDxfId="296"/>
    <tableColumn id="11" name="Connected Components" dataDxfId="295"/>
    <tableColumn id="12" name="Single-Vertex Connected Components" dataDxfId="294"/>
    <tableColumn id="13" name="Maximum Vertices in a Connected Component" dataDxfId="293"/>
    <tableColumn id="14" name="Maximum Edges in a Connected Component" dataDxfId="292"/>
    <tableColumn id="15" name="Maximum Geodesic Distance (Diameter)" dataDxfId="291"/>
    <tableColumn id="16" name="Average Geodesic Distance" dataDxfId="290"/>
    <tableColumn id="17" name="Graph Density" dataDxfId="264"/>
    <tableColumn id="23" name="Top URLs in Tweet" dataDxfId="239"/>
    <tableColumn id="26" name="Top Domains in Tweet" dataDxfId="214"/>
    <tableColumn id="27" name="Top Hashtags in Tweet" dataDxfId="189"/>
    <tableColumn id="28" name="Top Words in Tweet" dataDxfId="164"/>
    <tableColumn id="29" name="Top Word Pairs in Tweet" dataDxfId="115"/>
    <tableColumn id="30" name="Top Replied-To in Tweet" dataDxfId="114"/>
    <tableColumn id="31" name="Top Mentioned in Tweet" dataDxfId="89"/>
    <tableColumn id="32" name="Top Tweeters" dataDxfId="87"/>
    <tableColumn id="33" name="Sentiment List #1: Positive Word Count" dataDxfId="88"/>
    <tableColumn id="34" name="Sentiment List #1: Positive Word Percentage (%)" dataDxfId="358"/>
    <tableColumn id="35" name="Sentiment List #2: Negative Word Count" dataDxfId="357"/>
    <tableColumn id="36" name="Sentiment List #2: Negative Word Percentage (%)" dataDxfId="356"/>
    <tableColumn id="37" name="Sentiment List #3: (Add your own word list) Word Count" dataDxfId="355"/>
    <tableColumn id="38" name="Sentiment List #3: (Add your own word list) Word Percentage (%)" dataDxfId="24"/>
    <tableColumn id="39" name="Non-categorized Word Count" dataDxfId="23"/>
    <tableColumn id="40" name="Non-categorized Word Percentage (%)" dataDxfId="22"/>
    <tableColumn id="41" name="Group Content Word Count" dataDxfId="20"/>
    <tableColumn id="42" name="Sentiment List #1: List1 Word Count" dataDxfId="21"/>
    <tableColumn id="43" name="Sentiment List #1: List1 Word Percentage (%)" dataDxfId="29"/>
    <tableColumn id="44" name="Sentiment List #2: List2 Word Count" dataDxfId="28"/>
    <tableColumn id="45" name="Sentiment List #2: List2 Word Percentage (%)" dataDxfId="27"/>
    <tableColumn id="46" name="Sentiment List #3: List3 Word Count" dataDxfId="26"/>
    <tableColumn id="47" name="Sentiment List #3: List3 Word Percentage (%)" dataDxfId="2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354" dataDxfId="353">
  <autoFilter ref="A1:C66"/>
  <tableColumns count="3">
    <tableColumn id="1" name="Group" dataDxfId="310"/>
    <tableColumn id="2" name="Vertex" dataDxfId="309"/>
    <tableColumn id="3" name="Vertex ID" dataDxfId="3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7" name="PerWorkbookSettings" displayName="PerWorkbookSettings" ref="J1:K14" totalsRowShown="0" headerRowDxfId="352">
  <autoFilter ref="J1:K14"/>
  <tableColumns count="2">
    <tableColumn id="1" name="Per-Workbook Setting"/>
    <tableColumn id="2" name="Value"/>
  </tableColumns>
  <tableStyleInfo name="TableStyleMedium9" showFirstColumn="0" showLastColumn="0" showRowStripes="1" showColumnStripes="0"/>
</table>
</file>

<file path=xl/tables/table6.xml><?xml version="1.0" encoding="utf-8"?>
<table xmlns="http://schemas.openxmlformats.org/spreadsheetml/2006/main" id="8" name="DynamicFilterSettings" displayName="DynamicFilterSettings" ref="M1:P2" totalsRowShown="0" headerRowDxfId="35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7.xml><?xml version="1.0" encoding="utf-8"?>
<table xmlns="http://schemas.openxmlformats.org/spreadsheetml/2006/main" id="3"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8.xml><?xml version="1.0" encoding="utf-8"?>
<table xmlns="http://schemas.openxmlformats.org/spreadsheetml/2006/main" id="6" name="HistogramBins" displayName="HistogramBins" ref="D1:U36" totalsRowShown="0">
  <autoFilter ref="D1:U36"/>
  <tableColumns count="18">
    <tableColumn id="1" name="Degree Bin" dataDxfId="332"/>
    <tableColumn id="2" name="Degree Frequency" dataDxfId="331">
      <calculatedColumnFormula>COUNTIF([1]!Vertices[Degree], "&gt;= " &amp; D2) - COUNTIF([1]!Vertices[Degree], "&gt;=" &amp; D3)</calculatedColumnFormula>
    </tableColumn>
    <tableColumn id="3" name="In-Degree Bin" dataDxfId="330"/>
    <tableColumn id="4" name="In-Degree Frequency" dataDxfId="329">
      <calculatedColumnFormula>COUNTIF([1]!Vertices[In-Degree], "&gt;= " &amp; F2) - COUNTIF([1]!Vertices[In-Degree], "&gt;=" &amp; F3)</calculatedColumnFormula>
    </tableColumn>
    <tableColumn id="5" name="Out-Degree Bin" dataDxfId="328"/>
    <tableColumn id="6" name="Out-Degree Frequency" dataDxfId="327">
      <calculatedColumnFormula>COUNTIF([1]!Vertices[Out-Degree], "&gt;= " &amp; H2) - COUNTIF([1]!Vertices[Out-Degree], "&gt;=" &amp; H3)</calculatedColumnFormula>
    </tableColumn>
    <tableColumn id="7" name="Betweenness Centrality Bin" dataDxfId="326"/>
    <tableColumn id="8" name="Betweenness Centrality Frequency" dataDxfId="325">
      <calculatedColumnFormula>COUNTIF([1]!Vertices[Betweenness Centrality], "&gt;= " &amp; J2) - COUNTIF([1]!Vertices[Betweenness Centrality], "&gt;=" &amp; J3)</calculatedColumnFormula>
    </tableColumn>
    <tableColumn id="9" name="Closeness Centrality Bin" dataDxfId="324"/>
    <tableColumn id="10" name="Closeness Centrality Frequency" dataDxfId="323">
      <calculatedColumnFormula>COUNTIF([1]!Vertices[Closeness Centrality], "&gt;= " &amp; L2) - COUNTIF([1]!Vertices[Closeness Centrality], "&gt;=" &amp; L3)</calculatedColumnFormula>
    </tableColumn>
    <tableColumn id="11" name="Eigenvector Centrality Bin" dataDxfId="322"/>
    <tableColumn id="12" name="Eigenvector Centrality Frequency" dataDxfId="321">
      <calculatedColumnFormula>COUNTIF([1]!Vertices[Eigenvector Centrality], "&gt;= " &amp; N2) - COUNTIF([1]!Vertices[Eigenvector Centrality], "&gt;=" &amp; N3)</calculatedColumnFormula>
    </tableColumn>
    <tableColumn id="18" name="PageRank Bin" dataDxfId="320"/>
    <tableColumn id="17" name="PageRank Frequency" dataDxfId="319">
      <calculatedColumnFormula>COUNTIF([1]!Vertices[Eigenvector Centrality], "&gt;= " &amp; P2) - COUNTIF([1]!Vertices[Eigenvector Centrality], "&gt;=" &amp; P3)</calculatedColumnFormula>
    </tableColumn>
    <tableColumn id="13" name="Clustering Coefficient Bin" dataDxfId="318"/>
    <tableColumn id="14" name="Clustering Coefficient Frequency" dataDxfId="317">
      <calculatedColumnFormula>COUNTIF([1]!Vertices[Clustering Coefficient], "&gt;= " &amp; R2) - COUNTIF([1]!Vertices[Clustering Coefficient], "&gt;=" &amp; R3)</calculatedColumnFormula>
    </tableColumn>
    <tableColumn id="15" name="Dynamic Filter Bin" dataDxfId="316"/>
    <tableColumn id="16" name="Dynamic Filter Frequency" dataDxfId="315">
      <calculatedColumnFormula>COUNTIF([1]!Vertices[Clustering Coefficient], "&gt;= " &amp; T2) - COUNTIF([1]!Vertices[Clustering Coefficient], "&gt;=" &amp; T3)</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plantegg.github.io/2017/01/01/top_linux_commands/" TargetMode="External" /><Relationship Id="rId2" Type="http://schemas.openxmlformats.org/officeDocument/2006/relationships/hyperlink" Target="https://huggingface.co/papers/2309.03241" TargetMode="External" /><Relationship Id="rId3" Type="http://schemas.openxmlformats.org/officeDocument/2006/relationships/hyperlink" Target="https://bookstash.io/" TargetMode="External" /><Relationship Id="rId4" Type="http://schemas.openxmlformats.org/officeDocument/2006/relationships/hyperlink" Target="https://www.craft.me/s/dbj8QJkuZ5ruTB" TargetMode="External" /><Relationship Id="rId5" Type="http://schemas.openxmlformats.org/officeDocument/2006/relationships/hyperlink" Target="https://archive.area17.com/directory/2023_openai/36_brand-guidelines.pdf" TargetMode="External" /><Relationship Id="rId6" Type="http://schemas.openxmlformats.org/officeDocument/2006/relationships/hyperlink" Target="https://t8ipkovzsy.feishu.cn/sheets/ZaaVs8vDPhkcrWttYTXc9bgmnhh?from=from_copylink" TargetMode="External" /><Relationship Id="rId7" Type="http://schemas.openxmlformats.org/officeDocument/2006/relationships/hyperlink" Target="https://x.com/ManonAubryFr/status/1701521575512608784?s=20" TargetMode="External" /><Relationship Id="rId8" Type="http://schemas.openxmlformats.org/officeDocument/2006/relationships/hyperlink" Target="https://49rs.co/44LIh3Q" TargetMode="External" /><Relationship Id="rId9" Type="http://schemas.openxmlformats.org/officeDocument/2006/relationships/hyperlink" Target="https://apnews.com/article/6322aae981bdc5c9009babde4b31ab60" TargetMode="External" /><Relationship Id="rId10" Type="http://schemas.openxmlformats.org/officeDocument/2006/relationships/hyperlink" Target="https://apnews.com/article/792cbae3e651d31028ae2c64f65f112c" TargetMode="External" /><Relationship Id="rId11" Type="http://schemas.openxmlformats.org/officeDocument/2006/relationships/hyperlink" Target="https://plantegg.github.io/2017/01/01/top_linux_commands/" TargetMode="External" /><Relationship Id="rId12" Type="http://schemas.openxmlformats.org/officeDocument/2006/relationships/hyperlink" Target="https://t8ipkovzsy.feishu.cn/sheets/ZaaVs8vDPhkcrWttYTXc9bgmnhh?from=from_copylink" TargetMode="External" /><Relationship Id="rId13" Type="http://schemas.openxmlformats.org/officeDocument/2006/relationships/hyperlink" Target="https://archive.area17.com/directory/2023_openai/36_brand-guidelines.pdf" TargetMode="External" /><Relationship Id="rId14" Type="http://schemas.openxmlformats.org/officeDocument/2006/relationships/hyperlink" Target="https://www.craft.me/s/dbj8QJkuZ5ruTB" TargetMode="External" /><Relationship Id="rId15" Type="http://schemas.openxmlformats.org/officeDocument/2006/relationships/hyperlink" Target="https://bookstash.io/" TargetMode="External" /><Relationship Id="rId16" Type="http://schemas.openxmlformats.org/officeDocument/2006/relationships/hyperlink" Target="https://huggingface.co/papers/2309.03241" TargetMode="External" /><Relationship Id="rId17" Type="http://schemas.openxmlformats.org/officeDocument/2006/relationships/hyperlink" Target="https://thorium.rocks/" TargetMode="External" /><Relationship Id="rId18" Type="http://schemas.openxmlformats.org/officeDocument/2006/relationships/hyperlink" Target="https://x.com/ManonAubryFr/status/1701521575512608784?s=20" TargetMode="External" /><Relationship Id="rId19" Type="http://schemas.openxmlformats.org/officeDocument/2006/relationships/hyperlink" Target="https://apnews.com/article/6322aae981bdc5c9009babde4b31ab60" TargetMode="External" /><Relationship Id="rId20" Type="http://schemas.openxmlformats.org/officeDocument/2006/relationships/hyperlink" Target="https://nebraskaexaminer.com/2023/09/13/it-ended-up-being-racist-teacher-describes-resignation-from-crete-public-schools/" TargetMode="External" /><Relationship Id="rId21" Type="http://schemas.openxmlformats.org/officeDocument/2006/relationships/hyperlink" Target="https://www.linkedin.com/pulse/beth-trejo-social-media-search-jeremy-harris-lipschultz" TargetMode="External" /><Relationship Id="rId22" Type="http://schemas.openxmlformats.org/officeDocument/2006/relationships/hyperlink" Target="https://www.cjr.org/the_media_today/elon_musk_adl_antisemitism.php" TargetMode="External" /><Relationship Id="rId23" Type="http://schemas.openxmlformats.org/officeDocument/2006/relationships/hyperlink" Target="https://www.insidehighered.com/news/diversity/socioeconomics/2023/09/11/progress-backsliding-economic-diversity-selective-colleges" TargetMode="External" /><Relationship Id="rId24" Type="http://schemas.openxmlformats.org/officeDocument/2006/relationships/hyperlink" Target="https://www.nytimes.com/2023/09/07/technology/artificial-intelligence-framework-senate.html?smid=nytcore-ios-share&amp;referringSource=articleShare" TargetMode="External" /><Relationship Id="rId25" Type="http://schemas.openxmlformats.org/officeDocument/2006/relationships/hyperlink" Target="https://apnews.com/article/44850c92a3d9480cc067474490140d88" TargetMode="External" /><Relationship Id="rId26" Type="http://schemas.openxmlformats.org/officeDocument/2006/relationships/hyperlink" Target="https://apnews.com/article/687b9a5b90ec18f207d36df3ba11aebd" TargetMode="External" /><Relationship Id="rId27" Type="http://schemas.openxmlformats.org/officeDocument/2006/relationships/hyperlink" Target="https://apnews.com/article/23a770d706f3d8a1d7b1a3e4fc8529e3" TargetMode="External" /><Relationship Id="rId28" Type="http://schemas.openxmlformats.org/officeDocument/2006/relationships/hyperlink" Target="https://49rs.co/44LIh3Q" TargetMode="External" /><Relationship Id="rId29" Type="http://schemas.openxmlformats.org/officeDocument/2006/relationships/hyperlink" Target="https://www.bitget.com/events/kcgi?utmSource=Twitter" TargetMode="External" /><Relationship Id="rId30" Type="http://schemas.openxmlformats.org/officeDocument/2006/relationships/table" Target="../tables/table12.xml" /><Relationship Id="rId31" Type="http://schemas.openxmlformats.org/officeDocument/2006/relationships/table" Target="../tables/table13.xml" /><Relationship Id="rId32" Type="http://schemas.openxmlformats.org/officeDocument/2006/relationships/table" Target="../tables/table14.xml" /><Relationship Id="rId33" Type="http://schemas.openxmlformats.org/officeDocument/2006/relationships/table" Target="../tables/table15.xml" /><Relationship Id="rId34" Type="http://schemas.openxmlformats.org/officeDocument/2006/relationships/table" Target="../tables/table16.xml" /><Relationship Id="rId35" Type="http://schemas.openxmlformats.org/officeDocument/2006/relationships/table" Target="../tables/table17.xml" /><Relationship Id="rId36" Type="http://schemas.openxmlformats.org/officeDocument/2006/relationships/table" Target="../tables/table18.xml" /><Relationship Id="rId3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table" Target="../tables/table6.x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table" Target="../tables/table7.xml" /><Relationship Id="rId4" Type="http://schemas.openxmlformats.org/officeDocument/2006/relationships/table" Target="../tables/table8.xml" /><Relationship Id="rId5" Type="http://schemas.openxmlformats.org/officeDocument/2006/relationships/table" Target="../tables/table9.xml" /><Relationship Id="rId6" Type="http://schemas.openxmlformats.org/officeDocument/2006/relationships/table" Target="../tables/table10.xml" /><Relationship Id="rId7" Type="http://schemas.openxmlformats.org/officeDocument/2006/relationships/drawing" Target="../drawings/drawing3.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X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 min="67" max="67" width="19.140625" style="0" bestFit="1" customWidth="1"/>
    <col min="68" max="68" width="23.8515625" style="0" bestFit="1" customWidth="1"/>
    <col min="69" max="69" width="19.140625" style="0" bestFit="1" customWidth="1"/>
    <col min="70" max="70" width="23.8515625" style="0" bestFit="1" customWidth="1"/>
    <col min="71" max="71" width="19.140625" style="0" bestFit="1" customWidth="1"/>
    <col min="72" max="72" width="23.8515625" style="0" bestFit="1" customWidth="1"/>
    <col min="73" max="73" width="8.57421875" style="0" bestFit="1" customWidth="1"/>
    <col min="74" max="74" width="8.8515625" style="0" bestFit="1" customWidth="1"/>
    <col min="75" max="75" width="13.140625" style="0" bestFit="1" customWidth="1"/>
    <col min="76" max="76" width="13.8515625" style="0" bestFit="1" customWidth="1"/>
    <col min="77" max="77" width="13.140625" style="0" bestFit="1" customWidth="1"/>
    <col min="78" max="78" width="8.8515625" style="0" bestFit="1" customWidth="1"/>
    <col min="79" max="79" width="10.421875" style="0" bestFit="1" customWidth="1"/>
    <col min="80" max="80" width="13.28125" style="0" bestFit="1" customWidth="1"/>
    <col min="81" max="81" width="14.140625" style="0" bestFit="1" customWidth="1"/>
    <col min="82" max="82" width="8.8515625" style="0" bestFit="1" customWidth="1"/>
    <col min="83" max="83" width="17.140625" style="0" bestFit="1" customWidth="1"/>
    <col min="85" max="85" width="8.8515625" style="0" bestFit="1" customWidth="1"/>
    <col min="86" max="86" width="13.8515625" style="0" bestFit="1" customWidth="1"/>
    <col min="87" max="87" width="11.8515625" style="0" bestFit="1" customWidth="1"/>
    <col min="88" max="88" width="10.57421875" style="0" bestFit="1" customWidth="1"/>
    <col min="89" max="89" width="12.7109375" style="0" bestFit="1" customWidth="1"/>
    <col min="90" max="91" width="13.00390625" style="0" bestFit="1" customWidth="1"/>
    <col min="92" max="92" width="11.7109375" style="0" bestFit="1" customWidth="1"/>
    <col min="93" max="93" width="11.57421875" style="0" bestFit="1" customWidth="1"/>
    <col min="94" max="94" width="9.00390625" style="0" bestFit="1" customWidth="1"/>
    <col min="95" max="95" width="10.28125" style="0" bestFit="1" customWidth="1"/>
    <col min="96" max="96" width="11.00390625" style="0" bestFit="1" customWidth="1"/>
    <col min="97" max="97" width="10.421875" style="0" bestFit="1" customWidth="1"/>
    <col min="98" max="98" width="13.00390625" style="0" bestFit="1" customWidth="1"/>
    <col min="99" max="99" width="13.28125" style="0" bestFit="1" customWidth="1"/>
    <col min="100" max="100" width="7.140625" style="0" bestFit="1" customWidth="1"/>
    <col min="101" max="101" width="11.00390625" style="0" bestFit="1" customWidth="1"/>
    <col min="102" max="102" width="12.00390625" style="0" bestFit="1" customWidth="1"/>
    <col min="103" max="103" width="9.421875" style="0" bestFit="1" customWidth="1"/>
    <col min="104" max="104" width="11.57421875" style="0" bestFit="1" customWidth="1"/>
    <col min="105" max="105" width="12.28125" style="0" bestFit="1" customWidth="1"/>
    <col min="106" max="106" width="10.28125" style="0" bestFit="1" customWidth="1"/>
    <col min="107" max="107" width="9.00390625" style="0" bestFit="1" customWidth="1"/>
    <col min="108" max="108" width="11.7109375" style="0" bestFit="1" customWidth="1"/>
    <col min="109" max="110" width="8.140625" style="0" bestFit="1" customWidth="1"/>
    <col min="111" max="111" width="11.28125" style="0" bestFit="1" customWidth="1"/>
    <col min="112" max="112" width="8.421875" style="0" bestFit="1" customWidth="1"/>
    <col min="113" max="113" width="9.8515625" style="0" bestFit="1" customWidth="1"/>
    <col min="114" max="114" width="12.7109375" style="0" bestFit="1" customWidth="1"/>
    <col min="115" max="115" width="15.57421875" style="0" bestFit="1" customWidth="1"/>
    <col min="116" max="116" width="7.28125" style="0" bestFit="1" customWidth="1"/>
    <col min="117" max="117" width="11.28125" style="0" bestFit="1" customWidth="1"/>
    <col min="118" max="118" width="9.7109375" style="0" bestFit="1" customWidth="1"/>
    <col min="119" max="119" width="11.421875" style="0" bestFit="1" customWidth="1"/>
    <col min="120" max="120" width="11.57421875" style="0" bestFit="1" customWidth="1"/>
    <col min="121" max="121" width="11.421875" style="0" bestFit="1" customWidth="1"/>
    <col min="122" max="122" width="12.8515625" style="0" bestFit="1" customWidth="1"/>
    <col min="123" max="123" width="7.421875" style="0" bestFit="1" customWidth="1"/>
    <col min="124" max="124" width="14.00390625" style="0" bestFit="1" customWidth="1"/>
    <col min="125" max="126" width="12.00390625" style="0" bestFit="1" customWidth="1"/>
    <col min="127" max="127" width="9.7109375" style="0" bestFit="1" customWidth="1"/>
    <col min="128" max="128" width="8.7109375" style="0" bestFit="1" customWidth="1"/>
  </cols>
  <sheetData>
    <row r="1" spans="3:14" ht="15">
      <c r="C1" s="13" t="s">
        <v>0</v>
      </c>
      <c r="D1" s="14"/>
      <c r="E1" s="14"/>
      <c r="F1" s="14"/>
      <c r="G1" s="13"/>
      <c r="H1" s="11" t="s">
        <v>1</v>
      </c>
      <c r="I1" s="37"/>
      <c r="J1" s="37"/>
      <c r="K1" s="29" t="s">
        <v>2</v>
      </c>
      <c r="L1" s="15" t="s">
        <v>3</v>
      </c>
      <c r="M1" s="15"/>
      <c r="N1" s="12" t="s">
        <v>4</v>
      </c>
    </row>
    <row r="2" spans="1:128" ht="30" customHeight="1">
      <c r="A2" s="1" t="s">
        <v>5</v>
      </c>
      <c r="B2" s="1" t="s">
        <v>6</v>
      </c>
      <c r="C2" s="7" t="s">
        <v>7</v>
      </c>
      <c r="D2" s="7" t="s">
        <v>8</v>
      </c>
      <c r="E2" s="7" t="s">
        <v>9</v>
      </c>
      <c r="F2" s="7" t="s">
        <v>10</v>
      </c>
      <c r="G2" s="7" t="s">
        <v>11</v>
      </c>
      <c r="H2" s="10" t="s">
        <v>12</v>
      </c>
      <c r="I2" s="7" t="s">
        <v>13</v>
      </c>
      <c r="J2" s="7" t="s">
        <v>14</v>
      </c>
      <c r="K2" s="7" t="s">
        <v>15</v>
      </c>
      <c r="L2" s="7" t="s">
        <v>16</v>
      </c>
      <c r="M2" s="7" t="s">
        <v>17</v>
      </c>
      <c r="N2" s="7" t="s">
        <v>18</v>
      </c>
      <c r="O2" t="s">
        <v>19</v>
      </c>
      <c r="P2" t="s">
        <v>20</v>
      </c>
      <c r="Q2" t="s">
        <v>21</v>
      </c>
      <c r="R2" t="s">
        <v>22</v>
      </c>
      <c r="S2" t="s">
        <v>23</v>
      </c>
      <c r="T2" t="s">
        <v>24</v>
      </c>
      <c r="U2" t="s">
        <v>25</v>
      </c>
      <c r="V2" t="s">
        <v>26</v>
      </c>
      <c r="W2" t="s">
        <v>27</v>
      </c>
      <c r="X2" t="s">
        <v>28</v>
      </c>
      <c r="Y2" t="s">
        <v>29</v>
      </c>
      <c r="Z2" t="s">
        <v>30</v>
      </c>
      <c r="AA2" t="s">
        <v>31</v>
      </c>
      <c r="AB2" s="39" t="s">
        <v>32</v>
      </c>
      <c r="AC2" s="39" t="s">
        <v>33</v>
      </c>
      <c r="AD2" s="39" t="s">
        <v>34</v>
      </c>
      <c r="AE2" s="39" t="s">
        <v>35</v>
      </c>
      <c r="AF2" s="39" t="s">
        <v>36</v>
      </c>
      <c r="AG2" s="39" t="s">
        <v>37</v>
      </c>
      <c r="AH2" s="39" t="s">
        <v>38</v>
      </c>
      <c r="AI2" s="39" t="s">
        <v>39</v>
      </c>
      <c r="AJ2" s="39" t="s">
        <v>40</v>
      </c>
      <c r="AK2" t="s">
        <v>41</v>
      </c>
      <c r="AL2" t="s">
        <v>42</v>
      </c>
      <c r="AM2" t="s">
        <v>43</v>
      </c>
      <c r="AN2" t="s">
        <v>44</v>
      </c>
      <c r="AO2" t="s">
        <v>45</v>
      </c>
      <c r="AP2" t="s">
        <v>46</v>
      </c>
      <c r="AQ2" t="s">
        <v>47</v>
      </c>
      <c r="AR2" t="s">
        <v>48</v>
      </c>
      <c r="AS2" t="s">
        <v>49</v>
      </c>
      <c r="AT2" t="s">
        <v>50</v>
      </c>
      <c r="AU2" t="s">
        <v>51</v>
      </c>
      <c r="AV2" t="s">
        <v>52</v>
      </c>
      <c r="AW2" t="s">
        <v>53</v>
      </c>
      <c r="AX2" t="s">
        <v>54</v>
      </c>
      <c r="AY2" t="s">
        <v>55</v>
      </c>
      <c r="AZ2" t="s">
        <v>56</v>
      </c>
      <c r="BA2" t="s">
        <v>57</v>
      </c>
      <c r="BB2" t="s">
        <v>58</v>
      </c>
      <c r="BC2" t="s">
        <v>59</v>
      </c>
      <c r="BD2" t="s">
        <v>60</v>
      </c>
      <c r="BE2" t="s">
        <v>61</v>
      </c>
      <c r="BF2" t="s">
        <v>62</v>
      </c>
      <c r="BG2" t="s">
        <v>63</v>
      </c>
      <c r="BH2" t="s">
        <v>64</v>
      </c>
      <c r="BI2" t="s">
        <v>65</v>
      </c>
      <c r="BJ2" t="s">
        <v>66</v>
      </c>
      <c r="BK2" s="7" t="s">
        <v>67</v>
      </c>
      <c r="BL2" s="7" t="s">
        <v>68</v>
      </c>
      <c r="BM2" t="s">
        <v>69</v>
      </c>
      <c r="BN2" t="s">
        <v>70</v>
      </c>
      <c r="BO2" s="39" t="s">
        <v>71</v>
      </c>
      <c r="BP2" s="39" t="s">
        <v>72</v>
      </c>
      <c r="BQ2" s="39" t="s">
        <v>73</v>
      </c>
      <c r="BR2" s="39" t="s">
        <v>74</v>
      </c>
      <c r="BS2" s="39" t="s">
        <v>75</v>
      </c>
      <c r="BT2" s="39" t="s">
        <v>76</v>
      </c>
      <c r="BU2" s="7" t="s">
        <v>77</v>
      </c>
      <c r="BV2" s="7" t="s">
        <v>78</v>
      </c>
      <c r="BW2" s="7" t="s">
        <v>79</v>
      </c>
      <c r="BX2" s="7" t="s">
        <v>80</v>
      </c>
      <c r="BY2" s="7" t="s">
        <v>81</v>
      </c>
      <c r="BZ2" s="7" t="s">
        <v>82</v>
      </c>
      <c r="CA2" s="7" t="s">
        <v>83</v>
      </c>
      <c r="CB2" s="7" t="s">
        <v>84</v>
      </c>
      <c r="CC2" s="7" t="s">
        <v>85</v>
      </c>
      <c r="CD2" s="7" t="s">
        <v>86</v>
      </c>
      <c r="CE2" s="7" t="s">
        <v>87</v>
      </c>
      <c r="CF2" s="7" t="s">
        <v>88</v>
      </c>
      <c r="CG2" s="7" t="s">
        <v>89</v>
      </c>
      <c r="CH2" s="7" t="s">
        <v>90</v>
      </c>
      <c r="CI2" s="7" t="s">
        <v>91</v>
      </c>
      <c r="CJ2" s="7" t="s">
        <v>92</v>
      </c>
      <c r="CK2" s="7" t="s">
        <v>93</v>
      </c>
      <c r="CL2" s="7" t="s">
        <v>94</v>
      </c>
      <c r="CM2" s="7" t="s">
        <v>95</v>
      </c>
      <c r="CN2" s="7" t="s">
        <v>96</v>
      </c>
      <c r="CO2" s="7" t="s">
        <v>97</v>
      </c>
      <c r="CP2" s="7" t="s">
        <v>98</v>
      </c>
      <c r="CQ2" s="7" t="s">
        <v>99</v>
      </c>
      <c r="CR2" s="7" t="s">
        <v>100</v>
      </c>
      <c r="CS2" s="7" t="s">
        <v>101</v>
      </c>
      <c r="CT2" s="7" t="s">
        <v>102</v>
      </c>
      <c r="CU2" s="7" t="s">
        <v>103</v>
      </c>
      <c r="CV2" s="7" t="s">
        <v>104</v>
      </c>
      <c r="CW2" s="7" t="s">
        <v>105</v>
      </c>
      <c r="CX2" s="7" t="s">
        <v>106</v>
      </c>
      <c r="CY2" s="7" t="s">
        <v>107</v>
      </c>
      <c r="CZ2" s="7" t="s">
        <v>108</v>
      </c>
      <c r="DA2" s="7" t="s">
        <v>109</v>
      </c>
      <c r="DB2" s="7" t="s">
        <v>110</v>
      </c>
      <c r="DC2" s="7" t="s">
        <v>111</v>
      </c>
      <c r="DD2" s="7" t="s">
        <v>112</v>
      </c>
      <c r="DE2" s="7" t="s">
        <v>113</v>
      </c>
      <c r="DF2" s="7" t="s">
        <v>114</v>
      </c>
      <c r="DG2" s="7" t="s">
        <v>115</v>
      </c>
      <c r="DH2" s="7" t="s">
        <v>116</v>
      </c>
      <c r="DI2" s="7" t="s">
        <v>117</v>
      </c>
      <c r="DJ2" s="7" t="s">
        <v>118</v>
      </c>
      <c r="DK2" s="7" t="s">
        <v>119</v>
      </c>
      <c r="DL2" s="7" t="s">
        <v>120</v>
      </c>
      <c r="DM2" s="7" t="s">
        <v>121</v>
      </c>
      <c r="DN2" s="7" t="s">
        <v>122</v>
      </c>
      <c r="DO2" s="7" t="s">
        <v>123</v>
      </c>
      <c r="DP2" s="7" t="s">
        <v>124</v>
      </c>
      <c r="DQ2" s="7" t="s">
        <v>125</v>
      </c>
      <c r="DR2" s="7" t="s">
        <v>126</v>
      </c>
      <c r="DS2" s="7" t="s">
        <v>127</v>
      </c>
      <c r="DT2" s="7" t="s">
        <v>128</v>
      </c>
      <c r="DU2" s="7" t="s">
        <v>129</v>
      </c>
      <c r="DV2" s="7" t="s">
        <v>130</v>
      </c>
      <c r="DW2" s="7" t="s">
        <v>131</v>
      </c>
      <c r="DX2" s="7" t="s">
        <v>132</v>
      </c>
    </row>
    <row r="3" spans="1:128" ht="15" customHeight="1">
      <c r="A3" s="49" t="s">
        <v>133</v>
      </c>
      <c r="B3" s="49" t="s">
        <v>134</v>
      </c>
      <c r="C3" s="60" t="s">
        <v>135</v>
      </c>
      <c r="D3" s="66">
        <v>5</v>
      </c>
      <c r="E3" s="99" t="s">
        <v>136</v>
      </c>
      <c r="F3" s="67">
        <v>16</v>
      </c>
      <c r="G3" s="60"/>
      <c r="H3" s="54"/>
      <c r="I3" s="68"/>
      <c r="J3" s="68"/>
      <c r="K3" s="30" t="s">
        <v>137</v>
      </c>
      <c r="L3" s="69">
        <v>3</v>
      </c>
      <c r="M3" s="69"/>
      <c r="N3" s="70"/>
      <c r="O3" t="s">
        <v>138</v>
      </c>
      <c r="P3" s="50">
        <v>45176.776354166665</v>
      </c>
      <c r="Q3" t="s">
        <v>139</v>
      </c>
      <c r="R3" s="51" t="str">
        <f>HYPERLINK("http://bessemervp.team/3Rcq10r")</f>
        <v>http://bessemervp.team/3Rcq10r</v>
      </c>
      <c r="S3" t="s">
        <v>140</v>
      </c>
      <c r="T3" s="52"/>
      <c r="U3" s="50">
        <v>45176.776354166665</v>
      </c>
      <c r="V3" s="51" t="str">
        <f>HYPERLINK("https://twitter.com/jeremyl/status/1699854535705887029")</f>
        <v>https://twitter.com/jeremyl/status/1699854535705887029</v>
      </c>
      <c r="Y3" s="52" t="s">
        <v>141</v>
      </c>
      <c r="Z3" s="52"/>
      <c r="AA3">
        <v>1</v>
      </c>
      <c r="AB3" s="35"/>
      <c r="AC3" s="36"/>
      <c r="AD3" s="35"/>
      <c r="AE3" s="36"/>
      <c r="AF3" s="35"/>
      <c r="AG3" s="36"/>
      <c r="AH3" s="35">
        <v>6</v>
      </c>
      <c r="AI3" s="36">
        <v>66.66666666666667</v>
      </c>
      <c r="AJ3" s="35">
        <v>9</v>
      </c>
      <c r="AK3" s="51"/>
      <c r="AL3" s="51" t="str">
        <f>HYPERLINK("https://pbs.twimg.com/profile_images/1692553845958742016/oGf5OupE_normal.jpg")</f>
        <v>https://pbs.twimg.com/profile_images/1692553845958742016/oGf5OupE_normal.jpg</v>
      </c>
      <c r="AN3">
        <v>19</v>
      </c>
      <c r="AO3" s="52"/>
      <c r="AQ3" t="s">
        <v>142</v>
      </c>
      <c r="AR3" t="b">
        <v>0</v>
      </c>
      <c r="AS3" s="52" t="s">
        <v>143</v>
      </c>
      <c r="AU3">
        <v>4</v>
      </c>
      <c r="AV3" s="52" t="s">
        <v>143</v>
      </c>
      <c r="AW3" s="52" t="s">
        <v>144</v>
      </c>
      <c r="AY3" s="52" t="s">
        <v>141</v>
      </c>
      <c r="BK3" s="125" t="str">
        <f>REPLACE(INDEX(GroupVertices[Group],MATCH(Edges[[#This Row],[Vertex 1]],GroupVertices[Vertex],0)),1,1,"")</f>
        <v>13</v>
      </c>
      <c r="BL3" s="125" t="str">
        <f>REPLACE(INDEX(GroupVertices[Group],MATCH(Edges[[#This Row],[Vertex 2]],GroupVertices[Vertex],0)),1,1,"")</f>
        <v>13</v>
      </c>
      <c r="BM3" s="77">
        <v>45176</v>
      </c>
      <c r="BN3" s="78" t="s">
        <v>145</v>
      </c>
      <c r="BO3" s="65">
        <v>0</v>
      </c>
      <c r="BP3" s="75">
        <v>0</v>
      </c>
      <c r="BQ3" s="65">
        <v>0</v>
      </c>
      <c r="BR3" s="75">
        <v>0</v>
      </c>
      <c r="BS3" s="65">
        <v>0</v>
      </c>
      <c r="BT3" s="75">
        <v>0</v>
      </c>
      <c r="BU3" s="52">
        <v>1</v>
      </c>
      <c r="BV3" s="52">
        <v>1</v>
      </c>
      <c r="BW3" s="52">
        <v>3404</v>
      </c>
      <c r="BX3" s="52" t="s">
        <v>134</v>
      </c>
      <c r="BY3" s="52"/>
      <c r="BZ3" s="52"/>
      <c r="CA3" s="52"/>
      <c r="CB3" s="52"/>
      <c r="CC3" s="52"/>
      <c r="CD3" s="52"/>
      <c r="CE3" s="52"/>
      <c r="CF3" s="52"/>
      <c r="CG3" s="52"/>
      <c r="CH3" s="52"/>
      <c r="CI3" s="52"/>
      <c r="CJ3" s="52"/>
      <c r="CK3" s="52" t="s">
        <v>141</v>
      </c>
      <c r="CL3" s="52"/>
      <c r="CM3" s="52" t="s">
        <v>143</v>
      </c>
      <c r="CN3" s="52">
        <v>3674531</v>
      </c>
      <c r="CO3" s="52"/>
      <c r="CP3" s="52"/>
      <c r="CQ3" s="52"/>
      <c r="CR3" s="52"/>
      <c r="CS3" s="52"/>
      <c r="CT3" s="52"/>
      <c r="CU3" s="79"/>
      <c r="CV3" s="52"/>
      <c r="CW3" s="52"/>
      <c r="CX3" s="52"/>
      <c r="CY3" s="52"/>
      <c r="CZ3" s="52"/>
      <c r="DA3" s="94"/>
      <c r="DB3" s="79"/>
      <c r="DC3" s="52"/>
      <c r="DD3" s="52"/>
      <c r="DE3" s="52"/>
      <c r="DF3" s="52"/>
      <c r="DG3" s="52"/>
      <c r="DH3" s="52"/>
      <c r="DI3" s="52"/>
      <c r="DJ3" s="52"/>
      <c r="DK3" s="52"/>
      <c r="DL3" s="52"/>
      <c r="DM3" s="52"/>
      <c r="DN3" s="52"/>
      <c r="DO3" s="52"/>
      <c r="DP3" s="52"/>
      <c r="DQ3" s="52"/>
      <c r="DR3" s="52"/>
      <c r="DS3" s="52"/>
      <c r="DT3" s="52"/>
      <c r="DU3" s="52"/>
      <c r="DV3" s="52"/>
      <c r="DW3" s="52"/>
      <c r="DX3" s="52"/>
    </row>
    <row r="4" spans="1:92" ht="15" customHeight="1">
      <c r="A4" s="49" t="s">
        <v>133</v>
      </c>
      <c r="B4" s="49" t="s">
        <v>133</v>
      </c>
      <c r="C4" s="60" t="s">
        <v>135</v>
      </c>
      <c r="D4" s="66">
        <v>5</v>
      </c>
      <c r="E4" s="99" t="s">
        <v>136</v>
      </c>
      <c r="F4" s="67">
        <v>16</v>
      </c>
      <c r="G4" s="60"/>
      <c r="H4" s="54"/>
      <c r="I4" s="68"/>
      <c r="J4" s="68"/>
      <c r="K4" s="30" t="s">
        <v>137</v>
      </c>
      <c r="L4" s="100">
        <v>4</v>
      </c>
      <c r="M4" s="100"/>
      <c r="N4" s="70"/>
      <c r="O4" t="s">
        <v>21</v>
      </c>
      <c r="P4" s="50">
        <v>45181.84300925926</v>
      </c>
      <c r="Q4" t="s">
        <v>146</v>
      </c>
      <c r="R4" s="85" t="str">
        <f>HYPERLINK("https://www.nytimes.com/2023/09/12/opinion/crime-inflation-polls-economy.html")</f>
        <v>https://www.nytimes.com/2023/09/12/opinion/crime-inflation-polls-economy.html</v>
      </c>
      <c r="S4" t="s">
        <v>147</v>
      </c>
      <c r="U4" s="50">
        <v>45181.84300925926</v>
      </c>
      <c r="V4" s="85" t="str">
        <f>HYPERLINK("https://twitter.com/jeremyl/status/1701690629678411888")</f>
        <v>https://twitter.com/jeremyl/status/1701690629678411888</v>
      </c>
      <c r="Y4" s="52" t="s">
        <v>148</v>
      </c>
      <c r="AA4" s="81">
        <v>1</v>
      </c>
      <c r="AB4" s="35"/>
      <c r="AC4" s="36"/>
      <c r="AD4" s="35"/>
      <c r="AE4" s="36"/>
      <c r="AF4" s="35"/>
      <c r="AG4" s="36"/>
      <c r="AH4" s="35">
        <v>22</v>
      </c>
      <c r="AI4" s="36">
        <v>55</v>
      </c>
      <c r="AJ4" s="35">
        <v>40</v>
      </c>
      <c r="AK4" s="82"/>
      <c r="AL4" s="85" t="str">
        <f>HYPERLINK("https://pbs.twimg.com/profile_images/1692553845958742016/oGf5OupE_normal.jpg")</f>
        <v>https://pbs.twimg.com/profile_images/1692553845958742016/oGf5OupE_normal.jpg</v>
      </c>
      <c r="AN4">
        <v>5</v>
      </c>
      <c r="AQ4" t="s">
        <v>142</v>
      </c>
      <c r="AR4" t="b">
        <v>0</v>
      </c>
      <c r="AS4" s="52" t="s">
        <v>143</v>
      </c>
      <c r="AU4">
        <v>7</v>
      </c>
      <c r="AV4" s="52" t="s">
        <v>143</v>
      </c>
      <c r="AW4" s="52" t="s">
        <v>144</v>
      </c>
      <c r="AY4" s="52" t="s">
        <v>148</v>
      </c>
      <c r="BK4" s="125" t="str">
        <f>REPLACE(INDEX(GroupVertices[Group],MATCH(Edges[[#This Row],[Vertex 1]],GroupVertices[Vertex],0)),1,1,"")</f>
        <v>13</v>
      </c>
      <c r="BL4" s="125" t="str">
        <f>REPLACE(INDEX(GroupVertices[Group],MATCH(Edges[[#This Row],[Vertex 2]],GroupVertices[Vertex],0)),1,1,"")</f>
        <v>13</v>
      </c>
      <c r="BM4" s="77">
        <v>45181</v>
      </c>
      <c r="BN4" s="98" t="s">
        <v>149</v>
      </c>
      <c r="BO4" s="35">
        <v>0</v>
      </c>
      <c r="BP4" s="36">
        <v>0</v>
      </c>
      <c r="BQ4" s="35">
        <v>0</v>
      </c>
      <c r="BR4" s="36">
        <v>0</v>
      </c>
      <c r="BS4" s="35">
        <v>0</v>
      </c>
      <c r="BT4" s="36">
        <v>0</v>
      </c>
      <c r="BU4" s="82">
        <v>0</v>
      </c>
      <c r="BV4">
        <v>0</v>
      </c>
      <c r="BW4">
        <v>5202</v>
      </c>
      <c r="CK4" s="52" t="s">
        <v>148</v>
      </c>
      <c r="CM4" s="52" t="s">
        <v>143</v>
      </c>
      <c r="CN4">
        <v>3674531</v>
      </c>
    </row>
    <row r="5" spans="1:92" ht="15">
      <c r="A5" s="49" t="s">
        <v>150</v>
      </c>
      <c r="B5" s="49" t="s">
        <v>151</v>
      </c>
      <c r="C5" s="60" t="s">
        <v>135</v>
      </c>
      <c r="D5" s="66">
        <v>5</v>
      </c>
      <c r="E5" s="99" t="s">
        <v>136</v>
      </c>
      <c r="F5" s="67">
        <v>16</v>
      </c>
      <c r="G5" s="60"/>
      <c r="H5" s="54"/>
      <c r="I5" s="68"/>
      <c r="J5" s="68"/>
      <c r="K5" s="30" t="s">
        <v>137</v>
      </c>
      <c r="L5" s="100">
        <v>5</v>
      </c>
      <c r="M5" s="100"/>
      <c r="N5" s="70"/>
      <c r="O5" t="s">
        <v>152</v>
      </c>
      <c r="P5" s="50">
        <v>45182.232453703706</v>
      </c>
      <c r="Q5" t="s">
        <v>153</v>
      </c>
      <c r="U5" s="50">
        <v>45182.232453703706</v>
      </c>
      <c r="V5" s="85" t="str">
        <f>HYPERLINK("https://twitter.com/jeremyl_20/status/1701831758478446966")</f>
        <v>https://twitter.com/jeremyl_20/status/1701831758478446966</v>
      </c>
      <c r="Y5" s="52" t="s">
        <v>154</v>
      </c>
      <c r="AA5" s="81">
        <v>1</v>
      </c>
      <c r="AB5" s="35"/>
      <c r="AC5" s="36"/>
      <c r="AD5" s="35"/>
      <c r="AE5" s="36"/>
      <c r="AF5" s="35"/>
      <c r="AG5" s="36"/>
      <c r="AH5" s="35">
        <v>5</v>
      </c>
      <c r="AI5" s="36">
        <v>83.33333333333333</v>
      </c>
      <c r="AJ5" s="35">
        <v>6</v>
      </c>
      <c r="AK5" s="82" t="s">
        <v>155</v>
      </c>
      <c r="AL5" s="85" t="str">
        <f>HYPERLINK("https://pbs.twimg.com/media/F5wMoS_WgAAwk_H.jpg")</f>
        <v>https://pbs.twimg.com/media/F5wMoS_WgAAwk_H.jpg</v>
      </c>
      <c r="AN5">
        <v>0</v>
      </c>
      <c r="AQ5" t="s">
        <v>142</v>
      </c>
      <c r="AR5" t="b">
        <v>0</v>
      </c>
      <c r="AS5" s="52" t="s">
        <v>143</v>
      </c>
      <c r="AU5">
        <v>44874</v>
      </c>
      <c r="AV5" s="52" t="s">
        <v>156</v>
      </c>
      <c r="AW5" s="52" t="s">
        <v>157</v>
      </c>
      <c r="AY5" s="52" t="s">
        <v>156</v>
      </c>
      <c r="BK5" s="125" t="str">
        <f>REPLACE(INDEX(GroupVertices[Group],MATCH(Edges[[#This Row],[Vertex 1]],GroupVertices[Vertex],0)),1,1,"")</f>
        <v>12</v>
      </c>
      <c r="BL5" s="125" t="str">
        <f>REPLACE(INDEX(GroupVertices[Group],MATCH(Edges[[#This Row],[Vertex 2]],GroupVertices[Vertex],0)),1,1,"")</f>
        <v>12</v>
      </c>
      <c r="BM5" s="77">
        <v>45182</v>
      </c>
      <c r="BN5" s="98" t="s">
        <v>158</v>
      </c>
      <c r="BO5" s="35">
        <v>0</v>
      </c>
      <c r="BP5" s="36">
        <v>0</v>
      </c>
      <c r="BQ5" s="35">
        <v>0</v>
      </c>
      <c r="BR5" s="36">
        <v>0</v>
      </c>
      <c r="BS5" s="35">
        <v>0</v>
      </c>
      <c r="BT5" s="36">
        <v>0</v>
      </c>
      <c r="BU5" s="82">
        <v>0</v>
      </c>
      <c r="BV5">
        <v>0</v>
      </c>
      <c r="BX5" t="s">
        <v>151</v>
      </c>
      <c r="BZ5" t="s">
        <v>159</v>
      </c>
      <c r="CD5" t="s">
        <v>160</v>
      </c>
      <c r="CK5" s="52" t="s">
        <v>154</v>
      </c>
      <c r="CM5" s="52" t="s">
        <v>143</v>
      </c>
      <c r="CN5" s="52" t="s">
        <v>161</v>
      </c>
    </row>
    <row r="6" spans="1:92" ht="15">
      <c r="A6" s="49" t="s">
        <v>162</v>
      </c>
      <c r="B6" s="49" t="s">
        <v>163</v>
      </c>
      <c r="C6" s="60" t="s">
        <v>135</v>
      </c>
      <c r="D6" s="66">
        <v>5</v>
      </c>
      <c r="E6" s="99" t="s">
        <v>136</v>
      </c>
      <c r="F6" s="67">
        <v>16</v>
      </c>
      <c r="G6" s="60"/>
      <c r="H6" s="54"/>
      <c r="I6" s="68"/>
      <c r="J6" s="68"/>
      <c r="K6" s="30" t="s">
        <v>137</v>
      </c>
      <c r="L6" s="100">
        <v>6</v>
      </c>
      <c r="M6" s="100"/>
      <c r="N6" s="70"/>
      <c r="O6" t="s">
        <v>164</v>
      </c>
      <c r="P6" s="50">
        <v>45178.07373842593</v>
      </c>
      <c r="Q6" t="s">
        <v>165</v>
      </c>
      <c r="U6" s="50">
        <v>45178.07373842593</v>
      </c>
      <c r="V6" s="85" t="str">
        <f>HYPERLINK("https://twitter.com/ccooke6685/status/1700324690235896007")</f>
        <v>https://twitter.com/ccooke6685/status/1700324690235896007</v>
      </c>
      <c r="Y6" s="52" t="s">
        <v>166</v>
      </c>
      <c r="AA6" s="81">
        <v>1</v>
      </c>
      <c r="AB6" s="35"/>
      <c r="AC6" s="36"/>
      <c r="AD6" s="35"/>
      <c r="AE6" s="36"/>
      <c r="AF6" s="35"/>
      <c r="AG6" s="36"/>
      <c r="AH6" s="35"/>
      <c r="AI6" s="36"/>
      <c r="AJ6" s="35"/>
      <c r="AK6" s="82"/>
      <c r="AL6" s="85" t="str">
        <f aca="true" t="shared" si="0" ref="AL6:AL15">HYPERLINK("https://pbs.twimg.com/profile_images/1662869898811277321/kHxssA1A_normal.jpg")</f>
        <v>https://pbs.twimg.com/profile_images/1662869898811277321/kHxssA1A_normal.jpg</v>
      </c>
      <c r="AN6">
        <v>4</v>
      </c>
      <c r="AQ6" t="s">
        <v>142</v>
      </c>
      <c r="AS6" s="52" t="s">
        <v>143</v>
      </c>
      <c r="AU6">
        <v>0</v>
      </c>
      <c r="AV6" s="52" t="s">
        <v>143</v>
      </c>
      <c r="AW6" s="52" t="s">
        <v>144</v>
      </c>
      <c r="AY6" s="52" t="s">
        <v>167</v>
      </c>
      <c r="BK6" s="125" t="str">
        <f>REPLACE(INDEX(GroupVertices[Group],MATCH(Edges[[#This Row],[Vertex 1]],GroupVertices[Vertex],0)),1,1,"")</f>
        <v>6</v>
      </c>
      <c r="BL6" s="125" t="str">
        <f>REPLACE(INDEX(GroupVertices[Group],MATCH(Edges[[#This Row],[Vertex 2]],GroupVertices[Vertex],0)),1,1,"")</f>
        <v>6</v>
      </c>
      <c r="BM6" s="77">
        <v>45178</v>
      </c>
      <c r="BN6" s="98" t="s">
        <v>168</v>
      </c>
      <c r="BO6" s="35"/>
      <c r="BP6" s="36"/>
      <c r="BQ6" s="35"/>
      <c r="BR6" s="36"/>
      <c r="BS6" s="35"/>
      <c r="BT6" s="36"/>
      <c r="BU6" s="82">
        <v>0</v>
      </c>
      <c r="BV6">
        <v>0</v>
      </c>
      <c r="BW6">
        <v>34</v>
      </c>
      <c r="BX6" t="s">
        <v>169</v>
      </c>
      <c r="CK6" s="52" t="s">
        <v>170</v>
      </c>
      <c r="CL6" s="52" t="s">
        <v>171</v>
      </c>
      <c r="CM6" s="52" t="s">
        <v>167</v>
      </c>
      <c r="CN6">
        <v>17035423</v>
      </c>
    </row>
    <row r="7" spans="1:92" ht="15">
      <c r="A7" s="49" t="s">
        <v>162</v>
      </c>
      <c r="B7" s="49" t="s">
        <v>163</v>
      </c>
      <c r="C7" s="60" t="s">
        <v>135</v>
      </c>
      <c r="D7" s="66">
        <v>5</v>
      </c>
      <c r="E7" s="99" t="s">
        <v>136</v>
      </c>
      <c r="F7" s="67">
        <v>16</v>
      </c>
      <c r="G7" s="60"/>
      <c r="H7" s="54"/>
      <c r="I7" s="68"/>
      <c r="J7" s="68"/>
      <c r="K7" s="30" t="s">
        <v>137</v>
      </c>
      <c r="L7" s="100">
        <v>7</v>
      </c>
      <c r="M7" s="100"/>
      <c r="N7" s="70"/>
      <c r="O7" t="s">
        <v>172</v>
      </c>
      <c r="P7" s="50">
        <v>45178.04076388889</v>
      </c>
      <c r="Q7" t="s">
        <v>173</v>
      </c>
      <c r="U7" s="50">
        <v>45178.04076388889</v>
      </c>
      <c r="V7" s="85" t="str">
        <f>HYPERLINK("https://twitter.com/ccooke6685/status/1700312740479349179")</f>
        <v>https://twitter.com/ccooke6685/status/1700312740479349179</v>
      </c>
      <c r="Y7" s="52" t="s">
        <v>174</v>
      </c>
      <c r="AA7" s="81">
        <v>1</v>
      </c>
      <c r="AB7" s="35"/>
      <c r="AC7" s="36"/>
      <c r="AD7" s="35"/>
      <c r="AE7" s="36"/>
      <c r="AF7" s="35"/>
      <c r="AG7" s="36"/>
      <c r="AH7" s="35"/>
      <c r="AI7" s="36"/>
      <c r="AJ7" s="35"/>
      <c r="AK7" s="82"/>
      <c r="AL7" s="85" t="str">
        <f t="shared" si="0"/>
        <v>https://pbs.twimg.com/profile_images/1662869898811277321/kHxssA1A_normal.jpg</v>
      </c>
      <c r="AN7">
        <v>3</v>
      </c>
      <c r="AQ7" t="s">
        <v>142</v>
      </c>
      <c r="AS7" s="52" t="s">
        <v>143</v>
      </c>
      <c r="AU7">
        <v>0</v>
      </c>
      <c r="AV7" s="52" t="s">
        <v>143</v>
      </c>
      <c r="AW7" s="52" t="s">
        <v>144</v>
      </c>
      <c r="AY7" s="52" t="s">
        <v>175</v>
      </c>
      <c r="BK7" s="125" t="str">
        <f>REPLACE(INDEX(GroupVertices[Group],MATCH(Edges[[#This Row],[Vertex 1]],GroupVertices[Vertex],0)),1,1,"")</f>
        <v>6</v>
      </c>
      <c r="BL7" s="125" t="str">
        <f>REPLACE(INDEX(GroupVertices[Group],MATCH(Edges[[#This Row],[Vertex 2]],GroupVertices[Vertex],0)),1,1,"")</f>
        <v>6</v>
      </c>
      <c r="BM7" s="77">
        <v>45178</v>
      </c>
      <c r="BN7" s="98" t="s">
        <v>176</v>
      </c>
      <c r="BO7" s="35"/>
      <c r="BP7" s="36"/>
      <c r="BQ7" s="35"/>
      <c r="BR7" s="36"/>
      <c r="BS7" s="35"/>
      <c r="BT7" s="36"/>
      <c r="BU7" s="82">
        <v>0</v>
      </c>
      <c r="BV7">
        <v>0</v>
      </c>
      <c r="BW7">
        <v>36</v>
      </c>
      <c r="BX7" t="s">
        <v>177</v>
      </c>
      <c r="CK7" s="52" t="s">
        <v>170</v>
      </c>
      <c r="CL7" s="52" t="s">
        <v>178</v>
      </c>
      <c r="CM7" s="52" t="s">
        <v>175</v>
      </c>
      <c r="CN7">
        <v>17035423</v>
      </c>
    </row>
    <row r="8" spans="1:92" ht="15">
      <c r="A8" s="49" t="s">
        <v>162</v>
      </c>
      <c r="B8" s="49" t="s">
        <v>179</v>
      </c>
      <c r="C8" s="60" t="s">
        <v>135</v>
      </c>
      <c r="D8" s="66">
        <v>6.875</v>
      </c>
      <c r="E8" s="99" t="s">
        <v>180</v>
      </c>
      <c r="F8" s="67">
        <v>15.846153846153847</v>
      </c>
      <c r="G8" s="60"/>
      <c r="H8" s="54"/>
      <c r="I8" s="68"/>
      <c r="J8" s="68"/>
      <c r="K8" s="30" t="s">
        <v>137</v>
      </c>
      <c r="L8" s="100">
        <v>8</v>
      </c>
      <c r="M8" s="100"/>
      <c r="N8" s="70"/>
      <c r="O8" t="s">
        <v>172</v>
      </c>
      <c r="P8" s="50">
        <v>45178.07373842593</v>
      </c>
      <c r="Q8" t="s">
        <v>165</v>
      </c>
      <c r="U8" s="50">
        <v>45178.07373842593</v>
      </c>
      <c r="V8" s="85" t="str">
        <f>HYPERLINK("https://twitter.com/ccooke6685/status/1700324690235896007")</f>
        <v>https://twitter.com/ccooke6685/status/1700324690235896007</v>
      </c>
      <c r="Y8" s="52" t="s">
        <v>166</v>
      </c>
      <c r="AA8" s="81">
        <v>4</v>
      </c>
      <c r="AB8" s="35"/>
      <c r="AC8" s="36"/>
      <c r="AD8" s="35"/>
      <c r="AE8" s="36"/>
      <c r="AF8" s="35"/>
      <c r="AG8" s="36"/>
      <c r="AH8" s="35"/>
      <c r="AI8" s="36"/>
      <c r="AJ8" s="35"/>
      <c r="AK8" s="82"/>
      <c r="AL8" s="85" t="str">
        <f t="shared" si="0"/>
        <v>https://pbs.twimg.com/profile_images/1662869898811277321/kHxssA1A_normal.jpg</v>
      </c>
      <c r="AN8">
        <v>4</v>
      </c>
      <c r="AQ8" t="s">
        <v>142</v>
      </c>
      <c r="AS8" s="52" t="s">
        <v>143</v>
      </c>
      <c r="AU8">
        <v>0</v>
      </c>
      <c r="AV8" s="52" t="s">
        <v>143</v>
      </c>
      <c r="AW8" s="52" t="s">
        <v>144</v>
      </c>
      <c r="AY8" s="52" t="s">
        <v>167</v>
      </c>
      <c r="BK8" s="125" t="str">
        <f>REPLACE(INDEX(GroupVertices[Group],MATCH(Edges[[#This Row],[Vertex 1]],GroupVertices[Vertex],0)),1,1,"")</f>
        <v>6</v>
      </c>
      <c r="BL8" s="125" t="str">
        <f>REPLACE(INDEX(GroupVertices[Group],MATCH(Edges[[#This Row],[Vertex 2]],GroupVertices[Vertex],0)),1,1,"")</f>
        <v>6</v>
      </c>
      <c r="BM8" s="77">
        <v>45178</v>
      </c>
      <c r="BN8" s="98" t="s">
        <v>168</v>
      </c>
      <c r="BO8" s="35"/>
      <c r="BP8" s="36"/>
      <c r="BQ8" s="35"/>
      <c r="BR8" s="36"/>
      <c r="BS8" s="35"/>
      <c r="BT8" s="36"/>
      <c r="BU8" s="82">
        <v>0</v>
      </c>
      <c r="BV8">
        <v>0</v>
      </c>
      <c r="BW8">
        <v>34</v>
      </c>
      <c r="BX8" t="s">
        <v>169</v>
      </c>
      <c r="CK8" s="52" t="s">
        <v>170</v>
      </c>
      <c r="CL8" s="52" t="s">
        <v>171</v>
      </c>
      <c r="CM8" s="52" t="s">
        <v>167</v>
      </c>
      <c r="CN8">
        <v>17035423</v>
      </c>
    </row>
    <row r="9" spans="1:92" ht="15">
      <c r="A9" s="49" t="s">
        <v>162</v>
      </c>
      <c r="B9" s="49" t="s">
        <v>179</v>
      </c>
      <c r="C9" s="60" t="s">
        <v>135</v>
      </c>
      <c r="D9" s="66">
        <v>6.875</v>
      </c>
      <c r="E9" s="99" t="s">
        <v>180</v>
      </c>
      <c r="F9" s="67">
        <v>15.846153846153847</v>
      </c>
      <c r="G9" s="60"/>
      <c r="H9" s="54"/>
      <c r="I9" s="68"/>
      <c r="J9" s="68"/>
      <c r="K9" s="30" t="s">
        <v>137</v>
      </c>
      <c r="L9" s="100">
        <v>9</v>
      </c>
      <c r="M9" s="100"/>
      <c r="N9" s="70"/>
      <c r="O9" t="s">
        <v>172</v>
      </c>
      <c r="P9" s="50">
        <v>45178.04076388889</v>
      </c>
      <c r="Q9" t="s">
        <v>173</v>
      </c>
      <c r="U9" s="50">
        <v>45178.04076388889</v>
      </c>
      <c r="V9" s="85" t="str">
        <f>HYPERLINK("https://twitter.com/ccooke6685/status/1700312740479349179")</f>
        <v>https://twitter.com/ccooke6685/status/1700312740479349179</v>
      </c>
      <c r="Y9" s="52" t="s">
        <v>174</v>
      </c>
      <c r="AA9" s="81">
        <v>4</v>
      </c>
      <c r="AB9" s="35"/>
      <c r="AC9" s="36"/>
      <c r="AD9" s="35"/>
      <c r="AE9" s="36"/>
      <c r="AF9" s="35"/>
      <c r="AG9" s="36"/>
      <c r="AH9" s="35"/>
      <c r="AI9" s="36"/>
      <c r="AJ9" s="35"/>
      <c r="AK9" s="82"/>
      <c r="AL9" s="85" t="str">
        <f t="shared" si="0"/>
        <v>https://pbs.twimg.com/profile_images/1662869898811277321/kHxssA1A_normal.jpg</v>
      </c>
      <c r="AN9">
        <v>3</v>
      </c>
      <c r="AQ9" t="s">
        <v>142</v>
      </c>
      <c r="AS9" s="52" t="s">
        <v>143</v>
      </c>
      <c r="AU9">
        <v>0</v>
      </c>
      <c r="AV9" s="52" t="s">
        <v>143</v>
      </c>
      <c r="AW9" s="52" t="s">
        <v>144</v>
      </c>
      <c r="AY9" s="52" t="s">
        <v>175</v>
      </c>
      <c r="BK9" s="125" t="str">
        <f>REPLACE(INDEX(GroupVertices[Group],MATCH(Edges[[#This Row],[Vertex 1]],GroupVertices[Vertex],0)),1,1,"")</f>
        <v>6</v>
      </c>
      <c r="BL9" s="125" t="str">
        <f>REPLACE(INDEX(GroupVertices[Group],MATCH(Edges[[#This Row],[Vertex 2]],GroupVertices[Vertex],0)),1,1,"")</f>
        <v>6</v>
      </c>
      <c r="BM9" s="77">
        <v>45178</v>
      </c>
      <c r="BN9" s="98" t="s">
        <v>176</v>
      </c>
      <c r="BO9" s="35"/>
      <c r="BP9" s="36"/>
      <c r="BQ9" s="35"/>
      <c r="BR9" s="36"/>
      <c r="BS9" s="35"/>
      <c r="BT9" s="36"/>
      <c r="BU9" s="82">
        <v>0</v>
      </c>
      <c r="BV9">
        <v>0</v>
      </c>
      <c r="BW9">
        <v>36</v>
      </c>
      <c r="BX9" t="s">
        <v>177</v>
      </c>
      <c r="CK9" s="52" t="s">
        <v>170</v>
      </c>
      <c r="CL9" s="52" t="s">
        <v>178</v>
      </c>
      <c r="CM9" s="52" t="s">
        <v>175</v>
      </c>
      <c r="CN9">
        <v>17035423</v>
      </c>
    </row>
    <row r="10" spans="1:92" ht="15">
      <c r="A10" s="49" t="s">
        <v>162</v>
      </c>
      <c r="B10" s="49" t="s">
        <v>181</v>
      </c>
      <c r="C10" s="60" t="s">
        <v>135</v>
      </c>
      <c r="D10" s="66">
        <v>6.875</v>
      </c>
      <c r="E10" s="99" t="s">
        <v>180</v>
      </c>
      <c r="F10" s="67">
        <v>15.846153846153847</v>
      </c>
      <c r="G10" s="60"/>
      <c r="H10" s="54"/>
      <c r="I10" s="68"/>
      <c r="J10" s="68"/>
      <c r="K10" s="30" t="s">
        <v>137</v>
      </c>
      <c r="L10" s="100">
        <v>10</v>
      </c>
      <c r="M10" s="100"/>
      <c r="N10" s="70"/>
      <c r="O10" t="s">
        <v>172</v>
      </c>
      <c r="P10" s="50">
        <v>45178.07373842593</v>
      </c>
      <c r="Q10" t="s">
        <v>165</v>
      </c>
      <c r="U10" s="50">
        <v>45178.07373842593</v>
      </c>
      <c r="V10" s="85" t="str">
        <f>HYPERLINK("https://twitter.com/ccooke6685/status/1700324690235896007")</f>
        <v>https://twitter.com/ccooke6685/status/1700324690235896007</v>
      </c>
      <c r="Y10" s="52" t="s">
        <v>166</v>
      </c>
      <c r="AA10" s="81">
        <v>4</v>
      </c>
      <c r="AB10" s="35"/>
      <c r="AC10" s="36"/>
      <c r="AD10" s="35"/>
      <c r="AE10" s="36"/>
      <c r="AF10" s="35"/>
      <c r="AG10" s="36"/>
      <c r="AH10" s="35"/>
      <c r="AI10" s="36"/>
      <c r="AJ10" s="35"/>
      <c r="AK10" s="82"/>
      <c r="AL10" s="85" t="str">
        <f t="shared" si="0"/>
        <v>https://pbs.twimg.com/profile_images/1662869898811277321/kHxssA1A_normal.jpg</v>
      </c>
      <c r="AN10">
        <v>4</v>
      </c>
      <c r="AQ10" t="s">
        <v>142</v>
      </c>
      <c r="AS10" s="52" t="s">
        <v>143</v>
      </c>
      <c r="AU10">
        <v>0</v>
      </c>
      <c r="AV10" s="52" t="s">
        <v>143</v>
      </c>
      <c r="AW10" s="52" t="s">
        <v>144</v>
      </c>
      <c r="AY10" s="52" t="s">
        <v>167</v>
      </c>
      <c r="BK10" s="125" t="str">
        <f>REPLACE(INDEX(GroupVertices[Group],MATCH(Edges[[#This Row],[Vertex 1]],GroupVertices[Vertex],0)),1,1,"")</f>
        <v>6</v>
      </c>
      <c r="BL10" s="125" t="str">
        <f>REPLACE(INDEX(GroupVertices[Group],MATCH(Edges[[#This Row],[Vertex 2]],GroupVertices[Vertex],0)),1,1,"")</f>
        <v>6</v>
      </c>
      <c r="BM10" s="77">
        <v>45178</v>
      </c>
      <c r="BN10" s="98" t="s">
        <v>168</v>
      </c>
      <c r="BO10" s="35"/>
      <c r="BP10" s="36"/>
      <c r="BQ10" s="35"/>
      <c r="BR10" s="36"/>
      <c r="BS10" s="35"/>
      <c r="BT10" s="36"/>
      <c r="BU10" s="82">
        <v>0</v>
      </c>
      <c r="BV10">
        <v>0</v>
      </c>
      <c r="BW10">
        <v>34</v>
      </c>
      <c r="BX10" t="s">
        <v>169</v>
      </c>
      <c r="CK10" s="52" t="s">
        <v>170</v>
      </c>
      <c r="CL10" s="52" t="s">
        <v>171</v>
      </c>
      <c r="CM10" s="52" t="s">
        <v>167</v>
      </c>
      <c r="CN10">
        <v>17035423</v>
      </c>
    </row>
    <row r="11" spans="1:92" ht="15">
      <c r="A11" s="49" t="s">
        <v>162</v>
      </c>
      <c r="B11" s="49" t="s">
        <v>181</v>
      </c>
      <c r="C11" s="60" t="s">
        <v>135</v>
      </c>
      <c r="D11" s="66">
        <v>6.875</v>
      </c>
      <c r="E11" s="99" t="s">
        <v>180</v>
      </c>
      <c r="F11" s="67">
        <v>15.846153846153847</v>
      </c>
      <c r="G11" s="60"/>
      <c r="H11" s="54"/>
      <c r="I11" s="68"/>
      <c r="J11" s="68"/>
      <c r="K11" s="30" t="s">
        <v>137</v>
      </c>
      <c r="L11" s="100">
        <v>11</v>
      </c>
      <c r="M11" s="100"/>
      <c r="N11" s="70"/>
      <c r="O11" t="s">
        <v>172</v>
      </c>
      <c r="P11" s="50">
        <v>45178.04076388889</v>
      </c>
      <c r="Q11" t="s">
        <v>173</v>
      </c>
      <c r="U11" s="50">
        <v>45178.04076388889</v>
      </c>
      <c r="V11" s="85" t="str">
        <f>HYPERLINK("https://twitter.com/ccooke6685/status/1700312740479349179")</f>
        <v>https://twitter.com/ccooke6685/status/1700312740479349179</v>
      </c>
      <c r="Y11" s="52" t="s">
        <v>174</v>
      </c>
      <c r="AA11" s="81">
        <v>4</v>
      </c>
      <c r="AB11" s="35"/>
      <c r="AC11" s="36"/>
      <c r="AD11" s="35"/>
      <c r="AE11" s="36"/>
      <c r="AF11" s="35"/>
      <c r="AG11" s="36"/>
      <c r="AH11" s="35"/>
      <c r="AI11" s="36"/>
      <c r="AJ11" s="35"/>
      <c r="AK11" s="82"/>
      <c r="AL11" s="85" t="str">
        <f t="shared" si="0"/>
        <v>https://pbs.twimg.com/profile_images/1662869898811277321/kHxssA1A_normal.jpg</v>
      </c>
      <c r="AN11">
        <v>3</v>
      </c>
      <c r="AQ11" t="s">
        <v>142</v>
      </c>
      <c r="AS11" s="52" t="s">
        <v>143</v>
      </c>
      <c r="AU11">
        <v>0</v>
      </c>
      <c r="AV11" s="52" t="s">
        <v>143</v>
      </c>
      <c r="AW11" s="52" t="s">
        <v>144</v>
      </c>
      <c r="AY11" s="52" t="s">
        <v>175</v>
      </c>
      <c r="BK11" s="125" t="str">
        <f>REPLACE(INDEX(GroupVertices[Group],MATCH(Edges[[#This Row],[Vertex 1]],GroupVertices[Vertex],0)),1,1,"")</f>
        <v>6</v>
      </c>
      <c r="BL11" s="125" t="str">
        <f>REPLACE(INDEX(GroupVertices[Group],MATCH(Edges[[#This Row],[Vertex 2]],GroupVertices[Vertex],0)),1,1,"")</f>
        <v>6</v>
      </c>
      <c r="BM11" s="77">
        <v>45178</v>
      </c>
      <c r="BN11" s="98" t="s">
        <v>176</v>
      </c>
      <c r="BO11" s="35"/>
      <c r="BP11" s="36"/>
      <c r="BQ11" s="35"/>
      <c r="BR11" s="36"/>
      <c r="BS11" s="35"/>
      <c r="BT11" s="36"/>
      <c r="BU11" s="82">
        <v>0</v>
      </c>
      <c r="BV11">
        <v>0</v>
      </c>
      <c r="BW11">
        <v>36</v>
      </c>
      <c r="BX11" t="s">
        <v>177</v>
      </c>
      <c r="CK11" s="52" t="s">
        <v>170</v>
      </c>
      <c r="CL11" s="52" t="s">
        <v>178</v>
      </c>
      <c r="CM11" s="52" t="s">
        <v>175</v>
      </c>
      <c r="CN11">
        <v>17035423</v>
      </c>
    </row>
    <row r="12" spans="1:92" ht="15">
      <c r="A12" s="49" t="s">
        <v>162</v>
      </c>
      <c r="B12" s="49" t="s">
        <v>182</v>
      </c>
      <c r="C12" s="60" t="s">
        <v>135</v>
      </c>
      <c r="D12" s="66">
        <v>5</v>
      </c>
      <c r="E12" s="99" t="s">
        <v>136</v>
      </c>
      <c r="F12" s="67">
        <v>16</v>
      </c>
      <c r="G12" s="60"/>
      <c r="H12" s="54"/>
      <c r="I12" s="68"/>
      <c r="J12" s="68"/>
      <c r="K12" s="30" t="s">
        <v>137</v>
      </c>
      <c r="L12" s="100">
        <v>12</v>
      </c>
      <c r="M12" s="100"/>
      <c r="N12" s="70"/>
      <c r="O12" t="s">
        <v>172</v>
      </c>
      <c r="P12" s="50">
        <v>45178.07373842593</v>
      </c>
      <c r="Q12" t="s">
        <v>165</v>
      </c>
      <c r="U12" s="50">
        <v>45178.07373842593</v>
      </c>
      <c r="V12" s="85" t="str">
        <f>HYPERLINK("https://twitter.com/ccooke6685/status/1700324690235896007")</f>
        <v>https://twitter.com/ccooke6685/status/1700324690235896007</v>
      </c>
      <c r="Y12" s="52" t="s">
        <v>166</v>
      </c>
      <c r="AA12" s="81">
        <v>1</v>
      </c>
      <c r="AB12" s="35"/>
      <c r="AC12" s="36"/>
      <c r="AD12" s="35"/>
      <c r="AE12" s="36"/>
      <c r="AF12" s="35"/>
      <c r="AG12" s="36"/>
      <c r="AH12" s="35"/>
      <c r="AI12" s="36"/>
      <c r="AJ12" s="35"/>
      <c r="AK12" s="82"/>
      <c r="AL12" s="85" t="str">
        <f t="shared" si="0"/>
        <v>https://pbs.twimg.com/profile_images/1662869898811277321/kHxssA1A_normal.jpg</v>
      </c>
      <c r="AN12">
        <v>4</v>
      </c>
      <c r="AQ12" t="s">
        <v>142</v>
      </c>
      <c r="AS12" s="52" t="s">
        <v>143</v>
      </c>
      <c r="AU12">
        <v>0</v>
      </c>
      <c r="AV12" s="52" t="s">
        <v>143</v>
      </c>
      <c r="AW12" s="52" t="s">
        <v>144</v>
      </c>
      <c r="AY12" s="52" t="s">
        <v>167</v>
      </c>
      <c r="BK12" s="125" t="str">
        <f>REPLACE(INDEX(GroupVertices[Group],MATCH(Edges[[#This Row],[Vertex 1]],GroupVertices[Vertex],0)),1,1,"")</f>
        <v>6</v>
      </c>
      <c r="BL12" s="125" t="str">
        <f>REPLACE(INDEX(GroupVertices[Group],MATCH(Edges[[#This Row],[Vertex 2]],GroupVertices[Vertex],0)),1,1,"")</f>
        <v>6</v>
      </c>
      <c r="BM12" s="77">
        <v>45178</v>
      </c>
      <c r="BN12" s="98" t="s">
        <v>168</v>
      </c>
      <c r="BO12" s="35"/>
      <c r="BP12" s="36"/>
      <c r="BQ12" s="35"/>
      <c r="BR12" s="36"/>
      <c r="BS12" s="35"/>
      <c r="BT12" s="36"/>
      <c r="BU12" s="82">
        <v>0</v>
      </c>
      <c r="BV12">
        <v>0</v>
      </c>
      <c r="BW12">
        <v>34</v>
      </c>
      <c r="BX12" t="s">
        <v>169</v>
      </c>
      <c r="CK12" s="52" t="s">
        <v>170</v>
      </c>
      <c r="CL12" s="52" t="s">
        <v>171</v>
      </c>
      <c r="CM12" s="52" t="s">
        <v>167</v>
      </c>
      <c r="CN12">
        <v>17035423</v>
      </c>
    </row>
    <row r="13" spans="1:92" ht="15">
      <c r="A13" s="49" t="s">
        <v>162</v>
      </c>
      <c r="B13" s="49" t="s">
        <v>182</v>
      </c>
      <c r="C13" s="60" t="s">
        <v>135</v>
      </c>
      <c r="D13" s="66">
        <v>5</v>
      </c>
      <c r="E13" s="99" t="s">
        <v>136</v>
      </c>
      <c r="F13" s="67">
        <v>16</v>
      </c>
      <c r="G13" s="60"/>
      <c r="H13" s="54"/>
      <c r="I13" s="68"/>
      <c r="J13" s="68"/>
      <c r="K13" s="30" t="s">
        <v>137</v>
      </c>
      <c r="L13" s="100">
        <v>13</v>
      </c>
      <c r="M13" s="100"/>
      <c r="N13" s="70"/>
      <c r="O13" t="s">
        <v>164</v>
      </c>
      <c r="P13" s="50">
        <v>45178.04076388889</v>
      </c>
      <c r="Q13" t="s">
        <v>173</v>
      </c>
      <c r="U13" s="50">
        <v>45178.04076388889</v>
      </c>
      <c r="V13" s="85" t="str">
        <f>HYPERLINK("https://twitter.com/ccooke6685/status/1700312740479349179")</f>
        <v>https://twitter.com/ccooke6685/status/1700312740479349179</v>
      </c>
      <c r="Y13" s="52" t="s">
        <v>174</v>
      </c>
      <c r="AA13" s="81">
        <v>1</v>
      </c>
      <c r="AB13" s="35"/>
      <c r="AC13" s="36"/>
      <c r="AD13" s="35"/>
      <c r="AE13" s="36"/>
      <c r="AF13" s="35"/>
      <c r="AG13" s="36"/>
      <c r="AH13" s="35"/>
      <c r="AI13" s="36"/>
      <c r="AJ13" s="35"/>
      <c r="AK13" s="82"/>
      <c r="AL13" s="85" t="str">
        <f t="shared" si="0"/>
        <v>https://pbs.twimg.com/profile_images/1662869898811277321/kHxssA1A_normal.jpg</v>
      </c>
      <c r="AN13">
        <v>3</v>
      </c>
      <c r="AQ13" t="s">
        <v>142</v>
      </c>
      <c r="AS13" s="52" t="s">
        <v>143</v>
      </c>
      <c r="AU13">
        <v>0</v>
      </c>
      <c r="AV13" s="52" t="s">
        <v>143</v>
      </c>
      <c r="AW13" s="52" t="s">
        <v>144</v>
      </c>
      <c r="AY13" s="52" t="s">
        <v>175</v>
      </c>
      <c r="BK13" s="125" t="str">
        <f>REPLACE(INDEX(GroupVertices[Group],MATCH(Edges[[#This Row],[Vertex 1]],GroupVertices[Vertex],0)),1,1,"")</f>
        <v>6</v>
      </c>
      <c r="BL13" s="125" t="str">
        <f>REPLACE(INDEX(GroupVertices[Group],MATCH(Edges[[#This Row],[Vertex 2]],GroupVertices[Vertex],0)),1,1,"")</f>
        <v>6</v>
      </c>
      <c r="BM13" s="77">
        <v>45178</v>
      </c>
      <c r="BN13" s="98" t="s">
        <v>176</v>
      </c>
      <c r="BO13" s="35"/>
      <c r="BP13" s="36"/>
      <c r="BQ13" s="35"/>
      <c r="BR13" s="36"/>
      <c r="BS13" s="35"/>
      <c r="BT13" s="36"/>
      <c r="BU13" s="82">
        <v>0</v>
      </c>
      <c r="BV13">
        <v>0</v>
      </c>
      <c r="BW13">
        <v>36</v>
      </c>
      <c r="BX13" t="s">
        <v>177</v>
      </c>
      <c r="CK13" s="52" t="s">
        <v>170</v>
      </c>
      <c r="CL13" s="52" t="s">
        <v>178</v>
      </c>
      <c r="CM13" s="52" t="s">
        <v>175</v>
      </c>
      <c r="CN13">
        <v>17035423</v>
      </c>
    </row>
    <row r="14" spans="1:92" ht="15">
      <c r="A14" s="49" t="s">
        <v>162</v>
      </c>
      <c r="B14" s="49" t="s">
        <v>183</v>
      </c>
      <c r="C14" s="60" t="s">
        <v>135</v>
      </c>
      <c r="D14" s="66">
        <v>6.875</v>
      </c>
      <c r="E14" s="99" t="s">
        <v>180</v>
      </c>
      <c r="F14" s="67">
        <v>15.846153846153847</v>
      </c>
      <c r="G14" s="60"/>
      <c r="H14" s="54"/>
      <c r="I14" s="68"/>
      <c r="J14" s="68"/>
      <c r="K14" s="30" t="s">
        <v>137</v>
      </c>
      <c r="L14" s="100">
        <v>14</v>
      </c>
      <c r="M14" s="100"/>
      <c r="N14" s="70"/>
      <c r="O14" t="s">
        <v>172</v>
      </c>
      <c r="P14" s="50">
        <v>45178.07373842593</v>
      </c>
      <c r="Q14" t="s">
        <v>165</v>
      </c>
      <c r="U14" s="50">
        <v>45178.07373842593</v>
      </c>
      <c r="V14" s="85" t="str">
        <f>HYPERLINK("https://twitter.com/ccooke6685/status/1700324690235896007")</f>
        <v>https://twitter.com/ccooke6685/status/1700324690235896007</v>
      </c>
      <c r="Y14" s="52" t="s">
        <v>166</v>
      </c>
      <c r="AA14" s="81">
        <v>4</v>
      </c>
      <c r="AB14" s="35"/>
      <c r="AC14" s="36"/>
      <c r="AD14" s="35"/>
      <c r="AE14" s="36"/>
      <c r="AF14" s="35"/>
      <c r="AG14" s="36"/>
      <c r="AH14" s="35">
        <v>7</v>
      </c>
      <c r="AI14" s="36">
        <v>87.5</v>
      </c>
      <c r="AJ14" s="35">
        <v>8</v>
      </c>
      <c r="AK14" s="82"/>
      <c r="AL14" s="85" t="str">
        <f t="shared" si="0"/>
        <v>https://pbs.twimg.com/profile_images/1662869898811277321/kHxssA1A_normal.jpg</v>
      </c>
      <c r="AN14">
        <v>4</v>
      </c>
      <c r="AQ14" t="s">
        <v>142</v>
      </c>
      <c r="AS14" s="52" t="s">
        <v>143</v>
      </c>
      <c r="AU14">
        <v>0</v>
      </c>
      <c r="AV14" s="52" t="s">
        <v>143</v>
      </c>
      <c r="AW14" s="52" t="s">
        <v>144</v>
      </c>
      <c r="AY14" s="52" t="s">
        <v>167</v>
      </c>
      <c r="BK14" s="125" t="str">
        <f>REPLACE(INDEX(GroupVertices[Group],MATCH(Edges[[#This Row],[Vertex 1]],GroupVertices[Vertex],0)),1,1,"")</f>
        <v>6</v>
      </c>
      <c r="BL14" s="125" t="str">
        <f>REPLACE(INDEX(GroupVertices[Group],MATCH(Edges[[#This Row],[Vertex 2]],GroupVertices[Vertex],0)),1,1,"")</f>
        <v>2</v>
      </c>
      <c r="BM14" s="77">
        <v>45178</v>
      </c>
      <c r="BN14" s="98" t="s">
        <v>168</v>
      </c>
      <c r="BO14" s="35">
        <v>0</v>
      </c>
      <c r="BP14" s="36">
        <v>0</v>
      </c>
      <c r="BQ14" s="35">
        <v>0</v>
      </c>
      <c r="BR14" s="36">
        <v>0</v>
      </c>
      <c r="BS14" s="35">
        <v>0</v>
      </c>
      <c r="BT14" s="36">
        <v>0</v>
      </c>
      <c r="BU14" s="82">
        <v>0</v>
      </c>
      <c r="BV14">
        <v>0</v>
      </c>
      <c r="BW14">
        <v>34</v>
      </c>
      <c r="BX14" t="s">
        <v>169</v>
      </c>
      <c r="CK14" s="52" t="s">
        <v>170</v>
      </c>
      <c r="CL14" s="52" t="s">
        <v>171</v>
      </c>
      <c r="CM14" s="52" t="s">
        <v>167</v>
      </c>
      <c r="CN14">
        <v>17035423</v>
      </c>
    </row>
    <row r="15" spans="1:92" ht="15">
      <c r="A15" s="49" t="s">
        <v>162</v>
      </c>
      <c r="B15" s="49" t="s">
        <v>183</v>
      </c>
      <c r="C15" s="60" t="s">
        <v>135</v>
      </c>
      <c r="D15" s="66">
        <v>6.875</v>
      </c>
      <c r="E15" s="99" t="s">
        <v>180</v>
      </c>
      <c r="F15" s="67">
        <v>15.846153846153847</v>
      </c>
      <c r="G15" s="60"/>
      <c r="H15" s="54"/>
      <c r="I15" s="68"/>
      <c r="J15" s="68"/>
      <c r="K15" s="30" t="s">
        <v>137</v>
      </c>
      <c r="L15" s="100">
        <v>15</v>
      </c>
      <c r="M15" s="100"/>
      <c r="N15" s="70"/>
      <c r="O15" t="s">
        <v>172</v>
      </c>
      <c r="P15" s="50">
        <v>45178.04076388889</v>
      </c>
      <c r="Q15" t="s">
        <v>173</v>
      </c>
      <c r="U15" s="50">
        <v>45178.04076388889</v>
      </c>
      <c r="V15" s="85" t="str">
        <f>HYPERLINK("https://twitter.com/ccooke6685/status/1700312740479349179")</f>
        <v>https://twitter.com/ccooke6685/status/1700312740479349179</v>
      </c>
      <c r="Y15" s="52" t="s">
        <v>174</v>
      </c>
      <c r="AA15" s="81">
        <v>4</v>
      </c>
      <c r="AB15" s="35"/>
      <c r="AC15" s="36"/>
      <c r="AD15" s="35"/>
      <c r="AE15" s="36"/>
      <c r="AF15" s="35"/>
      <c r="AG15" s="36"/>
      <c r="AH15" s="35">
        <v>7</v>
      </c>
      <c r="AI15" s="36">
        <v>87.5</v>
      </c>
      <c r="AJ15" s="35">
        <v>8</v>
      </c>
      <c r="AK15" s="82"/>
      <c r="AL15" s="85" t="str">
        <f t="shared" si="0"/>
        <v>https://pbs.twimg.com/profile_images/1662869898811277321/kHxssA1A_normal.jpg</v>
      </c>
      <c r="AN15">
        <v>3</v>
      </c>
      <c r="AQ15" t="s">
        <v>142</v>
      </c>
      <c r="AS15" s="52" t="s">
        <v>143</v>
      </c>
      <c r="AU15">
        <v>0</v>
      </c>
      <c r="AV15" s="52" t="s">
        <v>143</v>
      </c>
      <c r="AW15" s="52" t="s">
        <v>144</v>
      </c>
      <c r="AY15" s="52" t="s">
        <v>175</v>
      </c>
      <c r="BK15" s="125" t="str">
        <f>REPLACE(INDEX(GroupVertices[Group],MATCH(Edges[[#This Row],[Vertex 1]],GroupVertices[Vertex],0)),1,1,"")</f>
        <v>6</v>
      </c>
      <c r="BL15" s="125" t="str">
        <f>REPLACE(INDEX(GroupVertices[Group],MATCH(Edges[[#This Row],[Vertex 2]],GroupVertices[Vertex],0)),1,1,"")</f>
        <v>2</v>
      </c>
      <c r="BM15" s="77">
        <v>45178</v>
      </c>
      <c r="BN15" s="98" t="s">
        <v>176</v>
      </c>
      <c r="BO15" s="35">
        <v>0</v>
      </c>
      <c r="BP15" s="36">
        <v>0</v>
      </c>
      <c r="BQ15" s="35">
        <v>0</v>
      </c>
      <c r="BR15" s="36">
        <v>0</v>
      </c>
      <c r="BS15" s="35">
        <v>0</v>
      </c>
      <c r="BT15" s="36">
        <v>0</v>
      </c>
      <c r="BU15" s="82">
        <v>0</v>
      </c>
      <c r="BV15">
        <v>0</v>
      </c>
      <c r="BW15">
        <v>36</v>
      </c>
      <c r="BX15" t="s">
        <v>177</v>
      </c>
      <c r="CK15" s="52" t="s">
        <v>170</v>
      </c>
      <c r="CL15" s="52" t="s">
        <v>178</v>
      </c>
      <c r="CM15" s="52" t="s">
        <v>175</v>
      </c>
      <c r="CN15">
        <v>17035423</v>
      </c>
    </row>
    <row r="16" spans="1:92" ht="15">
      <c r="A16" s="49" t="s">
        <v>184</v>
      </c>
      <c r="B16" s="49" t="s">
        <v>185</v>
      </c>
      <c r="C16" s="60" t="s">
        <v>135</v>
      </c>
      <c r="D16" s="66">
        <v>5</v>
      </c>
      <c r="E16" s="99" t="s">
        <v>136</v>
      </c>
      <c r="F16" s="67">
        <v>16</v>
      </c>
      <c r="G16" s="60"/>
      <c r="H16" s="54"/>
      <c r="I16" s="68"/>
      <c r="J16" s="68"/>
      <c r="K16" s="30" t="s">
        <v>137</v>
      </c>
      <c r="L16" s="100">
        <v>16</v>
      </c>
      <c r="M16" s="100"/>
      <c r="N16" s="70"/>
      <c r="O16" t="s">
        <v>138</v>
      </c>
      <c r="P16" s="50">
        <v>45180.29167824074</v>
      </c>
      <c r="Q16" t="s">
        <v>186</v>
      </c>
      <c r="U16" s="50">
        <v>45180.29167824074</v>
      </c>
      <c r="V16" s="85" t="str">
        <f>HYPERLINK("https://twitter.com/louiselyons_/status/1701128443491172724")</f>
        <v>https://twitter.com/louiselyons_/status/1701128443491172724</v>
      </c>
      <c r="Y16" s="52" t="s">
        <v>187</v>
      </c>
      <c r="AA16" s="81">
        <v>1</v>
      </c>
      <c r="AB16" s="35"/>
      <c r="AC16" s="36"/>
      <c r="AD16" s="35"/>
      <c r="AE16" s="36"/>
      <c r="AF16" s="35"/>
      <c r="AG16" s="36"/>
      <c r="AH16" s="35">
        <v>12</v>
      </c>
      <c r="AI16" s="36">
        <v>66.66666666666667</v>
      </c>
      <c r="AJ16" s="35">
        <v>18</v>
      </c>
      <c r="AK16" s="82"/>
      <c r="AL16" s="85" t="str">
        <f>HYPERLINK("https://pbs.twimg.com/profile_images/1652982039820288000/rb6SOCqo_normal.jpg")</f>
        <v>https://pbs.twimg.com/profile_images/1652982039820288000/rb6SOCqo_normal.jpg</v>
      </c>
      <c r="AN16">
        <v>2</v>
      </c>
      <c r="AQ16" t="s">
        <v>142</v>
      </c>
      <c r="AS16" s="52" t="s">
        <v>143</v>
      </c>
      <c r="AU16">
        <v>2</v>
      </c>
      <c r="AV16" s="52" t="s">
        <v>143</v>
      </c>
      <c r="AW16" s="52" t="s">
        <v>144</v>
      </c>
      <c r="AY16" s="52" t="s">
        <v>187</v>
      </c>
      <c r="BK16" s="125" t="str">
        <f>REPLACE(INDEX(GroupVertices[Group],MATCH(Edges[[#This Row],[Vertex 1]],GroupVertices[Vertex],0)),1,1,"")</f>
        <v>8</v>
      </c>
      <c r="BL16" s="125" t="str">
        <f>REPLACE(INDEX(GroupVertices[Group],MATCH(Edges[[#This Row],[Vertex 2]],GroupVertices[Vertex],0)),1,1,"")</f>
        <v>8</v>
      </c>
      <c r="BM16" s="77">
        <v>45180</v>
      </c>
      <c r="BN16" s="98" t="s">
        <v>188</v>
      </c>
      <c r="BO16" s="35">
        <v>0</v>
      </c>
      <c r="BP16" s="36">
        <v>0</v>
      </c>
      <c r="BQ16" s="35">
        <v>0</v>
      </c>
      <c r="BR16" s="36">
        <v>0</v>
      </c>
      <c r="BS16" s="35">
        <v>0</v>
      </c>
      <c r="BT16" s="36">
        <v>0</v>
      </c>
      <c r="BU16" s="82">
        <v>0</v>
      </c>
      <c r="BV16">
        <v>0</v>
      </c>
      <c r="BW16">
        <v>147</v>
      </c>
      <c r="BX16" t="s">
        <v>185</v>
      </c>
      <c r="CK16" s="52" t="s">
        <v>187</v>
      </c>
      <c r="CM16" s="52" t="s">
        <v>143</v>
      </c>
      <c r="CN16">
        <v>4106793329</v>
      </c>
    </row>
    <row r="17" spans="1:92" ht="15">
      <c r="A17" s="49" t="s">
        <v>189</v>
      </c>
      <c r="B17" s="49" t="s">
        <v>190</v>
      </c>
      <c r="C17" s="60" t="s">
        <v>135</v>
      </c>
      <c r="D17" s="66">
        <v>5</v>
      </c>
      <c r="E17" s="99" t="s">
        <v>136</v>
      </c>
      <c r="F17" s="67">
        <v>16</v>
      </c>
      <c r="G17" s="60"/>
      <c r="H17" s="54"/>
      <c r="I17" s="68"/>
      <c r="J17" s="68"/>
      <c r="K17" s="30" t="s">
        <v>137</v>
      </c>
      <c r="L17" s="100">
        <v>17</v>
      </c>
      <c r="M17" s="100"/>
      <c r="N17" s="70"/>
      <c r="O17" t="s">
        <v>164</v>
      </c>
      <c r="P17" s="50">
        <v>45179.72268518519</v>
      </c>
      <c r="Q17" t="s">
        <v>191</v>
      </c>
      <c r="U17" s="50">
        <v>45179.72268518519</v>
      </c>
      <c r="V17" s="85" t="str">
        <f>HYPERLINK("https://twitter.com/jeremyl75946562/status/1700922247224193190")</f>
        <v>https://twitter.com/jeremyl75946562/status/1700922247224193190</v>
      </c>
      <c r="Y17" s="52" t="s">
        <v>192</v>
      </c>
      <c r="AA17" s="81">
        <v>1</v>
      </c>
      <c r="AB17" s="35"/>
      <c r="AC17" s="36"/>
      <c r="AD17" s="35"/>
      <c r="AE17" s="36"/>
      <c r="AF17" s="35"/>
      <c r="AG17" s="36"/>
      <c r="AH17" s="35">
        <v>2</v>
      </c>
      <c r="AI17" s="36">
        <v>100</v>
      </c>
      <c r="AJ17" s="35">
        <v>2</v>
      </c>
      <c r="AK17" s="82"/>
      <c r="AL17" s="85" t="str">
        <f>HYPERLINK("https://pbs.twimg.com/profile_images/1441289435098664968/xv2yuq4U_normal.jpg")</f>
        <v>https://pbs.twimg.com/profile_images/1441289435098664968/xv2yuq4U_normal.jpg</v>
      </c>
      <c r="AN17">
        <v>0</v>
      </c>
      <c r="AQ17" t="s">
        <v>193</v>
      </c>
      <c r="AS17" s="52" t="s">
        <v>143</v>
      </c>
      <c r="AU17">
        <v>0</v>
      </c>
      <c r="AV17" s="52" t="s">
        <v>143</v>
      </c>
      <c r="AW17" s="52" t="s">
        <v>194</v>
      </c>
      <c r="AY17" s="52" t="s">
        <v>195</v>
      </c>
      <c r="BK17" s="125" t="str">
        <f>REPLACE(INDEX(GroupVertices[Group],MATCH(Edges[[#This Row],[Vertex 1]],GroupVertices[Vertex],0)),1,1,"")</f>
        <v>11</v>
      </c>
      <c r="BL17" s="125" t="str">
        <f>REPLACE(INDEX(GroupVertices[Group],MATCH(Edges[[#This Row],[Vertex 2]],GroupVertices[Vertex],0)),1,1,"")</f>
        <v>11</v>
      </c>
      <c r="BM17" s="77">
        <v>45179</v>
      </c>
      <c r="BN17" s="98" t="s">
        <v>196</v>
      </c>
      <c r="BO17" s="35">
        <v>0</v>
      </c>
      <c r="BP17" s="36">
        <v>0</v>
      </c>
      <c r="BQ17" s="35">
        <v>0</v>
      </c>
      <c r="BR17" s="36">
        <v>0</v>
      </c>
      <c r="BS17" s="35">
        <v>0</v>
      </c>
      <c r="BT17" s="36">
        <v>0</v>
      </c>
      <c r="BU17" s="82">
        <v>0</v>
      </c>
      <c r="BV17">
        <v>0</v>
      </c>
      <c r="BW17">
        <v>53</v>
      </c>
      <c r="BX17" t="s">
        <v>190</v>
      </c>
      <c r="CK17" s="52" t="s">
        <v>195</v>
      </c>
      <c r="CL17" s="52" t="s">
        <v>197</v>
      </c>
      <c r="CM17" s="52" t="s">
        <v>195</v>
      </c>
      <c r="CN17" s="52" t="s">
        <v>198</v>
      </c>
    </row>
    <row r="18" spans="1:92" ht="15">
      <c r="A18" s="49" t="s">
        <v>199</v>
      </c>
      <c r="B18" s="49" t="s">
        <v>200</v>
      </c>
      <c r="C18" s="60" t="s">
        <v>135</v>
      </c>
      <c r="D18" s="66">
        <v>5</v>
      </c>
      <c r="E18" s="99" t="s">
        <v>136</v>
      </c>
      <c r="F18" s="67">
        <v>16</v>
      </c>
      <c r="G18" s="60"/>
      <c r="H18" s="54"/>
      <c r="I18" s="68"/>
      <c r="J18" s="68"/>
      <c r="K18" s="30" t="s">
        <v>137</v>
      </c>
      <c r="L18" s="100">
        <v>18</v>
      </c>
      <c r="M18" s="100"/>
      <c r="N18" s="70"/>
      <c r="O18" t="s">
        <v>172</v>
      </c>
      <c r="P18" s="50">
        <v>45176.71163194445</v>
      </c>
      <c r="Q18" t="s">
        <v>201</v>
      </c>
      <c r="U18" s="50">
        <v>45176.71163194445</v>
      </c>
      <c r="V18" s="85" t="str">
        <f>HYPERLINK("https://twitter.com/jeremyl72410226/status/1699831080671670294")</f>
        <v>https://twitter.com/jeremyl72410226/status/1699831080671670294</v>
      </c>
      <c r="Y18" s="52" t="s">
        <v>202</v>
      </c>
      <c r="AA18" s="81">
        <v>1</v>
      </c>
      <c r="AB18" s="35"/>
      <c r="AC18" s="36"/>
      <c r="AD18" s="35"/>
      <c r="AE18" s="36"/>
      <c r="AF18" s="35"/>
      <c r="AG18" s="36"/>
      <c r="AH18" s="35"/>
      <c r="AI18" s="36"/>
      <c r="AJ18" s="35"/>
      <c r="AK18" s="82"/>
      <c r="AL18" s="85" t="str">
        <f>HYPERLINK("https://pbs.twimg.com/profile_images/1390424385509601283/lkN-bziw_normal.jpg")</f>
        <v>https://pbs.twimg.com/profile_images/1390424385509601283/lkN-bziw_normal.jpg</v>
      </c>
      <c r="AN18">
        <v>1</v>
      </c>
      <c r="AQ18" t="s">
        <v>193</v>
      </c>
      <c r="AS18" s="52" t="s">
        <v>143</v>
      </c>
      <c r="AU18">
        <v>0</v>
      </c>
      <c r="AV18" s="52" t="s">
        <v>143</v>
      </c>
      <c r="AW18" s="52" t="s">
        <v>157</v>
      </c>
      <c r="AY18" s="52" t="s">
        <v>203</v>
      </c>
      <c r="BK18" s="125" t="str">
        <f>REPLACE(INDEX(GroupVertices[Group],MATCH(Edges[[#This Row],[Vertex 1]],GroupVertices[Vertex],0)),1,1,"")</f>
        <v>5</v>
      </c>
      <c r="BL18" s="125" t="str">
        <f>REPLACE(INDEX(GroupVertices[Group],MATCH(Edges[[#This Row],[Vertex 2]],GroupVertices[Vertex],0)),1,1,"")</f>
        <v>5</v>
      </c>
      <c r="BM18" s="77">
        <v>45176</v>
      </c>
      <c r="BN18" s="98" t="s">
        <v>204</v>
      </c>
      <c r="BO18" s="35"/>
      <c r="BP18" s="36"/>
      <c r="BQ18" s="35"/>
      <c r="BR18" s="36"/>
      <c r="BS18" s="35"/>
      <c r="BT18" s="36"/>
      <c r="BU18" s="82">
        <v>0</v>
      </c>
      <c r="BV18">
        <v>0</v>
      </c>
      <c r="BW18">
        <v>27</v>
      </c>
      <c r="BX18" t="s">
        <v>205</v>
      </c>
      <c r="CK18" s="52" t="s">
        <v>203</v>
      </c>
      <c r="CL18" s="52" t="s">
        <v>206</v>
      </c>
      <c r="CM18" s="52" t="s">
        <v>203</v>
      </c>
      <c r="CN18" s="52" t="s">
        <v>207</v>
      </c>
    </row>
    <row r="19" spans="1:92" ht="15">
      <c r="A19" s="49" t="s">
        <v>199</v>
      </c>
      <c r="B19" s="49" t="s">
        <v>208</v>
      </c>
      <c r="C19" s="60" t="s">
        <v>135</v>
      </c>
      <c r="D19" s="66">
        <v>5</v>
      </c>
      <c r="E19" s="99" t="s">
        <v>136</v>
      </c>
      <c r="F19" s="67">
        <v>16</v>
      </c>
      <c r="G19" s="60"/>
      <c r="H19" s="54"/>
      <c r="I19" s="68"/>
      <c r="J19" s="68"/>
      <c r="K19" s="30" t="s">
        <v>137</v>
      </c>
      <c r="L19" s="100">
        <v>19</v>
      </c>
      <c r="M19" s="100"/>
      <c r="N19" s="70"/>
      <c r="O19" t="s">
        <v>164</v>
      </c>
      <c r="P19" s="50">
        <v>45176.71163194445</v>
      </c>
      <c r="Q19" t="s">
        <v>201</v>
      </c>
      <c r="U19" s="50">
        <v>45176.71163194445</v>
      </c>
      <c r="V19" s="85" t="str">
        <f>HYPERLINK("https://twitter.com/jeremyl72410226/status/1699831080671670294")</f>
        <v>https://twitter.com/jeremyl72410226/status/1699831080671670294</v>
      </c>
      <c r="Y19" s="52" t="s">
        <v>202</v>
      </c>
      <c r="AA19" s="81">
        <v>1</v>
      </c>
      <c r="AB19" s="35"/>
      <c r="AC19" s="36"/>
      <c r="AD19" s="35"/>
      <c r="AE19" s="36"/>
      <c r="AF19" s="35"/>
      <c r="AG19" s="36"/>
      <c r="AH19" s="35">
        <v>4</v>
      </c>
      <c r="AI19" s="36">
        <v>100</v>
      </c>
      <c r="AJ19" s="35">
        <v>4</v>
      </c>
      <c r="AK19" s="82"/>
      <c r="AL19" s="85" t="str">
        <f>HYPERLINK("https://pbs.twimg.com/profile_images/1390424385509601283/lkN-bziw_normal.jpg")</f>
        <v>https://pbs.twimg.com/profile_images/1390424385509601283/lkN-bziw_normal.jpg</v>
      </c>
      <c r="AN19">
        <v>1</v>
      </c>
      <c r="AQ19" t="s">
        <v>193</v>
      </c>
      <c r="AS19" s="52" t="s">
        <v>143</v>
      </c>
      <c r="AU19">
        <v>0</v>
      </c>
      <c r="AV19" s="52" t="s">
        <v>143</v>
      </c>
      <c r="AW19" s="52" t="s">
        <v>157</v>
      </c>
      <c r="AY19" s="52" t="s">
        <v>203</v>
      </c>
      <c r="BK19" s="125" t="str">
        <f>REPLACE(INDEX(GroupVertices[Group],MATCH(Edges[[#This Row],[Vertex 1]],GroupVertices[Vertex],0)),1,1,"")</f>
        <v>5</v>
      </c>
      <c r="BL19" s="125" t="str">
        <f>REPLACE(INDEX(GroupVertices[Group],MATCH(Edges[[#This Row],[Vertex 2]],GroupVertices[Vertex],0)),1,1,"")</f>
        <v>5</v>
      </c>
      <c r="BM19" s="77">
        <v>45176</v>
      </c>
      <c r="BN19" s="98" t="s">
        <v>204</v>
      </c>
      <c r="BO19" s="35">
        <v>0</v>
      </c>
      <c r="BP19" s="36">
        <v>0</v>
      </c>
      <c r="BQ19" s="35">
        <v>0</v>
      </c>
      <c r="BR19" s="36">
        <v>0</v>
      </c>
      <c r="BS19" s="35">
        <v>0</v>
      </c>
      <c r="BT19" s="36">
        <v>0</v>
      </c>
      <c r="BU19" s="82">
        <v>0</v>
      </c>
      <c r="BV19">
        <v>0</v>
      </c>
      <c r="BW19">
        <v>27</v>
      </c>
      <c r="BX19" t="s">
        <v>205</v>
      </c>
      <c r="CK19" s="52" t="s">
        <v>203</v>
      </c>
      <c r="CL19" s="52" t="s">
        <v>206</v>
      </c>
      <c r="CM19" s="52" t="s">
        <v>203</v>
      </c>
      <c r="CN19" s="52" t="s">
        <v>207</v>
      </c>
    </row>
    <row r="20" spans="1:92" ht="15">
      <c r="A20" s="49" t="s">
        <v>199</v>
      </c>
      <c r="B20" s="49" t="s">
        <v>209</v>
      </c>
      <c r="C20" s="60" t="s">
        <v>135</v>
      </c>
      <c r="D20" s="66">
        <v>5</v>
      </c>
      <c r="E20" s="99" t="s">
        <v>136</v>
      </c>
      <c r="F20" s="67">
        <v>16</v>
      </c>
      <c r="G20" s="60"/>
      <c r="H20" s="54"/>
      <c r="I20" s="68"/>
      <c r="J20" s="68"/>
      <c r="K20" s="30" t="s">
        <v>137</v>
      </c>
      <c r="L20" s="100">
        <v>20</v>
      </c>
      <c r="M20" s="100"/>
      <c r="N20" s="70"/>
      <c r="O20" t="s">
        <v>164</v>
      </c>
      <c r="P20" s="50">
        <v>45180.01222222222</v>
      </c>
      <c r="Q20" t="s">
        <v>210</v>
      </c>
      <c r="U20" s="50">
        <v>45180.01222222222</v>
      </c>
      <c r="V20" s="85" t="str">
        <f>HYPERLINK("https://twitter.com/jeremyl72410226/status/1701027172398616769")</f>
        <v>https://twitter.com/jeremyl72410226/status/1701027172398616769</v>
      </c>
      <c r="Y20" s="52" t="s">
        <v>211</v>
      </c>
      <c r="AA20" s="81">
        <v>1</v>
      </c>
      <c r="AB20" s="35"/>
      <c r="AC20" s="36"/>
      <c r="AD20" s="35"/>
      <c r="AE20" s="36"/>
      <c r="AF20" s="35"/>
      <c r="AG20" s="36"/>
      <c r="AH20" s="35">
        <v>3</v>
      </c>
      <c r="AI20" s="36">
        <v>100</v>
      </c>
      <c r="AJ20" s="35">
        <v>3</v>
      </c>
      <c r="AK20" s="82"/>
      <c r="AL20" s="85" t="str">
        <f>HYPERLINK("https://pbs.twimg.com/profile_images/1390424385509601283/lkN-bziw_normal.jpg")</f>
        <v>https://pbs.twimg.com/profile_images/1390424385509601283/lkN-bziw_normal.jpg</v>
      </c>
      <c r="AN20">
        <v>0</v>
      </c>
      <c r="AQ20" t="s">
        <v>193</v>
      </c>
      <c r="AS20" s="52" t="s">
        <v>143</v>
      </c>
      <c r="AU20">
        <v>0</v>
      </c>
      <c r="AV20" s="52" t="s">
        <v>143</v>
      </c>
      <c r="AW20" s="52" t="s">
        <v>157</v>
      </c>
      <c r="AY20" s="52" t="s">
        <v>212</v>
      </c>
      <c r="BK20" s="125" t="str">
        <f>REPLACE(INDEX(GroupVertices[Group],MATCH(Edges[[#This Row],[Vertex 1]],GroupVertices[Vertex],0)),1,1,"")</f>
        <v>5</v>
      </c>
      <c r="BL20" s="125" t="str">
        <f>REPLACE(INDEX(GroupVertices[Group],MATCH(Edges[[#This Row],[Vertex 2]],GroupVertices[Vertex],0)),1,1,"")</f>
        <v>5</v>
      </c>
      <c r="BM20" s="77">
        <v>45180</v>
      </c>
      <c r="BN20" s="98" t="s">
        <v>213</v>
      </c>
      <c r="BO20" s="35">
        <v>0</v>
      </c>
      <c r="BP20" s="36">
        <v>0</v>
      </c>
      <c r="BQ20" s="35">
        <v>0</v>
      </c>
      <c r="BR20" s="36">
        <v>0</v>
      </c>
      <c r="BS20" s="35">
        <v>0</v>
      </c>
      <c r="BT20" s="36">
        <v>0</v>
      </c>
      <c r="BU20" s="82">
        <v>0</v>
      </c>
      <c r="BV20">
        <v>0</v>
      </c>
      <c r="BW20">
        <v>514</v>
      </c>
      <c r="BX20" t="s">
        <v>209</v>
      </c>
      <c r="CK20" s="52" t="s">
        <v>212</v>
      </c>
      <c r="CL20" s="52" t="s">
        <v>214</v>
      </c>
      <c r="CM20" s="52" t="s">
        <v>212</v>
      </c>
      <c r="CN20" s="52" t="s">
        <v>207</v>
      </c>
    </row>
    <row r="21" spans="1:92" ht="15">
      <c r="A21" s="49" t="s">
        <v>199</v>
      </c>
      <c r="B21" s="49" t="s">
        <v>215</v>
      </c>
      <c r="C21" s="60" t="s">
        <v>135</v>
      </c>
      <c r="D21" s="66">
        <v>5</v>
      </c>
      <c r="E21" s="99" t="s">
        <v>136</v>
      </c>
      <c r="F21" s="67">
        <v>16</v>
      </c>
      <c r="G21" s="60"/>
      <c r="H21" s="54"/>
      <c r="I21" s="68"/>
      <c r="J21" s="68"/>
      <c r="K21" s="30" t="s">
        <v>137</v>
      </c>
      <c r="L21" s="100">
        <v>21</v>
      </c>
      <c r="M21" s="100"/>
      <c r="N21" s="70"/>
      <c r="O21" t="s">
        <v>172</v>
      </c>
      <c r="P21" s="50">
        <v>45182.19252314815</v>
      </c>
      <c r="Q21" t="s">
        <v>216</v>
      </c>
      <c r="U21" s="50">
        <v>45182.19252314815</v>
      </c>
      <c r="V21" s="85" t="str">
        <f>HYPERLINK("https://twitter.com/jeremyl72410226/status/1701817287047524441")</f>
        <v>https://twitter.com/jeremyl72410226/status/1701817287047524441</v>
      </c>
      <c r="Y21" s="52" t="s">
        <v>217</v>
      </c>
      <c r="AA21" s="81">
        <v>1</v>
      </c>
      <c r="AB21" s="35"/>
      <c r="AC21" s="36"/>
      <c r="AD21" s="35"/>
      <c r="AE21" s="36"/>
      <c r="AF21" s="35"/>
      <c r="AG21" s="36"/>
      <c r="AH21" s="35"/>
      <c r="AI21" s="36"/>
      <c r="AJ21" s="35"/>
      <c r="AK21" s="82"/>
      <c r="AL21" s="85" t="str">
        <f>HYPERLINK("https://pbs.twimg.com/profile_images/1390424385509601283/lkN-bziw_normal.jpg")</f>
        <v>https://pbs.twimg.com/profile_images/1390424385509601283/lkN-bziw_normal.jpg</v>
      </c>
      <c r="AN21">
        <v>0</v>
      </c>
      <c r="AQ21" t="s">
        <v>218</v>
      </c>
      <c r="AS21" s="52" t="s">
        <v>143</v>
      </c>
      <c r="AU21">
        <v>0</v>
      </c>
      <c r="AV21" s="52" t="s">
        <v>143</v>
      </c>
      <c r="AW21" s="52" t="s">
        <v>157</v>
      </c>
      <c r="AY21" s="52" t="s">
        <v>219</v>
      </c>
      <c r="BK21" s="125" t="str">
        <f>REPLACE(INDEX(GroupVertices[Group],MATCH(Edges[[#This Row],[Vertex 1]],GroupVertices[Vertex],0)),1,1,"")</f>
        <v>5</v>
      </c>
      <c r="BL21" s="125" t="str">
        <f>REPLACE(INDEX(GroupVertices[Group],MATCH(Edges[[#This Row],[Vertex 2]],GroupVertices[Vertex],0)),1,1,"")</f>
        <v>5</v>
      </c>
      <c r="BM21" s="77">
        <v>45182</v>
      </c>
      <c r="BN21" s="98" t="s">
        <v>220</v>
      </c>
      <c r="BO21" s="35"/>
      <c r="BP21" s="36"/>
      <c r="BQ21" s="35"/>
      <c r="BR21" s="36"/>
      <c r="BS21" s="35"/>
      <c r="BT21" s="36"/>
      <c r="BU21" s="82">
        <v>0</v>
      </c>
      <c r="BV21">
        <v>0</v>
      </c>
      <c r="BW21">
        <v>1254</v>
      </c>
      <c r="BX21" t="s">
        <v>221</v>
      </c>
      <c r="CK21" s="52" t="s">
        <v>219</v>
      </c>
      <c r="CL21" s="52" t="s">
        <v>222</v>
      </c>
      <c r="CM21" s="52" t="s">
        <v>219</v>
      </c>
      <c r="CN21" s="52" t="s">
        <v>207</v>
      </c>
    </row>
    <row r="22" spans="1:92" ht="15">
      <c r="A22" s="49" t="s">
        <v>199</v>
      </c>
      <c r="B22" s="49" t="s">
        <v>223</v>
      </c>
      <c r="C22" s="60" t="s">
        <v>135</v>
      </c>
      <c r="D22" s="66">
        <v>5</v>
      </c>
      <c r="E22" s="99" t="s">
        <v>136</v>
      </c>
      <c r="F22" s="67">
        <v>16</v>
      </c>
      <c r="G22" s="60"/>
      <c r="H22" s="54"/>
      <c r="I22" s="68"/>
      <c r="J22" s="68"/>
      <c r="K22" s="30" t="s">
        <v>137</v>
      </c>
      <c r="L22" s="100">
        <v>22</v>
      </c>
      <c r="M22" s="100"/>
      <c r="N22" s="70"/>
      <c r="O22" t="s">
        <v>164</v>
      </c>
      <c r="P22" s="50">
        <v>45182.19252314815</v>
      </c>
      <c r="Q22" t="s">
        <v>216</v>
      </c>
      <c r="U22" s="50">
        <v>45182.19252314815</v>
      </c>
      <c r="V22" s="85" t="str">
        <f>HYPERLINK("https://twitter.com/jeremyl72410226/status/1701817287047524441")</f>
        <v>https://twitter.com/jeremyl72410226/status/1701817287047524441</v>
      </c>
      <c r="Y22" s="52" t="s">
        <v>217</v>
      </c>
      <c r="AA22" s="81">
        <v>1</v>
      </c>
      <c r="AB22" s="35"/>
      <c r="AC22" s="36"/>
      <c r="AD22" s="35"/>
      <c r="AE22" s="36"/>
      <c r="AF22" s="35"/>
      <c r="AG22" s="36"/>
      <c r="AH22" s="35">
        <v>3</v>
      </c>
      <c r="AI22" s="36">
        <v>100</v>
      </c>
      <c r="AJ22" s="35">
        <v>3</v>
      </c>
      <c r="AK22" s="82"/>
      <c r="AL22" s="85" t="str">
        <f>HYPERLINK("https://pbs.twimg.com/profile_images/1390424385509601283/lkN-bziw_normal.jpg")</f>
        <v>https://pbs.twimg.com/profile_images/1390424385509601283/lkN-bziw_normal.jpg</v>
      </c>
      <c r="AN22">
        <v>0</v>
      </c>
      <c r="AQ22" t="s">
        <v>218</v>
      </c>
      <c r="AS22" s="52" t="s">
        <v>143</v>
      </c>
      <c r="AU22">
        <v>0</v>
      </c>
      <c r="AV22" s="52" t="s">
        <v>143</v>
      </c>
      <c r="AW22" s="52" t="s">
        <v>157</v>
      </c>
      <c r="AY22" s="52" t="s">
        <v>219</v>
      </c>
      <c r="BK22" s="125" t="str">
        <f>REPLACE(INDEX(GroupVertices[Group],MATCH(Edges[[#This Row],[Vertex 1]],GroupVertices[Vertex],0)),1,1,"")</f>
        <v>5</v>
      </c>
      <c r="BL22" s="125" t="str">
        <f>REPLACE(INDEX(GroupVertices[Group],MATCH(Edges[[#This Row],[Vertex 2]],GroupVertices[Vertex],0)),1,1,"")</f>
        <v>5</v>
      </c>
      <c r="BM22" s="77">
        <v>45182</v>
      </c>
      <c r="BN22" s="98" t="s">
        <v>220</v>
      </c>
      <c r="BO22" s="35">
        <v>0</v>
      </c>
      <c r="BP22" s="36">
        <v>0</v>
      </c>
      <c r="BQ22" s="35">
        <v>0</v>
      </c>
      <c r="BR22" s="36">
        <v>0</v>
      </c>
      <c r="BS22" s="35">
        <v>0</v>
      </c>
      <c r="BT22" s="36">
        <v>0</v>
      </c>
      <c r="BU22" s="82">
        <v>0</v>
      </c>
      <c r="BV22">
        <v>0</v>
      </c>
      <c r="BW22">
        <v>1254</v>
      </c>
      <c r="BX22" t="s">
        <v>221</v>
      </c>
      <c r="CK22" s="52" t="s">
        <v>219</v>
      </c>
      <c r="CL22" s="52" t="s">
        <v>222</v>
      </c>
      <c r="CM22" s="52" t="s">
        <v>219</v>
      </c>
      <c r="CN22" s="52" t="s">
        <v>207</v>
      </c>
    </row>
    <row r="23" spans="1:92" ht="15">
      <c r="A23" s="49" t="s">
        <v>224</v>
      </c>
      <c r="B23" s="49" t="s">
        <v>224</v>
      </c>
      <c r="C23" s="60" t="s">
        <v>135</v>
      </c>
      <c r="D23" s="66">
        <v>5</v>
      </c>
      <c r="E23" s="99" t="s">
        <v>136</v>
      </c>
      <c r="F23" s="67">
        <v>16</v>
      </c>
      <c r="G23" s="60"/>
      <c r="H23" s="54"/>
      <c r="I23" s="68"/>
      <c r="J23" s="68"/>
      <c r="K23" s="30" t="s">
        <v>137</v>
      </c>
      <c r="L23" s="100">
        <v>23</v>
      </c>
      <c r="M23" s="100"/>
      <c r="N23" s="70"/>
      <c r="O23" t="s">
        <v>21</v>
      </c>
      <c r="P23" s="50">
        <v>45182.47048611111</v>
      </c>
      <c r="Q23" t="s">
        <v>225</v>
      </c>
      <c r="T23" s="52" t="s">
        <v>226</v>
      </c>
      <c r="U23" s="50">
        <v>45182.47048611111</v>
      </c>
      <c r="V23" s="85" t="str">
        <f>HYPERLINK("https://twitter.com/hfaxcjqrmpttxou/status/1701918018312474814")</f>
        <v>https://twitter.com/hfaxcjqrmpttxou/status/1701918018312474814</v>
      </c>
      <c r="Y23" s="52" t="s">
        <v>227</v>
      </c>
      <c r="AA23" s="81">
        <v>1</v>
      </c>
      <c r="AB23" s="35"/>
      <c r="AC23" s="36"/>
      <c r="AD23" s="35"/>
      <c r="AE23" s="36"/>
      <c r="AF23" s="35"/>
      <c r="AG23" s="36"/>
      <c r="AH23" s="35">
        <v>2</v>
      </c>
      <c r="AI23" s="36">
        <v>100</v>
      </c>
      <c r="AJ23" s="35">
        <v>2</v>
      </c>
      <c r="AK23" s="82" t="s">
        <v>228</v>
      </c>
      <c r="AL23" s="85" t="str">
        <f>HYPERLINK("https://pbs.twimg.com/media/F55tZ-ZaIAAWm2O.jpg")</f>
        <v>https://pbs.twimg.com/media/F55tZ-ZaIAAWm2O.jpg</v>
      </c>
      <c r="AN23">
        <v>1</v>
      </c>
      <c r="AQ23" t="s">
        <v>218</v>
      </c>
      <c r="AR23" t="b">
        <v>0</v>
      </c>
      <c r="AS23" s="52" t="s">
        <v>143</v>
      </c>
      <c r="AU23">
        <v>0</v>
      </c>
      <c r="AV23" s="52" t="s">
        <v>143</v>
      </c>
      <c r="AW23" s="52" t="s">
        <v>157</v>
      </c>
      <c r="AY23" s="52" t="s">
        <v>227</v>
      </c>
      <c r="BK23" s="125" t="str">
        <f>REPLACE(INDEX(GroupVertices[Group],MATCH(Edges[[#This Row],[Vertex 1]],GroupVertices[Vertex],0)),1,1,"")</f>
        <v>14</v>
      </c>
      <c r="BL23" s="125" t="str">
        <f>REPLACE(INDEX(GroupVertices[Group],MATCH(Edges[[#This Row],[Vertex 2]],GroupVertices[Vertex],0)),1,1,"")</f>
        <v>14</v>
      </c>
      <c r="BM23" s="77">
        <v>45182</v>
      </c>
      <c r="BN23" s="98" t="s">
        <v>229</v>
      </c>
      <c r="BO23" s="35">
        <v>0</v>
      </c>
      <c r="BP23" s="36">
        <v>0</v>
      </c>
      <c r="BQ23" s="35">
        <v>0</v>
      </c>
      <c r="BR23" s="36">
        <v>0</v>
      </c>
      <c r="BS23" s="35">
        <v>0</v>
      </c>
      <c r="BT23" s="36">
        <v>0</v>
      </c>
      <c r="BU23" s="82">
        <v>0</v>
      </c>
      <c r="BV23">
        <v>0</v>
      </c>
      <c r="BW23">
        <v>6</v>
      </c>
      <c r="BZ23" t="s">
        <v>230</v>
      </c>
      <c r="CD23" t="s">
        <v>231</v>
      </c>
      <c r="CK23" s="52" t="s">
        <v>227</v>
      </c>
      <c r="CM23" s="52" t="s">
        <v>143</v>
      </c>
      <c r="CN23" s="52" t="s">
        <v>232</v>
      </c>
    </row>
    <row r="24" spans="1:92" ht="15">
      <c r="A24" s="49" t="s">
        <v>233</v>
      </c>
      <c r="B24" s="49" t="s">
        <v>234</v>
      </c>
      <c r="C24" s="60" t="s">
        <v>135</v>
      </c>
      <c r="D24" s="66">
        <v>5</v>
      </c>
      <c r="E24" s="99" t="s">
        <v>136</v>
      </c>
      <c r="F24" s="67">
        <v>16</v>
      </c>
      <c r="G24" s="60"/>
      <c r="H24" s="54"/>
      <c r="I24" s="68"/>
      <c r="J24" s="68"/>
      <c r="K24" s="30" t="s">
        <v>137</v>
      </c>
      <c r="L24" s="100">
        <v>24</v>
      </c>
      <c r="M24" s="100"/>
      <c r="N24" s="70"/>
      <c r="O24" t="s">
        <v>164</v>
      </c>
      <c r="P24" s="50">
        <v>45178.555613425924</v>
      </c>
      <c r="Q24" t="s">
        <v>235</v>
      </c>
      <c r="U24" s="50">
        <v>45178.555613425924</v>
      </c>
      <c r="V24" s="85" t="str">
        <f>HYPERLINK("https://twitter.com/jeremyl78036806/status/1700499315771236437")</f>
        <v>https://twitter.com/jeremyl78036806/status/1700499315771236437</v>
      </c>
      <c r="Y24" s="52" t="s">
        <v>236</v>
      </c>
      <c r="AA24" s="81">
        <v>1</v>
      </c>
      <c r="AB24" s="35"/>
      <c r="AC24" s="36"/>
      <c r="AD24" s="35"/>
      <c r="AE24" s="36"/>
      <c r="AF24" s="35"/>
      <c r="AG24" s="36"/>
      <c r="AH24" s="35">
        <v>4</v>
      </c>
      <c r="AI24" s="36">
        <v>100</v>
      </c>
      <c r="AJ24" s="35">
        <v>4</v>
      </c>
      <c r="AK24" s="82"/>
      <c r="AL24" s="85" t="str">
        <f>HYPERLINK("https://pbs.twimg.com/profile_images/1539553672966950915/OvPDjxNS_normal.jpg")</f>
        <v>https://pbs.twimg.com/profile_images/1539553672966950915/OvPDjxNS_normal.jpg</v>
      </c>
      <c r="AN24">
        <v>2</v>
      </c>
      <c r="AQ24" t="s">
        <v>237</v>
      </c>
      <c r="AS24" s="52" t="s">
        <v>143</v>
      </c>
      <c r="AU24">
        <v>0</v>
      </c>
      <c r="AV24" s="52" t="s">
        <v>143</v>
      </c>
      <c r="AW24" s="52" t="s">
        <v>194</v>
      </c>
      <c r="AY24" s="52" t="s">
        <v>238</v>
      </c>
      <c r="BK24" s="125" t="str">
        <f>REPLACE(INDEX(GroupVertices[Group],MATCH(Edges[[#This Row],[Vertex 1]],GroupVertices[Vertex],0)),1,1,"")</f>
        <v>10</v>
      </c>
      <c r="BL24" s="125" t="str">
        <f>REPLACE(INDEX(GroupVertices[Group],MATCH(Edges[[#This Row],[Vertex 2]],GroupVertices[Vertex],0)),1,1,"")</f>
        <v>10</v>
      </c>
      <c r="BM24" s="77">
        <v>45178</v>
      </c>
      <c r="BN24" s="98" t="s">
        <v>239</v>
      </c>
      <c r="BO24" s="35">
        <v>0</v>
      </c>
      <c r="BP24" s="36">
        <v>0</v>
      </c>
      <c r="BQ24" s="35">
        <v>0</v>
      </c>
      <c r="BR24" s="36">
        <v>0</v>
      </c>
      <c r="BS24" s="35">
        <v>0</v>
      </c>
      <c r="BT24" s="36">
        <v>0</v>
      </c>
      <c r="BU24" s="82">
        <v>0</v>
      </c>
      <c r="BV24">
        <v>0</v>
      </c>
      <c r="BW24">
        <v>41</v>
      </c>
      <c r="BX24" t="s">
        <v>234</v>
      </c>
      <c r="CK24" s="52" t="s">
        <v>238</v>
      </c>
      <c r="CL24" s="52" t="s">
        <v>240</v>
      </c>
      <c r="CM24" s="52" t="s">
        <v>238</v>
      </c>
      <c r="CN24" s="52" t="s">
        <v>241</v>
      </c>
    </row>
    <row r="25" spans="1:92" ht="15">
      <c r="A25" s="49" t="s">
        <v>242</v>
      </c>
      <c r="B25" s="49" t="s">
        <v>242</v>
      </c>
      <c r="C25" s="60" t="s">
        <v>135</v>
      </c>
      <c r="D25" s="66">
        <v>5</v>
      </c>
      <c r="E25" s="99" t="s">
        <v>136</v>
      </c>
      <c r="F25" s="67">
        <v>16</v>
      </c>
      <c r="G25" s="60"/>
      <c r="H25" s="54"/>
      <c r="I25" s="68"/>
      <c r="J25" s="68"/>
      <c r="K25" s="30" t="s">
        <v>137</v>
      </c>
      <c r="L25" s="100">
        <v>25</v>
      </c>
      <c r="M25" s="100"/>
      <c r="N25" s="70"/>
      <c r="O25" t="s">
        <v>21</v>
      </c>
      <c r="P25" s="50">
        <v>45179.04840277778</v>
      </c>
      <c r="Q25" t="s">
        <v>243</v>
      </c>
      <c r="U25" s="50">
        <v>45179.04840277778</v>
      </c>
      <c r="V25" s="85" t="str">
        <f>HYPERLINK("https://twitter.com/rahsh33m/status/1700677897772470424")</f>
        <v>https://twitter.com/rahsh33m/status/1700677897772470424</v>
      </c>
      <c r="Y25" s="52" t="s">
        <v>244</v>
      </c>
      <c r="AA25" s="81">
        <v>1</v>
      </c>
      <c r="AB25" s="35"/>
      <c r="AC25" s="36"/>
      <c r="AD25" s="35"/>
      <c r="AE25" s="36"/>
      <c r="AF25" s="35"/>
      <c r="AG25" s="36"/>
      <c r="AH25" s="35">
        <v>4</v>
      </c>
      <c r="AI25" s="36">
        <v>100</v>
      </c>
      <c r="AJ25" s="35">
        <v>4</v>
      </c>
      <c r="AK25" s="82" t="s">
        <v>245</v>
      </c>
      <c r="AL25" s="85" t="str">
        <f>HYPERLINK("https://pbs.twimg.com/amplify_video_thumb/1700677845616300032/img/V-JLTTiL2E_q1jAL.jpg")</f>
        <v>https://pbs.twimg.com/amplify_video_thumb/1700677845616300032/img/V-JLTTiL2E_q1jAL.jpg</v>
      </c>
      <c r="AN25">
        <v>12074</v>
      </c>
      <c r="AQ25" t="s">
        <v>142</v>
      </c>
      <c r="AR25" t="b">
        <v>0</v>
      </c>
      <c r="AS25" s="52" t="s">
        <v>143</v>
      </c>
      <c r="AU25">
        <v>2426</v>
      </c>
      <c r="AV25" s="52" t="s">
        <v>143</v>
      </c>
      <c r="AW25" s="52" t="s">
        <v>157</v>
      </c>
      <c r="AY25" s="52" t="s">
        <v>244</v>
      </c>
      <c r="BK25" s="125" t="str">
        <f>REPLACE(INDEX(GroupVertices[Group],MATCH(Edges[[#This Row],[Vertex 1]],GroupVertices[Vertex],0)),1,1,"")</f>
        <v>3</v>
      </c>
      <c r="BL25" s="125" t="str">
        <f>REPLACE(INDEX(GroupVertices[Group],MATCH(Edges[[#This Row],[Vertex 2]],GroupVertices[Vertex],0)),1,1,"")</f>
        <v>3</v>
      </c>
      <c r="BM25" s="77">
        <v>45179</v>
      </c>
      <c r="BN25" s="98" t="s">
        <v>246</v>
      </c>
      <c r="BO25" s="35">
        <v>0</v>
      </c>
      <c r="BP25" s="36">
        <v>0</v>
      </c>
      <c r="BQ25" s="35">
        <v>0</v>
      </c>
      <c r="BR25" s="36">
        <v>0</v>
      </c>
      <c r="BS25" s="35">
        <v>0</v>
      </c>
      <c r="BT25" s="36">
        <v>0</v>
      </c>
      <c r="BU25" s="82">
        <v>158</v>
      </c>
      <c r="BV25">
        <v>807</v>
      </c>
      <c r="BW25">
        <v>2819546</v>
      </c>
      <c r="BZ25" t="s">
        <v>247</v>
      </c>
      <c r="CD25" t="s">
        <v>248</v>
      </c>
      <c r="CE25">
        <v>8741</v>
      </c>
      <c r="CH25">
        <v>620546</v>
      </c>
      <c r="CK25" s="52" t="s">
        <v>244</v>
      </c>
      <c r="CM25" s="52" t="s">
        <v>143</v>
      </c>
      <c r="CN25" s="52" t="s">
        <v>249</v>
      </c>
    </row>
    <row r="26" spans="1:92" ht="15">
      <c r="A26" s="49" t="s">
        <v>250</v>
      </c>
      <c r="B26" s="49" t="s">
        <v>242</v>
      </c>
      <c r="C26" s="60" t="s">
        <v>135</v>
      </c>
      <c r="D26" s="66">
        <v>5</v>
      </c>
      <c r="E26" s="99" t="s">
        <v>136</v>
      </c>
      <c r="F26" s="67">
        <v>16</v>
      </c>
      <c r="G26" s="60"/>
      <c r="H26" s="54"/>
      <c r="I26" s="68"/>
      <c r="J26" s="68"/>
      <c r="K26" s="30" t="s">
        <v>137</v>
      </c>
      <c r="L26" s="100">
        <v>26</v>
      </c>
      <c r="M26" s="100"/>
      <c r="N26" s="70"/>
      <c r="O26" t="s">
        <v>251</v>
      </c>
      <c r="P26" s="50">
        <v>45179.54907407407</v>
      </c>
      <c r="Q26" t="s">
        <v>252</v>
      </c>
      <c r="U26" s="50">
        <v>45179.54907407407</v>
      </c>
      <c r="V26" s="85" t="str">
        <f>HYPERLINK("https://twitter.com/tdflakes/status/1700859335478333746")</f>
        <v>https://twitter.com/tdflakes/status/1700859335478333746</v>
      </c>
      <c r="Y26" s="52" t="s">
        <v>253</v>
      </c>
      <c r="AA26" s="81">
        <v>1</v>
      </c>
      <c r="AB26" s="35"/>
      <c r="AC26" s="36"/>
      <c r="AD26" s="35"/>
      <c r="AE26" s="36"/>
      <c r="AF26" s="35"/>
      <c r="AG26" s="36"/>
      <c r="AH26" s="35">
        <v>3</v>
      </c>
      <c r="AI26" s="36">
        <v>60</v>
      </c>
      <c r="AJ26" s="35">
        <v>5</v>
      </c>
      <c r="AK26" s="82"/>
      <c r="AL26" s="85" t="str">
        <f>HYPERLINK("https://pbs.twimg.com/profile_images/1689674972329885696/yAjeFUKL_normal.jpg")</f>
        <v>https://pbs.twimg.com/profile_images/1689674972329885696/yAjeFUKL_normal.jpg</v>
      </c>
      <c r="AN26">
        <v>21234</v>
      </c>
      <c r="AQ26" t="s">
        <v>142</v>
      </c>
      <c r="AS26" s="52" t="s">
        <v>244</v>
      </c>
      <c r="AU26">
        <v>4036</v>
      </c>
      <c r="AV26" s="52" t="s">
        <v>143</v>
      </c>
      <c r="AW26" s="52" t="s">
        <v>157</v>
      </c>
      <c r="AY26" s="52" t="s">
        <v>244</v>
      </c>
      <c r="BK26" s="125" t="str">
        <f>REPLACE(INDEX(GroupVertices[Group],MATCH(Edges[[#This Row],[Vertex 1]],GroupVertices[Vertex],0)),1,1,"")</f>
        <v>3</v>
      </c>
      <c r="BL26" s="125" t="str">
        <f>REPLACE(INDEX(GroupVertices[Group],MATCH(Edges[[#This Row],[Vertex 2]],GroupVertices[Vertex],0)),1,1,"")</f>
        <v>3</v>
      </c>
      <c r="BM26" s="77">
        <v>45179</v>
      </c>
      <c r="BN26" s="98" t="s">
        <v>254</v>
      </c>
      <c r="BO26" s="35">
        <v>0</v>
      </c>
      <c r="BP26" s="36">
        <v>0</v>
      </c>
      <c r="BQ26" s="35">
        <v>0</v>
      </c>
      <c r="BR26" s="36">
        <v>0</v>
      </c>
      <c r="BS26" s="35">
        <v>0</v>
      </c>
      <c r="BT26" s="36">
        <v>0</v>
      </c>
      <c r="BU26" s="82">
        <v>65</v>
      </c>
      <c r="BV26">
        <v>57</v>
      </c>
      <c r="BW26">
        <v>1700578</v>
      </c>
      <c r="CK26" s="52" t="s">
        <v>253</v>
      </c>
      <c r="CM26" s="52" t="s">
        <v>143</v>
      </c>
      <c r="CN26" s="52" t="s">
        <v>255</v>
      </c>
    </row>
    <row r="27" spans="1:92" ht="15">
      <c r="A27" s="49" t="s">
        <v>256</v>
      </c>
      <c r="B27" s="49" t="s">
        <v>256</v>
      </c>
      <c r="C27" s="60" t="s">
        <v>135</v>
      </c>
      <c r="D27" s="66">
        <v>5</v>
      </c>
      <c r="E27" s="99" t="s">
        <v>136</v>
      </c>
      <c r="F27" s="67">
        <v>16</v>
      </c>
      <c r="G27" s="60"/>
      <c r="H27" s="54"/>
      <c r="I27" s="68"/>
      <c r="J27" s="68"/>
      <c r="K27" s="30" t="s">
        <v>137</v>
      </c>
      <c r="L27" s="100">
        <v>27</v>
      </c>
      <c r="M27" s="100"/>
      <c r="N27" s="70"/>
      <c r="O27" t="s">
        <v>21</v>
      </c>
      <c r="P27" s="50">
        <v>45182.656273148146</v>
      </c>
      <c r="Q27" t="s">
        <v>257</v>
      </c>
      <c r="R27" s="85" t="str">
        <f>HYPERLINK("https://fb.watch/n1ACdhDEkQ/?mibextid=qC1gEa")</f>
        <v>https://fb.watch/n1ACdhDEkQ/?mibextid=qC1gEa</v>
      </c>
      <c r="S27" t="s">
        <v>258</v>
      </c>
      <c r="U27" s="50">
        <v>45182.656273148146</v>
      </c>
      <c r="V27" s="85" t="str">
        <f>HYPERLINK("https://twitter.com/jeremyl12866/status/1701985347515654565")</f>
        <v>https://twitter.com/jeremyl12866/status/1701985347515654565</v>
      </c>
      <c r="Y27" s="52" t="s">
        <v>259</v>
      </c>
      <c r="AA27" s="81">
        <v>1</v>
      </c>
      <c r="AB27" s="35"/>
      <c r="AC27" s="36"/>
      <c r="AD27" s="35"/>
      <c r="AE27" s="36"/>
      <c r="AF27" s="35"/>
      <c r="AG27" s="36"/>
      <c r="AH27" s="35">
        <v>2</v>
      </c>
      <c r="AI27" s="36">
        <v>33.333333333333336</v>
      </c>
      <c r="AJ27" s="35">
        <v>6</v>
      </c>
      <c r="AK27" s="82"/>
      <c r="AL27" s="85" t="str">
        <f>HYPERLINK("https://pbs.twimg.com/profile_images/1679937749871149101/2IUyEG_L_normal.jpg")</f>
        <v>https://pbs.twimg.com/profile_images/1679937749871149101/2IUyEG_L_normal.jpg</v>
      </c>
      <c r="AN27">
        <v>0</v>
      </c>
      <c r="AQ27" t="s">
        <v>142</v>
      </c>
      <c r="AR27" t="b">
        <v>0</v>
      </c>
      <c r="AS27" s="52" t="s">
        <v>143</v>
      </c>
      <c r="AU27">
        <v>0</v>
      </c>
      <c r="AV27" s="52" t="s">
        <v>143</v>
      </c>
      <c r="AW27" s="52" t="s">
        <v>157</v>
      </c>
      <c r="AY27" s="52" t="s">
        <v>259</v>
      </c>
      <c r="BK27" s="125" t="str">
        <f>REPLACE(INDEX(GroupVertices[Group],MATCH(Edges[[#This Row],[Vertex 1]],GroupVertices[Vertex],0)),1,1,"")</f>
        <v>14</v>
      </c>
      <c r="BL27" s="125" t="str">
        <f>REPLACE(INDEX(GroupVertices[Group],MATCH(Edges[[#This Row],[Vertex 2]],GroupVertices[Vertex],0)),1,1,"")</f>
        <v>14</v>
      </c>
      <c r="BM27" s="77">
        <v>45182</v>
      </c>
      <c r="BN27" s="98" t="s">
        <v>260</v>
      </c>
      <c r="BO27" s="35">
        <v>0</v>
      </c>
      <c r="BP27" s="36">
        <v>0</v>
      </c>
      <c r="BQ27" s="35">
        <v>0</v>
      </c>
      <c r="BR27" s="36">
        <v>0</v>
      </c>
      <c r="BS27" s="35">
        <v>0</v>
      </c>
      <c r="BT27" s="36">
        <v>0</v>
      </c>
      <c r="BU27" s="82">
        <v>0</v>
      </c>
      <c r="BV27">
        <v>0</v>
      </c>
      <c r="BW27">
        <v>2</v>
      </c>
      <c r="CK27" s="52" t="s">
        <v>259</v>
      </c>
      <c r="CM27" s="52" t="s">
        <v>143</v>
      </c>
      <c r="CN27" s="52" t="s">
        <v>261</v>
      </c>
    </row>
    <row r="28" spans="1:92" ht="15">
      <c r="A28" s="49" t="s">
        <v>262</v>
      </c>
      <c r="B28" s="49" t="s">
        <v>263</v>
      </c>
      <c r="C28" s="60" t="s">
        <v>135</v>
      </c>
      <c r="D28" s="66">
        <v>6.875</v>
      </c>
      <c r="E28" s="99" t="s">
        <v>180</v>
      </c>
      <c r="F28" s="67">
        <v>15.846153846153847</v>
      </c>
      <c r="G28" s="60"/>
      <c r="H28" s="54"/>
      <c r="I28" s="68"/>
      <c r="J28" s="68"/>
      <c r="K28" s="30" t="s">
        <v>137</v>
      </c>
      <c r="L28" s="100">
        <v>28</v>
      </c>
      <c r="M28" s="100"/>
      <c r="N28" s="70"/>
      <c r="O28" t="s">
        <v>164</v>
      </c>
      <c r="P28" s="50">
        <v>45176.686956018515</v>
      </c>
      <c r="Q28" t="s">
        <v>264</v>
      </c>
      <c r="U28" s="50">
        <v>45176.686956018515</v>
      </c>
      <c r="V28" s="85" t="str">
        <f>HYPERLINK("https://twitter.com/jeremyl21457481/status/1699822139606786431")</f>
        <v>https://twitter.com/jeremyl21457481/status/1699822139606786431</v>
      </c>
      <c r="Y28" s="52" t="s">
        <v>265</v>
      </c>
      <c r="AA28" s="81">
        <v>4</v>
      </c>
      <c r="AB28" s="35"/>
      <c r="AC28" s="36"/>
      <c r="AD28" s="35"/>
      <c r="AE28" s="36"/>
      <c r="AF28" s="35"/>
      <c r="AG28" s="36"/>
      <c r="AH28" s="35">
        <v>4</v>
      </c>
      <c r="AI28" s="36">
        <v>30.76923076923077</v>
      </c>
      <c r="AJ28" s="35">
        <v>13</v>
      </c>
      <c r="AK28" s="82"/>
      <c r="AL28" s="85" t="str">
        <f>HYPERLINK("https://pbs.twimg.com/profile_images/1513373213803544577/K_sgK4wm_normal.jpg")</f>
        <v>https://pbs.twimg.com/profile_images/1513373213803544577/K_sgK4wm_normal.jpg</v>
      </c>
      <c r="AN28">
        <v>1</v>
      </c>
      <c r="AQ28" t="s">
        <v>142</v>
      </c>
      <c r="AS28" s="52" t="s">
        <v>143</v>
      </c>
      <c r="AU28">
        <v>0</v>
      </c>
      <c r="AV28" s="52" t="s">
        <v>143</v>
      </c>
      <c r="AW28" s="52" t="s">
        <v>157</v>
      </c>
      <c r="AY28" s="52" t="s">
        <v>266</v>
      </c>
      <c r="BK28" s="125" t="str">
        <f>REPLACE(INDEX(GroupVertices[Group],MATCH(Edges[[#This Row],[Vertex 1]],GroupVertices[Vertex],0)),1,1,"")</f>
        <v>4</v>
      </c>
      <c r="BL28" s="125" t="str">
        <f>REPLACE(INDEX(GroupVertices[Group],MATCH(Edges[[#This Row],[Vertex 2]],GroupVertices[Vertex],0)),1,1,"")</f>
        <v>4</v>
      </c>
      <c r="BM28" s="77">
        <v>45176</v>
      </c>
      <c r="BN28" s="98" t="s">
        <v>267</v>
      </c>
      <c r="BO28" s="35">
        <v>0</v>
      </c>
      <c r="BP28" s="36">
        <v>0</v>
      </c>
      <c r="BQ28" s="35">
        <v>0</v>
      </c>
      <c r="BR28" s="36">
        <v>0</v>
      </c>
      <c r="BS28" s="35">
        <v>0</v>
      </c>
      <c r="BT28" s="36">
        <v>0</v>
      </c>
      <c r="BU28" s="82">
        <v>0</v>
      </c>
      <c r="BV28">
        <v>0</v>
      </c>
      <c r="BW28">
        <v>4</v>
      </c>
      <c r="BX28" t="s">
        <v>263</v>
      </c>
      <c r="CK28" s="52" t="s">
        <v>266</v>
      </c>
      <c r="CL28" s="52" t="s">
        <v>268</v>
      </c>
      <c r="CM28" s="52" t="s">
        <v>266</v>
      </c>
      <c r="CN28" s="52" t="s">
        <v>269</v>
      </c>
    </row>
    <row r="29" spans="1:92" ht="15">
      <c r="A29" s="49" t="s">
        <v>262</v>
      </c>
      <c r="B29" s="49" t="s">
        <v>263</v>
      </c>
      <c r="C29" s="60" t="s">
        <v>135</v>
      </c>
      <c r="D29" s="66">
        <v>6.875</v>
      </c>
      <c r="E29" s="99" t="s">
        <v>180</v>
      </c>
      <c r="F29" s="67">
        <v>15.846153846153847</v>
      </c>
      <c r="G29" s="60"/>
      <c r="H29" s="54"/>
      <c r="I29" s="68"/>
      <c r="J29" s="68"/>
      <c r="K29" s="30" t="s">
        <v>137</v>
      </c>
      <c r="L29" s="100">
        <v>29</v>
      </c>
      <c r="M29" s="100"/>
      <c r="N29" s="70"/>
      <c r="O29" t="s">
        <v>164</v>
      </c>
      <c r="P29" s="50">
        <v>45176.680914351855</v>
      </c>
      <c r="Q29" t="s">
        <v>270</v>
      </c>
      <c r="U29" s="50">
        <v>45176.680914351855</v>
      </c>
      <c r="V29" s="85" t="str">
        <f>HYPERLINK("https://twitter.com/jeremyl21457481/status/1699819950528139337")</f>
        <v>https://twitter.com/jeremyl21457481/status/1699819950528139337</v>
      </c>
      <c r="Y29" s="52" t="s">
        <v>271</v>
      </c>
      <c r="AA29" s="81">
        <v>4</v>
      </c>
      <c r="AB29" s="35"/>
      <c r="AC29" s="36"/>
      <c r="AD29" s="35"/>
      <c r="AE29" s="36"/>
      <c r="AF29" s="35"/>
      <c r="AG29" s="36"/>
      <c r="AH29" s="35">
        <v>4</v>
      </c>
      <c r="AI29" s="36">
        <v>36.36363636363637</v>
      </c>
      <c r="AJ29" s="35">
        <v>11</v>
      </c>
      <c r="AK29" s="82"/>
      <c r="AL29" s="85" t="str">
        <f>HYPERLINK("https://pbs.twimg.com/profile_images/1513373213803544577/K_sgK4wm_normal.jpg")</f>
        <v>https://pbs.twimg.com/profile_images/1513373213803544577/K_sgK4wm_normal.jpg</v>
      </c>
      <c r="AN29">
        <v>1</v>
      </c>
      <c r="AQ29" t="s">
        <v>142</v>
      </c>
      <c r="AS29" s="52" t="s">
        <v>143</v>
      </c>
      <c r="AU29">
        <v>0</v>
      </c>
      <c r="AV29" s="52" t="s">
        <v>143</v>
      </c>
      <c r="AW29" s="52" t="s">
        <v>157</v>
      </c>
      <c r="AY29" s="52" t="s">
        <v>272</v>
      </c>
      <c r="BK29" s="125" t="str">
        <f>REPLACE(INDEX(GroupVertices[Group],MATCH(Edges[[#This Row],[Vertex 1]],GroupVertices[Vertex],0)),1,1,"")</f>
        <v>4</v>
      </c>
      <c r="BL29" s="125" t="str">
        <f>REPLACE(INDEX(GroupVertices[Group],MATCH(Edges[[#This Row],[Vertex 2]],GroupVertices[Vertex],0)),1,1,"")</f>
        <v>4</v>
      </c>
      <c r="BM29" s="77">
        <v>45176</v>
      </c>
      <c r="BN29" s="98" t="s">
        <v>273</v>
      </c>
      <c r="BO29" s="35">
        <v>0</v>
      </c>
      <c r="BP29" s="36">
        <v>0</v>
      </c>
      <c r="BQ29" s="35">
        <v>0</v>
      </c>
      <c r="BR29" s="36">
        <v>0</v>
      </c>
      <c r="BS29" s="35">
        <v>0</v>
      </c>
      <c r="BT29" s="36">
        <v>0</v>
      </c>
      <c r="BU29" s="82">
        <v>0</v>
      </c>
      <c r="BV29">
        <v>0</v>
      </c>
      <c r="BW29">
        <v>3</v>
      </c>
      <c r="BX29" t="s">
        <v>263</v>
      </c>
      <c r="CK29" s="52" t="s">
        <v>272</v>
      </c>
      <c r="CL29" s="52" t="s">
        <v>268</v>
      </c>
      <c r="CM29" s="52" t="s">
        <v>272</v>
      </c>
      <c r="CN29" s="52" t="s">
        <v>269</v>
      </c>
    </row>
    <row r="30" spans="1:92" ht="15">
      <c r="A30" s="49" t="s">
        <v>274</v>
      </c>
      <c r="B30" s="49" t="s">
        <v>274</v>
      </c>
      <c r="C30" s="60" t="s">
        <v>135</v>
      </c>
      <c r="D30" s="66">
        <v>5</v>
      </c>
      <c r="E30" s="99" t="s">
        <v>136</v>
      </c>
      <c r="F30" s="67">
        <v>16</v>
      </c>
      <c r="G30" s="60"/>
      <c r="H30" s="54"/>
      <c r="I30" s="68"/>
      <c r="J30" s="68"/>
      <c r="K30" s="30" t="s">
        <v>137</v>
      </c>
      <c r="L30" s="100">
        <v>30</v>
      </c>
      <c r="M30" s="100"/>
      <c r="N30" s="70"/>
      <c r="O30" t="s">
        <v>21</v>
      </c>
      <c r="P30" s="50">
        <v>45178.083402777775</v>
      </c>
      <c r="Q30" t="s">
        <v>275</v>
      </c>
      <c r="R30" s="85" t="str">
        <f>HYPERLINK("https://49rs.co/44LIh3Q")</f>
        <v>https://49rs.co/44LIh3Q</v>
      </c>
      <c r="S30" t="s">
        <v>276</v>
      </c>
      <c r="U30" s="50">
        <v>45178.083402777775</v>
      </c>
      <c r="V30" s="85" t="str">
        <f>HYPERLINK("https://twitter.com/49ers/status/1700328193222476182")</f>
        <v>https://twitter.com/49ers/status/1700328193222476182</v>
      </c>
      <c r="Y30" s="52" t="s">
        <v>277</v>
      </c>
      <c r="AA30" s="81">
        <v>1</v>
      </c>
      <c r="AB30" s="35"/>
      <c r="AC30" s="36"/>
      <c r="AD30" s="35"/>
      <c r="AE30" s="36"/>
      <c r="AF30" s="35"/>
      <c r="AG30" s="36"/>
      <c r="AH30" s="35">
        <v>9</v>
      </c>
      <c r="AI30" s="36">
        <v>60</v>
      </c>
      <c r="AJ30" s="35">
        <v>15</v>
      </c>
      <c r="AK30" s="82" t="s">
        <v>278</v>
      </c>
      <c r="AL30" s="85" t="str">
        <f>HYPERLINK("https://pbs.twimg.com/media/F5jHd_JaMAAQo1G.jpg")</f>
        <v>https://pbs.twimg.com/media/F5jHd_JaMAAQo1G.jpg</v>
      </c>
      <c r="AN30">
        <v>4768</v>
      </c>
      <c r="AQ30" t="s">
        <v>142</v>
      </c>
      <c r="AR30" t="b">
        <v>0</v>
      </c>
      <c r="AS30" s="52" t="s">
        <v>143</v>
      </c>
      <c r="AU30">
        <v>3832</v>
      </c>
      <c r="AV30" s="52" t="s">
        <v>143</v>
      </c>
      <c r="AW30" s="52" t="s">
        <v>279</v>
      </c>
      <c r="AY30" s="52" t="s">
        <v>277</v>
      </c>
      <c r="BK30" s="125" t="str">
        <f>REPLACE(INDEX(GroupVertices[Group],MATCH(Edges[[#This Row],[Vertex 1]],GroupVertices[Vertex],0)),1,1,"")</f>
        <v>4</v>
      </c>
      <c r="BL30" s="125" t="str">
        <f>REPLACE(INDEX(GroupVertices[Group],MATCH(Edges[[#This Row],[Vertex 2]],GroupVertices[Vertex],0)),1,1,"")</f>
        <v>4</v>
      </c>
      <c r="BM30" s="77">
        <v>45178</v>
      </c>
      <c r="BN30" s="98" t="s">
        <v>280</v>
      </c>
      <c r="BO30" s="35">
        <v>0</v>
      </c>
      <c r="BP30" s="36">
        <v>0</v>
      </c>
      <c r="BQ30" s="35">
        <v>0</v>
      </c>
      <c r="BR30" s="36">
        <v>0</v>
      </c>
      <c r="BS30" s="35">
        <v>0</v>
      </c>
      <c r="BT30" s="36">
        <v>0</v>
      </c>
      <c r="BU30" s="82">
        <v>128</v>
      </c>
      <c r="BV30">
        <v>78</v>
      </c>
      <c r="BW30">
        <v>308949</v>
      </c>
      <c r="BZ30" t="s">
        <v>159</v>
      </c>
      <c r="CD30" t="s">
        <v>281</v>
      </c>
      <c r="CK30" s="52" t="s">
        <v>277</v>
      </c>
      <c r="CM30" s="52" t="s">
        <v>143</v>
      </c>
      <c r="CN30">
        <v>43403778</v>
      </c>
    </row>
    <row r="31" spans="1:92" ht="15">
      <c r="A31" s="49" t="s">
        <v>262</v>
      </c>
      <c r="B31" s="49" t="s">
        <v>274</v>
      </c>
      <c r="C31" s="60" t="s">
        <v>135</v>
      </c>
      <c r="D31" s="66">
        <v>5</v>
      </c>
      <c r="E31" s="99" t="s">
        <v>136</v>
      </c>
      <c r="F31" s="67">
        <v>16</v>
      </c>
      <c r="G31" s="60"/>
      <c r="H31" s="54"/>
      <c r="I31" s="68"/>
      <c r="J31" s="68"/>
      <c r="K31" s="30" t="s">
        <v>137</v>
      </c>
      <c r="L31" s="100">
        <v>31</v>
      </c>
      <c r="M31" s="100"/>
      <c r="N31" s="70"/>
      <c r="O31" t="s">
        <v>152</v>
      </c>
      <c r="P31" s="50">
        <v>45178.92841435185</v>
      </c>
      <c r="Q31" t="s">
        <v>282</v>
      </c>
      <c r="R31" s="85" t="str">
        <f>HYPERLINK("https://49rs.co/44LIh3Q")</f>
        <v>https://49rs.co/44LIh3Q</v>
      </c>
      <c r="S31" t="s">
        <v>276</v>
      </c>
      <c r="U31" s="50">
        <v>45178.92841435185</v>
      </c>
      <c r="V31" s="85" t="str">
        <f>HYPERLINK("https://twitter.com/jeremyl21457481/status/1700634415138001269")</f>
        <v>https://twitter.com/jeremyl21457481/status/1700634415138001269</v>
      </c>
      <c r="Y31" s="52" t="s">
        <v>283</v>
      </c>
      <c r="AA31" s="81">
        <v>1</v>
      </c>
      <c r="AB31" s="35"/>
      <c r="AC31" s="36"/>
      <c r="AD31" s="35"/>
      <c r="AE31" s="36"/>
      <c r="AF31" s="35"/>
      <c r="AG31" s="36"/>
      <c r="AH31" s="35">
        <v>11</v>
      </c>
      <c r="AI31" s="36">
        <v>61.111111111111114</v>
      </c>
      <c r="AJ31" s="35">
        <v>18</v>
      </c>
      <c r="AK31" s="82"/>
      <c r="AL31" s="85" t="str">
        <f>HYPERLINK("https://pbs.twimg.com/profile_images/1513373213803544577/K_sgK4wm_normal.jpg")</f>
        <v>https://pbs.twimg.com/profile_images/1513373213803544577/K_sgK4wm_normal.jpg</v>
      </c>
      <c r="AN31">
        <v>0</v>
      </c>
      <c r="AQ31" t="s">
        <v>142</v>
      </c>
      <c r="AR31" t="b">
        <v>0</v>
      </c>
      <c r="AS31" s="52" t="s">
        <v>143</v>
      </c>
      <c r="AU31">
        <v>3832</v>
      </c>
      <c r="AV31" s="52" t="s">
        <v>277</v>
      </c>
      <c r="AW31" s="52" t="s">
        <v>157</v>
      </c>
      <c r="AY31" s="52" t="s">
        <v>277</v>
      </c>
      <c r="BK31" s="125" t="str">
        <f>REPLACE(INDEX(GroupVertices[Group],MATCH(Edges[[#This Row],[Vertex 1]],GroupVertices[Vertex],0)),1,1,"")</f>
        <v>4</v>
      </c>
      <c r="BL31" s="125" t="str">
        <f>REPLACE(INDEX(GroupVertices[Group],MATCH(Edges[[#This Row],[Vertex 2]],GroupVertices[Vertex],0)),1,1,"")</f>
        <v>4</v>
      </c>
      <c r="BM31" s="77">
        <v>45178</v>
      </c>
      <c r="BN31" s="98" t="s">
        <v>284</v>
      </c>
      <c r="BO31" s="35">
        <v>0</v>
      </c>
      <c r="BP31" s="36">
        <v>0</v>
      </c>
      <c r="BQ31" s="35">
        <v>0</v>
      </c>
      <c r="BR31" s="36">
        <v>0</v>
      </c>
      <c r="BS31" s="35">
        <v>0</v>
      </c>
      <c r="BT31" s="36">
        <v>0</v>
      </c>
      <c r="BU31" s="82">
        <v>0</v>
      </c>
      <c r="BV31">
        <v>0</v>
      </c>
      <c r="BX31" t="s">
        <v>274</v>
      </c>
      <c r="CK31" s="52" t="s">
        <v>283</v>
      </c>
      <c r="CM31" s="52" t="s">
        <v>143</v>
      </c>
      <c r="CN31" s="52" t="s">
        <v>269</v>
      </c>
    </row>
    <row r="32" spans="1:92" ht="15">
      <c r="A32" s="49" t="s">
        <v>262</v>
      </c>
      <c r="B32" s="49" t="s">
        <v>285</v>
      </c>
      <c r="C32" s="60" t="s">
        <v>2249</v>
      </c>
      <c r="D32" s="66">
        <v>10</v>
      </c>
      <c r="E32" s="99" t="s">
        <v>180</v>
      </c>
      <c r="F32" s="67">
        <v>15.58974358974359</v>
      </c>
      <c r="G32" s="60"/>
      <c r="H32" s="54"/>
      <c r="I32" s="68"/>
      <c r="J32" s="68"/>
      <c r="K32" s="30" t="s">
        <v>137</v>
      </c>
      <c r="L32" s="100">
        <v>32</v>
      </c>
      <c r="M32" s="100"/>
      <c r="N32" s="70"/>
      <c r="O32" t="s">
        <v>164</v>
      </c>
      <c r="P32" s="50">
        <v>45176.67797453704</v>
      </c>
      <c r="Q32" t="s">
        <v>286</v>
      </c>
      <c r="U32" s="50">
        <v>45176.67797453704</v>
      </c>
      <c r="V32" s="85" t="str">
        <f>HYPERLINK("https://twitter.com/jeremyl21457481/status/1699818881525952619")</f>
        <v>https://twitter.com/jeremyl21457481/status/1699818881525952619</v>
      </c>
      <c r="Y32" s="52" t="s">
        <v>287</v>
      </c>
      <c r="AA32" s="81">
        <v>9</v>
      </c>
      <c r="AB32" s="35"/>
      <c r="AC32" s="36"/>
      <c r="AD32" s="35"/>
      <c r="AE32" s="36"/>
      <c r="AF32" s="35"/>
      <c r="AG32" s="36"/>
      <c r="AH32" s="35">
        <v>11</v>
      </c>
      <c r="AI32" s="36">
        <v>64.70588235294117</v>
      </c>
      <c r="AJ32" s="35">
        <v>17</v>
      </c>
      <c r="AK32" s="82"/>
      <c r="AL32" s="85" t="str">
        <f>HYPERLINK("https://pbs.twimg.com/profile_images/1513373213803544577/K_sgK4wm_normal.jpg")</f>
        <v>https://pbs.twimg.com/profile_images/1513373213803544577/K_sgK4wm_normal.jpg</v>
      </c>
      <c r="AN32">
        <v>0</v>
      </c>
      <c r="AQ32" t="s">
        <v>142</v>
      </c>
      <c r="AS32" s="52" t="s">
        <v>143</v>
      </c>
      <c r="AU32">
        <v>0</v>
      </c>
      <c r="AV32" s="52" t="s">
        <v>143</v>
      </c>
      <c r="AW32" s="52" t="s">
        <v>157</v>
      </c>
      <c r="AY32" s="52" t="s">
        <v>288</v>
      </c>
      <c r="BK32" s="125" t="str">
        <f>REPLACE(INDEX(GroupVertices[Group],MATCH(Edges[[#This Row],[Vertex 1]],GroupVertices[Vertex],0)),1,1,"")</f>
        <v>4</v>
      </c>
      <c r="BL32" s="125" t="str">
        <f>REPLACE(INDEX(GroupVertices[Group],MATCH(Edges[[#This Row],[Vertex 2]],GroupVertices[Vertex],0)),1,1,"")</f>
        <v>4</v>
      </c>
      <c r="BM32" s="77">
        <v>45176</v>
      </c>
      <c r="BN32" s="98" t="s">
        <v>289</v>
      </c>
      <c r="BO32" s="35">
        <v>0</v>
      </c>
      <c r="BP32" s="36">
        <v>0</v>
      </c>
      <c r="BQ32" s="35">
        <v>0</v>
      </c>
      <c r="BR32" s="36">
        <v>0</v>
      </c>
      <c r="BS32" s="35">
        <v>0</v>
      </c>
      <c r="BT32" s="36">
        <v>0</v>
      </c>
      <c r="BU32" s="82">
        <v>0</v>
      </c>
      <c r="BV32">
        <v>0</v>
      </c>
      <c r="BW32">
        <v>1</v>
      </c>
      <c r="BX32" t="s">
        <v>285</v>
      </c>
      <c r="CK32" s="52" t="s">
        <v>288</v>
      </c>
      <c r="CL32" s="52" t="s">
        <v>290</v>
      </c>
      <c r="CM32" s="52" t="s">
        <v>288</v>
      </c>
      <c r="CN32" s="52" t="s">
        <v>269</v>
      </c>
    </row>
    <row r="33" spans="1:92" ht="15">
      <c r="A33" s="49" t="s">
        <v>262</v>
      </c>
      <c r="B33" s="49" t="s">
        <v>285</v>
      </c>
      <c r="C33" s="60" t="s">
        <v>2249</v>
      </c>
      <c r="D33" s="66">
        <v>10</v>
      </c>
      <c r="E33" s="99" t="s">
        <v>180</v>
      </c>
      <c r="F33" s="67">
        <v>15.58974358974359</v>
      </c>
      <c r="G33" s="60"/>
      <c r="H33" s="54"/>
      <c r="I33" s="68"/>
      <c r="J33" s="68"/>
      <c r="K33" s="30" t="s">
        <v>137</v>
      </c>
      <c r="L33" s="100">
        <v>33</v>
      </c>
      <c r="M33" s="100"/>
      <c r="N33" s="70"/>
      <c r="O33" t="s">
        <v>164</v>
      </c>
      <c r="P33" s="50">
        <v>45176.684375</v>
      </c>
      <c r="Q33" t="s">
        <v>291</v>
      </c>
      <c r="U33" s="50">
        <v>45176.684375</v>
      </c>
      <c r="V33" s="85" t="str">
        <f>HYPERLINK("https://twitter.com/jeremyl21457481/status/1699821204163740032")</f>
        <v>https://twitter.com/jeremyl21457481/status/1699821204163740032</v>
      </c>
      <c r="Y33" s="52" t="s">
        <v>292</v>
      </c>
      <c r="AA33" s="81">
        <v>9</v>
      </c>
      <c r="AB33" s="35"/>
      <c r="AC33" s="36"/>
      <c r="AD33" s="35"/>
      <c r="AE33" s="36"/>
      <c r="AF33" s="35"/>
      <c r="AG33" s="36"/>
      <c r="AH33" s="35">
        <v>9</v>
      </c>
      <c r="AI33" s="36">
        <v>60</v>
      </c>
      <c r="AJ33" s="35">
        <v>15</v>
      </c>
      <c r="AK33" s="82"/>
      <c r="AL33" s="85" t="str">
        <f>HYPERLINK("https://pbs.twimg.com/profile_images/1513373213803544577/K_sgK4wm_normal.jpg")</f>
        <v>https://pbs.twimg.com/profile_images/1513373213803544577/K_sgK4wm_normal.jpg</v>
      </c>
      <c r="AN33">
        <v>0</v>
      </c>
      <c r="AQ33" t="s">
        <v>142</v>
      </c>
      <c r="AS33" s="52" t="s">
        <v>143</v>
      </c>
      <c r="AU33">
        <v>0</v>
      </c>
      <c r="AV33" s="52" t="s">
        <v>143</v>
      </c>
      <c r="AW33" s="52" t="s">
        <v>157</v>
      </c>
      <c r="AY33" s="52" t="s">
        <v>293</v>
      </c>
      <c r="BK33" s="125" t="str">
        <f>REPLACE(INDEX(GroupVertices[Group],MATCH(Edges[[#This Row],[Vertex 1]],GroupVertices[Vertex],0)),1,1,"")</f>
        <v>4</v>
      </c>
      <c r="BL33" s="125" t="str">
        <f>REPLACE(INDEX(GroupVertices[Group],MATCH(Edges[[#This Row],[Vertex 2]],GroupVertices[Vertex],0)),1,1,"")</f>
        <v>4</v>
      </c>
      <c r="BM33" s="77">
        <v>45176</v>
      </c>
      <c r="BN33" s="98" t="s">
        <v>294</v>
      </c>
      <c r="BO33" s="35">
        <v>0</v>
      </c>
      <c r="BP33" s="36">
        <v>0</v>
      </c>
      <c r="BQ33" s="35">
        <v>0</v>
      </c>
      <c r="BR33" s="36">
        <v>0</v>
      </c>
      <c r="BS33" s="35">
        <v>0</v>
      </c>
      <c r="BT33" s="36">
        <v>0</v>
      </c>
      <c r="BU33" s="82">
        <v>0</v>
      </c>
      <c r="BV33">
        <v>0</v>
      </c>
      <c r="BW33">
        <v>1</v>
      </c>
      <c r="BX33" t="s">
        <v>285</v>
      </c>
      <c r="CK33" s="52" t="s">
        <v>293</v>
      </c>
      <c r="CL33" s="52" t="s">
        <v>290</v>
      </c>
      <c r="CM33" s="52" t="s">
        <v>293</v>
      </c>
      <c r="CN33" s="52" t="s">
        <v>269</v>
      </c>
    </row>
    <row r="34" spans="1:92" ht="15">
      <c r="A34" s="49" t="s">
        <v>262</v>
      </c>
      <c r="B34" s="49" t="s">
        <v>285</v>
      </c>
      <c r="C34" s="60" t="s">
        <v>2249</v>
      </c>
      <c r="D34" s="66">
        <v>10</v>
      </c>
      <c r="E34" s="99" t="s">
        <v>180</v>
      </c>
      <c r="F34" s="67">
        <v>15.58974358974359</v>
      </c>
      <c r="G34" s="60"/>
      <c r="H34" s="54"/>
      <c r="I34" s="68"/>
      <c r="J34" s="68"/>
      <c r="K34" s="30" t="s">
        <v>137</v>
      </c>
      <c r="L34" s="100">
        <v>34</v>
      </c>
      <c r="M34" s="100"/>
      <c r="N34" s="70"/>
      <c r="O34" t="s">
        <v>164</v>
      </c>
      <c r="P34" s="50">
        <v>45176.68262731482</v>
      </c>
      <c r="Q34" t="s">
        <v>295</v>
      </c>
      <c r="U34" s="50">
        <v>45176.68262731482</v>
      </c>
      <c r="V34" s="85" t="str">
        <f>HYPERLINK("https://twitter.com/jeremyl21457481/status/1699820569196433560")</f>
        <v>https://twitter.com/jeremyl21457481/status/1699820569196433560</v>
      </c>
      <c r="Y34" s="52" t="s">
        <v>296</v>
      </c>
      <c r="AA34" s="81">
        <v>9</v>
      </c>
      <c r="AB34" s="35"/>
      <c r="AC34" s="36"/>
      <c r="AD34" s="35"/>
      <c r="AE34" s="36"/>
      <c r="AF34" s="35"/>
      <c r="AG34" s="36"/>
      <c r="AH34" s="35">
        <v>2</v>
      </c>
      <c r="AI34" s="36">
        <v>100</v>
      </c>
      <c r="AJ34" s="35">
        <v>2</v>
      </c>
      <c r="AK34" s="82"/>
      <c r="AL34" s="85" t="str">
        <f>HYPERLINK("https://pbs.twimg.com/profile_images/1513373213803544577/K_sgK4wm_normal.jpg")</f>
        <v>https://pbs.twimg.com/profile_images/1513373213803544577/K_sgK4wm_normal.jpg</v>
      </c>
      <c r="AN34">
        <v>0</v>
      </c>
      <c r="AQ34" t="s">
        <v>297</v>
      </c>
      <c r="AS34" s="52" t="s">
        <v>143</v>
      </c>
      <c r="AU34">
        <v>0</v>
      </c>
      <c r="AV34" s="52" t="s">
        <v>143</v>
      </c>
      <c r="AW34" s="52" t="s">
        <v>157</v>
      </c>
      <c r="AY34" s="52" t="s">
        <v>298</v>
      </c>
      <c r="BK34" s="125" t="str">
        <f>REPLACE(INDEX(GroupVertices[Group],MATCH(Edges[[#This Row],[Vertex 1]],GroupVertices[Vertex],0)),1,1,"")</f>
        <v>4</v>
      </c>
      <c r="BL34" s="125" t="str">
        <f>REPLACE(INDEX(GroupVertices[Group],MATCH(Edges[[#This Row],[Vertex 2]],GroupVertices[Vertex],0)),1,1,"")</f>
        <v>4</v>
      </c>
      <c r="BM34" s="77">
        <v>45176</v>
      </c>
      <c r="BN34" s="98" t="s">
        <v>299</v>
      </c>
      <c r="BO34" s="35">
        <v>0</v>
      </c>
      <c r="BP34" s="36">
        <v>0</v>
      </c>
      <c r="BQ34" s="35">
        <v>0</v>
      </c>
      <c r="BR34" s="36">
        <v>0</v>
      </c>
      <c r="BS34" s="35">
        <v>0</v>
      </c>
      <c r="BT34" s="36">
        <v>0</v>
      </c>
      <c r="BU34" s="82">
        <v>0</v>
      </c>
      <c r="BV34">
        <v>0</v>
      </c>
      <c r="BW34">
        <v>1</v>
      </c>
      <c r="BX34" t="s">
        <v>285</v>
      </c>
      <c r="CK34" s="52" t="s">
        <v>298</v>
      </c>
      <c r="CL34" s="52" t="s">
        <v>290</v>
      </c>
      <c r="CM34" s="52" t="s">
        <v>298</v>
      </c>
      <c r="CN34" s="52" t="s">
        <v>269</v>
      </c>
    </row>
    <row r="35" spans="1:92" ht="15">
      <c r="A35" s="49" t="s">
        <v>262</v>
      </c>
      <c r="B35" s="49" t="s">
        <v>300</v>
      </c>
      <c r="C35" s="60" t="s">
        <v>135</v>
      </c>
      <c r="D35" s="66">
        <v>5</v>
      </c>
      <c r="E35" s="99" t="s">
        <v>136</v>
      </c>
      <c r="F35" s="67">
        <v>16</v>
      </c>
      <c r="G35" s="60"/>
      <c r="H35" s="54"/>
      <c r="I35" s="68"/>
      <c r="J35" s="68"/>
      <c r="K35" s="30" t="s">
        <v>137</v>
      </c>
      <c r="L35" s="100">
        <v>35</v>
      </c>
      <c r="M35" s="100"/>
      <c r="N35" s="70"/>
      <c r="O35" t="s">
        <v>152</v>
      </c>
      <c r="P35" s="50">
        <v>45180.10658564815</v>
      </c>
      <c r="Q35" t="s">
        <v>301</v>
      </c>
      <c r="U35" s="50">
        <v>45180.10658564815</v>
      </c>
      <c r="V35" s="85" t="str">
        <f>HYPERLINK("https://twitter.com/jeremyl21457481/status/1701061370777879000")</f>
        <v>https://twitter.com/jeremyl21457481/status/1701061370777879000</v>
      </c>
      <c r="Y35" s="52" t="s">
        <v>302</v>
      </c>
      <c r="AA35" s="81">
        <v>1</v>
      </c>
      <c r="AB35" s="35"/>
      <c r="AC35" s="36"/>
      <c r="AD35" s="35"/>
      <c r="AE35" s="36"/>
      <c r="AF35" s="35"/>
      <c r="AG35" s="36"/>
      <c r="AH35" s="35">
        <v>4</v>
      </c>
      <c r="AI35" s="36">
        <v>44.44444444444444</v>
      </c>
      <c r="AJ35" s="35">
        <v>9</v>
      </c>
      <c r="AK35" s="82" t="s">
        <v>303</v>
      </c>
      <c r="AL35" s="85" t="str">
        <f>HYPERLINK("https://pbs.twimg.com/media/F5sJj-xawAAGRPv.jpg")</f>
        <v>https://pbs.twimg.com/media/F5sJj-xawAAGRPv.jpg</v>
      </c>
      <c r="AN35">
        <v>0</v>
      </c>
      <c r="AQ35" t="s">
        <v>142</v>
      </c>
      <c r="AR35" t="b">
        <v>0</v>
      </c>
      <c r="AS35" s="52" t="s">
        <v>143</v>
      </c>
      <c r="AU35">
        <v>420</v>
      </c>
      <c r="AV35" s="52" t="s">
        <v>304</v>
      </c>
      <c r="AW35" s="52" t="s">
        <v>157</v>
      </c>
      <c r="AY35" s="52" t="s">
        <v>304</v>
      </c>
      <c r="BK35" s="125" t="str">
        <f>REPLACE(INDEX(GroupVertices[Group],MATCH(Edges[[#This Row],[Vertex 1]],GroupVertices[Vertex],0)),1,1,"")</f>
        <v>4</v>
      </c>
      <c r="BL35" s="125" t="str">
        <f>REPLACE(INDEX(GroupVertices[Group],MATCH(Edges[[#This Row],[Vertex 2]],GroupVertices[Vertex],0)),1,1,"")</f>
        <v>4</v>
      </c>
      <c r="BM35" s="77">
        <v>45180</v>
      </c>
      <c r="BN35" s="98" t="s">
        <v>305</v>
      </c>
      <c r="BO35" s="35">
        <v>0</v>
      </c>
      <c r="BP35" s="36">
        <v>0</v>
      </c>
      <c r="BQ35" s="35">
        <v>0</v>
      </c>
      <c r="BR35" s="36">
        <v>0</v>
      </c>
      <c r="BS35" s="35">
        <v>0</v>
      </c>
      <c r="BT35" s="36">
        <v>0</v>
      </c>
      <c r="BU35" s="82">
        <v>0</v>
      </c>
      <c r="BV35">
        <v>0</v>
      </c>
      <c r="BX35" t="s">
        <v>300</v>
      </c>
      <c r="BZ35" t="s">
        <v>159</v>
      </c>
      <c r="CD35" t="s">
        <v>306</v>
      </c>
      <c r="CK35" s="52" t="s">
        <v>302</v>
      </c>
      <c r="CM35" s="52" t="s">
        <v>143</v>
      </c>
      <c r="CN35" s="52" t="s">
        <v>269</v>
      </c>
    </row>
    <row r="36" spans="1:92" ht="15">
      <c r="A36" s="49" t="s">
        <v>262</v>
      </c>
      <c r="B36" s="49" t="s">
        <v>307</v>
      </c>
      <c r="C36" s="60" t="s">
        <v>135</v>
      </c>
      <c r="D36" s="66">
        <v>5</v>
      </c>
      <c r="E36" s="99" t="s">
        <v>136</v>
      </c>
      <c r="F36" s="67">
        <v>16</v>
      </c>
      <c r="G36" s="60"/>
      <c r="H36" s="54"/>
      <c r="I36" s="68"/>
      <c r="J36" s="68"/>
      <c r="K36" s="30" t="s">
        <v>137</v>
      </c>
      <c r="L36" s="100">
        <v>36</v>
      </c>
      <c r="M36" s="100"/>
      <c r="N36" s="70"/>
      <c r="O36" t="s">
        <v>152</v>
      </c>
      <c r="P36" s="50">
        <v>45180.106099537035</v>
      </c>
      <c r="Q36" t="s">
        <v>308</v>
      </c>
      <c r="U36" s="50">
        <v>45180.106099537035</v>
      </c>
      <c r="V36" s="85" t="str">
        <f>HYPERLINK("https://twitter.com/jeremyl21457481/status/1701061193686040691")</f>
        <v>https://twitter.com/jeremyl21457481/status/1701061193686040691</v>
      </c>
      <c r="Y36" s="52" t="s">
        <v>309</v>
      </c>
      <c r="AA36" s="81">
        <v>1</v>
      </c>
      <c r="AB36" s="35"/>
      <c r="AC36" s="36"/>
      <c r="AD36" s="35"/>
      <c r="AE36" s="36"/>
      <c r="AF36" s="35"/>
      <c r="AG36" s="36"/>
      <c r="AH36" s="35">
        <v>9</v>
      </c>
      <c r="AI36" s="36">
        <v>69.23076923076923</v>
      </c>
      <c r="AJ36" s="35">
        <v>13</v>
      </c>
      <c r="AK36" s="82" t="s">
        <v>310</v>
      </c>
      <c r="AL36" s="85" t="str">
        <f>HYPERLINK("https://pbs.twimg.com/media/F5rsW9zWkAA3rjG.jpg")</f>
        <v>https://pbs.twimg.com/media/F5rsW9zWkAA3rjG.jpg</v>
      </c>
      <c r="AN36">
        <v>0</v>
      </c>
      <c r="AQ36" t="s">
        <v>142</v>
      </c>
      <c r="AR36" t="b">
        <v>0</v>
      </c>
      <c r="AS36" s="52" t="s">
        <v>143</v>
      </c>
      <c r="AU36">
        <v>1183</v>
      </c>
      <c r="AV36" s="52" t="s">
        <v>311</v>
      </c>
      <c r="AW36" s="52" t="s">
        <v>157</v>
      </c>
      <c r="AY36" s="52" t="s">
        <v>311</v>
      </c>
      <c r="BK36" s="125" t="str">
        <f>REPLACE(INDEX(GroupVertices[Group],MATCH(Edges[[#This Row],[Vertex 1]],GroupVertices[Vertex],0)),1,1,"")</f>
        <v>4</v>
      </c>
      <c r="BL36" s="125" t="str">
        <f>REPLACE(INDEX(GroupVertices[Group],MATCH(Edges[[#This Row],[Vertex 2]],GroupVertices[Vertex],0)),1,1,"")</f>
        <v>4</v>
      </c>
      <c r="BM36" s="77">
        <v>45180</v>
      </c>
      <c r="BN36" s="98" t="s">
        <v>312</v>
      </c>
      <c r="BO36" s="35">
        <v>0</v>
      </c>
      <c r="BP36" s="36">
        <v>0</v>
      </c>
      <c r="BQ36" s="35">
        <v>0</v>
      </c>
      <c r="BR36" s="36">
        <v>0</v>
      </c>
      <c r="BS36" s="35">
        <v>0</v>
      </c>
      <c r="BT36" s="36">
        <v>0</v>
      </c>
      <c r="BU36" s="82">
        <v>0</v>
      </c>
      <c r="BV36">
        <v>0</v>
      </c>
      <c r="BX36" t="s">
        <v>307</v>
      </c>
      <c r="BZ36" t="s">
        <v>247</v>
      </c>
      <c r="CD36" t="s">
        <v>313</v>
      </c>
      <c r="CE36">
        <v>10347</v>
      </c>
      <c r="CH36">
        <v>255026</v>
      </c>
      <c r="CK36" s="52" t="s">
        <v>309</v>
      </c>
      <c r="CM36" s="52" t="s">
        <v>143</v>
      </c>
      <c r="CN36" s="52" t="s">
        <v>269</v>
      </c>
    </row>
    <row r="37" spans="1:92" ht="15">
      <c r="A37" s="49" t="s">
        <v>300</v>
      </c>
      <c r="B37" s="49" t="s">
        <v>300</v>
      </c>
      <c r="C37" s="60" t="s">
        <v>135</v>
      </c>
      <c r="D37" s="66">
        <v>5</v>
      </c>
      <c r="E37" s="99" t="s">
        <v>136</v>
      </c>
      <c r="F37" s="67">
        <v>16</v>
      </c>
      <c r="G37" s="60"/>
      <c r="H37" s="54"/>
      <c r="I37" s="68"/>
      <c r="J37" s="68"/>
      <c r="K37" s="30" t="s">
        <v>137</v>
      </c>
      <c r="L37" s="100">
        <v>37</v>
      </c>
      <c r="M37" s="100"/>
      <c r="N37" s="70"/>
      <c r="O37" t="s">
        <v>21</v>
      </c>
      <c r="P37" s="50">
        <v>45179.84013888889</v>
      </c>
      <c r="Q37" t="s">
        <v>314</v>
      </c>
      <c r="U37" s="50">
        <v>45179.84013888889</v>
      </c>
      <c r="V37" s="85" t="str">
        <f>HYPERLINK("https://twitter.com/nbcs49ers/status/1700964815139938757")</f>
        <v>https://twitter.com/nbcs49ers/status/1700964815139938757</v>
      </c>
      <c r="Y37" s="52" t="s">
        <v>304</v>
      </c>
      <c r="AA37" s="81">
        <v>1</v>
      </c>
      <c r="AB37" s="35"/>
      <c r="AC37" s="36"/>
      <c r="AD37" s="35"/>
      <c r="AE37" s="36"/>
      <c r="AF37" s="35"/>
      <c r="AG37" s="36"/>
      <c r="AH37" s="35">
        <v>3</v>
      </c>
      <c r="AI37" s="36">
        <v>42.857142857142854</v>
      </c>
      <c r="AJ37" s="35">
        <v>7</v>
      </c>
      <c r="AK37" s="82" t="s">
        <v>303</v>
      </c>
      <c r="AL37" s="85" t="str">
        <f>HYPERLINK("https://pbs.twimg.com/media/F5sJj-xawAAGRPv.jpg")</f>
        <v>https://pbs.twimg.com/media/F5sJj-xawAAGRPv.jpg</v>
      </c>
      <c r="AN37">
        <v>3186</v>
      </c>
      <c r="AQ37" t="s">
        <v>142</v>
      </c>
      <c r="AR37" t="b">
        <v>0</v>
      </c>
      <c r="AS37" s="52" t="s">
        <v>143</v>
      </c>
      <c r="AU37">
        <v>420</v>
      </c>
      <c r="AV37" s="52" t="s">
        <v>143</v>
      </c>
      <c r="AW37" s="52" t="s">
        <v>315</v>
      </c>
      <c r="AY37" s="52" t="s">
        <v>304</v>
      </c>
      <c r="BK37" s="125" t="str">
        <f>REPLACE(INDEX(GroupVertices[Group],MATCH(Edges[[#This Row],[Vertex 1]],GroupVertices[Vertex],0)),1,1,"")</f>
        <v>4</v>
      </c>
      <c r="BL37" s="125" t="str">
        <f>REPLACE(INDEX(GroupVertices[Group],MATCH(Edges[[#This Row],[Vertex 2]],GroupVertices[Vertex],0)),1,1,"")</f>
        <v>4</v>
      </c>
      <c r="BM37" s="77">
        <v>45179</v>
      </c>
      <c r="BN37" s="98" t="s">
        <v>316</v>
      </c>
      <c r="BO37" s="35">
        <v>0</v>
      </c>
      <c r="BP37" s="36">
        <v>0</v>
      </c>
      <c r="BQ37" s="35">
        <v>0</v>
      </c>
      <c r="BR37" s="36">
        <v>0</v>
      </c>
      <c r="BS37" s="35">
        <v>0</v>
      </c>
      <c r="BT37" s="36">
        <v>0</v>
      </c>
      <c r="BU37" s="82">
        <v>18</v>
      </c>
      <c r="BV37">
        <v>26</v>
      </c>
      <c r="BW37">
        <v>67493</v>
      </c>
      <c r="BZ37" t="s">
        <v>159</v>
      </c>
      <c r="CD37" t="s">
        <v>306</v>
      </c>
      <c r="CK37" s="52" t="s">
        <v>304</v>
      </c>
      <c r="CM37" s="52" t="s">
        <v>143</v>
      </c>
      <c r="CN37">
        <v>66758174</v>
      </c>
    </row>
    <row r="38" spans="1:92" ht="15">
      <c r="A38" s="49" t="s">
        <v>317</v>
      </c>
      <c r="B38" s="49" t="s">
        <v>318</v>
      </c>
      <c r="C38" s="60" t="s">
        <v>135</v>
      </c>
      <c r="D38" s="66">
        <v>5</v>
      </c>
      <c r="E38" s="99" t="s">
        <v>136</v>
      </c>
      <c r="F38" s="67">
        <v>16</v>
      </c>
      <c r="G38" s="60"/>
      <c r="H38" s="54"/>
      <c r="I38" s="68"/>
      <c r="J38" s="68"/>
      <c r="K38" s="30" t="s">
        <v>137</v>
      </c>
      <c r="L38" s="100">
        <v>38</v>
      </c>
      <c r="M38" s="100"/>
      <c r="N38" s="70"/>
      <c r="O38" t="s">
        <v>138</v>
      </c>
      <c r="P38" s="50">
        <v>45181.390856481485</v>
      </c>
      <c r="Q38" t="s">
        <v>319</v>
      </c>
      <c r="R38" s="85" t="str">
        <f>HYPERLINK("https://x.com/ManonAubryFr/status/1701521575512608784?s=20")</f>
        <v>https://x.com/ManonAubryFr/status/1701521575512608784?s=20</v>
      </c>
      <c r="S38" t="s">
        <v>320</v>
      </c>
      <c r="U38" s="50">
        <v>45181.390856481485</v>
      </c>
      <c r="V38" s="85" t="str">
        <f>HYPERLINK("https://twitter.com/nassimretiere/status/1701526775195374055")</f>
        <v>https://twitter.com/nassimretiere/status/1701526775195374055</v>
      </c>
      <c r="Y38" s="52" t="s">
        <v>321</v>
      </c>
      <c r="AA38" s="81">
        <v>1</v>
      </c>
      <c r="AB38" s="35"/>
      <c r="AC38" s="36"/>
      <c r="AD38" s="35"/>
      <c r="AE38" s="36"/>
      <c r="AF38" s="35"/>
      <c r="AG38" s="36"/>
      <c r="AH38" s="35">
        <v>2</v>
      </c>
      <c r="AI38" s="36">
        <v>100</v>
      </c>
      <c r="AJ38" s="35">
        <v>2</v>
      </c>
      <c r="AK38" s="82"/>
      <c r="AL38" s="85" t="str">
        <f>HYPERLINK("https://pbs.twimg.com/profile_images/1673635551541428224/F1spWyZM_normal.jpg")</f>
        <v>https://pbs.twimg.com/profile_images/1673635551541428224/F1spWyZM_normal.jpg</v>
      </c>
      <c r="AN38">
        <v>0</v>
      </c>
      <c r="AQ38" t="s">
        <v>322</v>
      </c>
      <c r="AR38" t="b">
        <v>0</v>
      </c>
      <c r="AS38" s="52" t="s">
        <v>143</v>
      </c>
      <c r="AU38">
        <v>1</v>
      </c>
      <c r="AV38" s="52" t="s">
        <v>143</v>
      </c>
      <c r="AW38" s="52" t="s">
        <v>144</v>
      </c>
      <c r="AY38" s="52" t="s">
        <v>321</v>
      </c>
      <c r="BK38" s="125" t="str">
        <f>REPLACE(INDEX(GroupVertices[Group],MATCH(Edges[[#This Row],[Vertex 1]],GroupVertices[Vertex],0)),1,1,"")</f>
        <v>2</v>
      </c>
      <c r="BL38" s="125" t="str">
        <f>REPLACE(INDEX(GroupVertices[Group],MATCH(Edges[[#This Row],[Vertex 2]],GroupVertices[Vertex],0)),1,1,"")</f>
        <v>2</v>
      </c>
      <c r="BM38" s="77">
        <v>45181</v>
      </c>
      <c r="BN38" s="98" t="s">
        <v>323</v>
      </c>
      <c r="BO38" s="35">
        <v>0</v>
      </c>
      <c r="BP38" s="36">
        <v>0</v>
      </c>
      <c r="BQ38" s="35">
        <v>0</v>
      </c>
      <c r="BR38" s="36">
        <v>0</v>
      </c>
      <c r="BS38" s="35">
        <v>0</v>
      </c>
      <c r="BT38" s="36">
        <v>0</v>
      </c>
      <c r="BU38" s="82">
        <v>0</v>
      </c>
      <c r="BV38">
        <v>0</v>
      </c>
      <c r="BW38">
        <v>4</v>
      </c>
      <c r="BX38" t="s">
        <v>324</v>
      </c>
      <c r="CK38" s="52" t="s">
        <v>321</v>
      </c>
      <c r="CM38" s="52" t="s">
        <v>143</v>
      </c>
      <c r="CN38">
        <v>466698672</v>
      </c>
    </row>
    <row r="39" spans="1:92" ht="15">
      <c r="A39" s="49" t="s">
        <v>317</v>
      </c>
      <c r="B39" s="49" t="s">
        <v>318</v>
      </c>
      <c r="C39" s="60" t="s">
        <v>135</v>
      </c>
      <c r="D39" s="66">
        <v>5</v>
      </c>
      <c r="E39" s="99" t="s">
        <v>136</v>
      </c>
      <c r="F39" s="67">
        <v>16</v>
      </c>
      <c r="G39" s="60"/>
      <c r="H39" s="54"/>
      <c r="I39" s="68"/>
      <c r="J39" s="68"/>
      <c r="K39" s="30" t="s">
        <v>137</v>
      </c>
      <c r="L39" s="100">
        <v>39</v>
      </c>
      <c r="M39" s="100"/>
      <c r="N39" s="70"/>
      <c r="O39" t="s">
        <v>325</v>
      </c>
      <c r="P39" s="50">
        <v>45181.416666666664</v>
      </c>
      <c r="Q39" t="s">
        <v>326</v>
      </c>
      <c r="R39" s="85" t="str">
        <f>HYPERLINK("https://x.com/ManonAubryFr/status/1701521575512608784?s=20")</f>
        <v>https://x.com/ManonAubryFr/status/1701521575512608784?s=20</v>
      </c>
      <c r="S39" t="s">
        <v>320</v>
      </c>
      <c r="U39" s="50">
        <v>45181.416666666664</v>
      </c>
      <c r="V39" s="85" t="str">
        <f>HYPERLINK("https://twitter.com/nassimretiere/status/1701536127222419469")</f>
        <v>https://twitter.com/nassimretiere/status/1701536127222419469</v>
      </c>
      <c r="Y39" s="52" t="s">
        <v>327</v>
      </c>
      <c r="AA39" s="81">
        <v>1</v>
      </c>
      <c r="AB39" s="35"/>
      <c r="AC39" s="36"/>
      <c r="AD39" s="35"/>
      <c r="AE39" s="36"/>
      <c r="AF39" s="35"/>
      <c r="AG39" s="36"/>
      <c r="AH39" s="35">
        <v>3</v>
      </c>
      <c r="AI39" s="36">
        <v>75</v>
      </c>
      <c r="AJ39" s="35">
        <v>4</v>
      </c>
      <c r="AK39" s="82"/>
      <c r="AL39" s="85" t="str">
        <f>HYPERLINK("https://pbs.twimg.com/profile_images/1673635551541428224/F1spWyZM_normal.jpg")</f>
        <v>https://pbs.twimg.com/profile_images/1673635551541428224/F1spWyZM_normal.jpg</v>
      </c>
      <c r="AN39">
        <v>0</v>
      </c>
      <c r="AQ39" t="s">
        <v>322</v>
      </c>
      <c r="AR39" t="b">
        <v>0</v>
      </c>
      <c r="AS39" s="52" t="s">
        <v>143</v>
      </c>
      <c r="AU39">
        <v>1</v>
      </c>
      <c r="AV39" s="52" t="s">
        <v>321</v>
      </c>
      <c r="AW39" s="52" t="s">
        <v>144</v>
      </c>
      <c r="AY39" s="52" t="s">
        <v>321</v>
      </c>
      <c r="BK39" s="125" t="str">
        <f>REPLACE(INDEX(GroupVertices[Group],MATCH(Edges[[#This Row],[Vertex 1]],GroupVertices[Vertex],0)),1,1,"")</f>
        <v>2</v>
      </c>
      <c r="BL39" s="125" t="str">
        <f>REPLACE(INDEX(GroupVertices[Group],MATCH(Edges[[#This Row],[Vertex 2]],GroupVertices[Vertex],0)),1,1,"")</f>
        <v>2</v>
      </c>
      <c r="BM39" s="77">
        <v>45181</v>
      </c>
      <c r="BN39" s="98" t="s">
        <v>328</v>
      </c>
      <c r="BO39" s="35">
        <v>0</v>
      </c>
      <c r="BP39" s="36">
        <v>0</v>
      </c>
      <c r="BQ39" s="35">
        <v>0</v>
      </c>
      <c r="BR39" s="36">
        <v>0</v>
      </c>
      <c r="BS39" s="35">
        <v>0</v>
      </c>
      <c r="BT39" s="36">
        <v>0</v>
      </c>
      <c r="BU39" s="82">
        <v>0</v>
      </c>
      <c r="BV39">
        <v>0</v>
      </c>
      <c r="BX39" t="s">
        <v>329</v>
      </c>
      <c r="CK39" s="52" t="s">
        <v>327</v>
      </c>
      <c r="CM39" s="52" t="s">
        <v>143</v>
      </c>
      <c r="CN39">
        <v>466698672</v>
      </c>
    </row>
    <row r="40" spans="1:92" ht="15">
      <c r="A40" s="49" t="s">
        <v>317</v>
      </c>
      <c r="B40" s="49" t="s">
        <v>183</v>
      </c>
      <c r="C40" s="60" t="s">
        <v>135</v>
      </c>
      <c r="D40" s="66">
        <v>5</v>
      </c>
      <c r="E40" s="99" t="s">
        <v>136</v>
      </c>
      <c r="F40" s="67">
        <v>16</v>
      </c>
      <c r="G40" s="60"/>
      <c r="H40" s="54"/>
      <c r="I40" s="68"/>
      <c r="J40" s="68"/>
      <c r="K40" s="30" t="s">
        <v>137</v>
      </c>
      <c r="L40" s="100">
        <v>40</v>
      </c>
      <c r="M40" s="100"/>
      <c r="N40" s="70"/>
      <c r="O40" t="s">
        <v>138</v>
      </c>
      <c r="P40" s="50">
        <v>45181.390856481485</v>
      </c>
      <c r="Q40" t="s">
        <v>319</v>
      </c>
      <c r="R40" s="85" t="str">
        <f>HYPERLINK("https://x.com/ManonAubryFr/status/1701521575512608784?s=20")</f>
        <v>https://x.com/ManonAubryFr/status/1701521575512608784?s=20</v>
      </c>
      <c r="S40" t="s">
        <v>320</v>
      </c>
      <c r="U40" s="50">
        <v>45181.390856481485</v>
      </c>
      <c r="V40" s="85" t="str">
        <f>HYPERLINK("https://twitter.com/nassimretiere/status/1701526775195374055")</f>
        <v>https://twitter.com/nassimretiere/status/1701526775195374055</v>
      </c>
      <c r="Y40" s="52" t="s">
        <v>321</v>
      </c>
      <c r="AA40" s="81">
        <v>1</v>
      </c>
      <c r="AB40" s="35"/>
      <c r="AC40" s="36"/>
      <c r="AD40" s="35"/>
      <c r="AE40" s="36"/>
      <c r="AF40" s="35"/>
      <c r="AG40" s="36"/>
      <c r="AH40" s="35"/>
      <c r="AI40" s="36"/>
      <c r="AJ40" s="35"/>
      <c r="AK40" s="82"/>
      <c r="AL40" s="85" t="str">
        <f>HYPERLINK("https://pbs.twimg.com/profile_images/1673635551541428224/F1spWyZM_normal.jpg")</f>
        <v>https://pbs.twimg.com/profile_images/1673635551541428224/F1spWyZM_normal.jpg</v>
      </c>
      <c r="AN40">
        <v>0</v>
      </c>
      <c r="AQ40" t="s">
        <v>322</v>
      </c>
      <c r="AR40" t="b">
        <v>0</v>
      </c>
      <c r="AS40" s="52" t="s">
        <v>143</v>
      </c>
      <c r="AU40">
        <v>1</v>
      </c>
      <c r="AV40" s="52" t="s">
        <v>143</v>
      </c>
      <c r="AW40" s="52" t="s">
        <v>144</v>
      </c>
      <c r="AY40" s="52" t="s">
        <v>321</v>
      </c>
      <c r="BK40" s="125" t="str">
        <f>REPLACE(INDEX(GroupVertices[Group],MATCH(Edges[[#This Row],[Vertex 1]],GroupVertices[Vertex],0)),1,1,"")</f>
        <v>2</v>
      </c>
      <c r="BL40" s="125" t="str">
        <f>REPLACE(INDEX(GroupVertices[Group],MATCH(Edges[[#This Row],[Vertex 2]],GroupVertices[Vertex],0)),1,1,"")</f>
        <v>2</v>
      </c>
      <c r="BM40" s="77">
        <v>45181</v>
      </c>
      <c r="BN40" s="98" t="s">
        <v>323</v>
      </c>
      <c r="BO40" s="35"/>
      <c r="BP40" s="36"/>
      <c r="BQ40" s="35"/>
      <c r="BR40" s="36"/>
      <c r="BS40" s="35"/>
      <c r="BT40" s="36"/>
      <c r="BU40" s="82">
        <v>0</v>
      </c>
      <c r="BV40">
        <v>0</v>
      </c>
      <c r="BW40">
        <v>4</v>
      </c>
      <c r="BX40" t="s">
        <v>324</v>
      </c>
      <c r="CK40" s="52" t="s">
        <v>321</v>
      </c>
      <c r="CM40" s="52" t="s">
        <v>143</v>
      </c>
      <c r="CN40">
        <v>466698672</v>
      </c>
    </row>
    <row r="41" spans="1:92" ht="15">
      <c r="A41" s="49" t="s">
        <v>317</v>
      </c>
      <c r="B41" s="49" t="s">
        <v>183</v>
      </c>
      <c r="C41" s="60" t="s">
        <v>135</v>
      </c>
      <c r="D41" s="66">
        <v>5</v>
      </c>
      <c r="E41" s="99" t="s">
        <v>136</v>
      </c>
      <c r="F41" s="67">
        <v>16</v>
      </c>
      <c r="G41" s="60"/>
      <c r="H41" s="54"/>
      <c r="I41" s="68"/>
      <c r="J41" s="68"/>
      <c r="K41" s="30" t="s">
        <v>137</v>
      </c>
      <c r="L41" s="100">
        <v>41</v>
      </c>
      <c r="M41" s="100"/>
      <c r="N41" s="70"/>
      <c r="O41" t="s">
        <v>325</v>
      </c>
      <c r="P41" s="50">
        <v>45181.416666666664</v>
      </c>
      <c r="Q41" t="s">
        <v>326</v>
      </c>
      <c r="R41" s="85" t="str">
        <f>HYPERLINK("https://x.com/ManonAubryFr/status/1701521575512608784?s=20")</f>
        <v>https://x.com/ManonAubryFr/status/1701521575512608784?s=20</v>
      </c>
      <c r="S41" t="s">
        <v>320</v>
      </c>
      <c r="U41" s="50">
        <v>45181.416666666664</v>
      </c>
      <c r="V41" s="85" t="str">
        <f>HYPERLINK("https://twitter.com/nassimretiere/status/1701536127222419469")</f>
        <v>https://twitter.com/nassimretiere/status/1701536127222419469</v>
      </c>
      <c r="Y41" s="52" t="s">
        <v>327</v>
      </c>
      <c r="AA41" s="81">
        <v>1</v>
      </c>
      <c r="AB41" s="35"/>
      <c r="AC41" s="36"/>
      <c r="AD41" s="35"/>
      <c r="AE41" s="36"/>
      <c r="AF41" s="35"/>
      <c r="AG41" s="36"/>
      <c r="AH41" s="35"/>
      <c r="AI41" s="36"/>
      <c r="AJ41" s="35"/>
      <c r="AK41" s="82"/>
      <c r="AL41" s="85" t="str">
        <f>HYPERLINK("https://pbs.twimg.com/profile_images/1673635551541428224/F1spWyZM_normal.jpg")</f>
        <v>https://pbs.twimg.com/profile_images/1673635551541428224/F1spWyZM_normal.jpg</v>
      </c>
      <c r="AN41">
        <v>0</v>
      </c>
      <c r="AQ41" t="s">
        <v>322</v>
      </c>
      <c r="AR41" t="b">
        <v>0</v>
      </c>
      <c r="AS41" s="52" t="s">
        <v>143</v>
      </c>
      <c r="AU41">
        <v>1</v>
      </c>
      <c r="AV41" s="52" t="s">
        <v>321</v>
      </c>
      <c r="AW41" s="52" t="s">
        <v>144</v>
      </c>
      <c r="AY41" s="52" t="s">
        <v>321</v>
      </c>
      <c r="BK41" s="125" t="str">
        <f>REPLACE(INDEX(GroupVertices[Group],MATCH(Edges[[#This Row],[Vertex 1]],GroupVertices[Vertex],0)),1,1,"")</f>
        <v>2</v>
      </c>
      <c r="BL41" s="125" t="str">
        <f>REPLACE(INDEX(GroupVertices[Group],MATCH(Edges[[#This Row],[Vertex 2]],GroupVertices[Vertex],0)),1,1,"")</f>
        <v>2</v>
      </c>
      <c r="BM41" s="77">
        <v>45181</v>
      </c>
      <c r="BN41" s="98" t="s">
        <v>328</v>
      </c>
      <c r="BO41" s="35"/>
      <c r="BP41" s="36"/>
      <c r="BQ41" s="35"/>
      <c r="BR41" s="36"/>
      <c r="BS41" s="35"/>
      <c r="BT41" s="36"/>
      <c r="BU41" s="82">
        <v>0</v>
      </c>
      <c r="BV41">
        <v>0</v>
      </c>
      <c r="BX41" t="s">
        <v>329</v>
      </c>
      <c r="CK41" s="52" t="s">
        <v>327</v>
      </c>
      <c r="CM41" s="52" t="s">
        <v>143</v>
      </c>
      <c r="CN41">
        <v>466698672</v>
      </c>
    </row>
    <row r="42" spans="1:92" ht="15">
      <c r="A42" s="49" t="s">
        <v>317</v>
      </c>
      <c r="B42" s="49" t="s">
        <v>317</v>
      </c>
      <c r="C42" s="60" t="s">
        <v>135</v>
      </c>
      <c r="D42" s="66">
        <v>5</v>
      </c>
      <c r="E42" s="99" t="s">
        <v>136</v>
      </c>
      <c r="F42" s="67">
        <v>16</v>
      </c>
      <c r="G42" s="60"/>
      <c r="H42" s="54"/>
      <c r="I42" s="68"/>
      <c r="J42" s="68"/>
      <c r="K42" s="30" t="s">
        <v>137</v>
      </c>
      <c r="L42" s="100">
        <v>42</v>
      </c>
      <c r="M42" s="100"/>
      <c r="N42" s="70"/>
      <c r="O42" t="s">
        <v>152</v>
      </c>
      <c r="P42" s="50">
        <v>45181.416666666664</v>
      </c>
      <c r="Q42" t="s">
        <v>326</v>
      </c>
      <c r="R42" s="85" t="str">
        <f>HYPERLINK("https://x.com/ManonAubryFr/status/1701521575512608784?s=20")</f>
        <v>https://x.com/ManonAubryFr/status/1701521575512608784?s=20</v>
      </c>
      <c r="S42" t="s">
        <v>320</v>
      </c>
      <c r="U42" s="50">
        <v>45181.416666666664</v>
      </c>
      <c r="V42" s="85" t="str">
        <f>HYPERLINK("https://twitter.com/nassimretiere/status/1701536127222419469")</f>
        <v>https://twitter.com/nassimretiere/status/1701536127222419469</v>
      </c>
      <c r="Y42" s="52" t="s">
        <v>327</v>
      </c>
      <c r="AA42" s="81">
        <v>1</v>
      </c>
      <c r="AB42" s="35"/>
      <c r="AC42" s="36"/>
      <c r="AD42" s="35"/>
      <c r="AE42" s="36"/>
      <c r="AF42" s="35"/>
      <c r="AG42" s="36"/>
      <c r="AH42" s="35"/>
      <c r="AI42" s="36"/>
      <c r="AJ42" s="35"/>
      <c r="AK42" s="82"/>
      <c r="AL42" s="85" t="str">
        <f>HYPERLINK("https://pbs.twimg.com/profile_images/1673635551541428224/F1spWyZM_normal.jpg")</f>
        <v>https://pbs.twimg.com/profile_images/1673635551541428224/F1spWyZM_normal.jpg</v>
      </c>
      <c r="AN42">
        <v>0</v>
      </c>
      <c r="AQ42" t="s">
        <v>322</v>
      </c>
      <c r="AR42" t="b">
        <v>0</v>
      </c>
      <c r="AS42" s="52" t="s">
        <v>143</v>
      </c>
      <c r="AU42">
        <v>1</v>
      </c>
      <c r="AV42" s="52" t="s">
        <v>321</v>
      </c>
      <c r="AW42" s="52" t="s">
        <v>144</v>
      </c>
      <c r="AY42" s="52" t="s">
        <v>321</v>
      </c>
      <c r="BK42" s="125" t="str">
        <f>REPLACE(INDEX(GroupVertices[Group],MATCH(Edges[[#This Row],[Vertex 1]],GroupVertices[Vertex],0)),1,1,"")</f>
        <v>2</v>
      </c>
      <c r="BL42" s="125" t="str">
        <f>REPLACE(INDEX(GroupVertices[Group],MATCH(Edges[[#This Row],[Vertex 2]],GroupVertices[Vertex],0)),1,1,"")</f>
        <v>2</v>
      </c>
      <c r="BM42" s="77">
        <v>45181</v>
      </c>
      <c r="BN42" s="98" t="s">
        <v>328</v>
      </c>
      <c r="BO42" s="35"/>
      <c r="BP42" s="36"/>
      <c r="BQ42" s="35"/>
      <c r="BR42" s="36"/>
      <c r="BS42" s="35"/>
      <c r="BT42" s="36"/>
      <c r="BU42" s="82">
        <v>0</v>
      </c>
      <c r="BV42">
        <v>0</v>
      </c>
      <c r="BX42" t="s">
        <v>329</v>
      </c>
      <c r="CK42" s="52" t="s">
        <v>327</v>
      </c>
      <c r="CM42" s="52" t="s">
        <v>143</v>
      </c>
      <c r="CN42">
        <v>466698672</v>
      </c>
    </row>
    <row r="43" spans="1:92" ht="15">
      <c r="A43" s="49" t="s">
        <v>330</v>
      </c>
      <c r="B43" s="49" t="s">
        <v>331</v>
      </c>
      <c r="C43" s="60" t="s">
        <v>135</v>
      </c>
      <c r="D43" s="66">
        <v>5</v>
      </c>
      <c r="E43" s="99" t="s">
        <v>136</v>
      </c>
      <c r="F43" s="67">
        <v>16</v>
      </c>
      <c r="G43" s="60"/>
      <c r="H43" s="54"/>
      <c r="I43" s="68"/>
      <c r="J43" s="68"/>
      <c r="K43" s="30" t="s">
        <v>137</v>
      </c>
      <c r="L43" s="100">
        <v>43</v>
      </c>
      <c r="M43" s="100"/>
      <c r="N43" s="70"/>
      <c r="O43" t="s">
        <v>172</v>
      </c>
      <c r="P43" s="50">
        <v>45179.82809027778</v>
      </c>
      <c r="Q43" t="s">
        <v>332</v>
      </c>
      <c r="U43" s="50">
        <v>45179.82809027778</v>
      </c>
      <c r="V43" s="85" t="str">
        <f>HYPERLINK("https://twitter.com/jeremylammert79/status/1700960445954412819")</f>
        <v>https://twitter.com/jeremylammert79/status/1700960445954412819</v>
      </c>
      <c r="Y43" s="52" t="s">
        <v>333</v>
      </c>
      <c r="AA43" s="81">
        <v>1</v>
      </c>
      <c r="AB43" s="35"/>
      <c r="AC43" s="36"/>
      <c r="AD43" s="35"/>
      <c r="AE43" s="36"/>
      <c r="AF43" s="35"/>
      <c r="AG43" s="36"/>
      <c r="AH43" s="35"/>
      <c r="AI43" s="36"/>
      <c r="AJ43" s="35"/>
      <c r="AK43" s="82"/>
      <c r="AL43" s="85" t="str">
        <f>HYPERLINK("https://pbs.twimg.com/profile_images/1411764427259584516/xDJuQ_qX_normal.jpg")</f>
        <v>https://pbs.twimg.com/profile_images/1411764427259584516/xDJuQ_qX_normal.jpg</v>
      </c>
      <c r="AN43">
        <v>0</v>
      </c>
      <c r="AQ43" t="s">
        <v>142</v>
      </c>
      <c r="AS43" s="52" t="s">
        <v>143</v>
      </c>
      <c r="AU43">
        <v>0</v>
      </c>
      <c r="AV43" s="52" t="s">
        <v>143</v>
      </c>
      <c r="AW43" s="52" t="s">
        <v>194</v>
      </c>
      <c r="AY43" s="52" t="s">
        <v>334</v>
      </c>
      <c r="BK43" s="125" t="str">
        <f>REPLACE(INDEX(GroupVertices[Group],MATCH(Edges[[#This Row],[Vertex 1]],GroupVertices[Vertex],0)),1,1,"")</f>
        <v>9</v>
      </c>
      <c r="BL43" s="125" t="str">
        <f>REPLACE(INDEX(GroupVertices[Group],MATCH(Edges[[#This Row],[Vertex 2]],GroupVertices[Vertex],0)),1,1,"")</f>
        <v>9</v>
      </c>
      <c r="BM43" s="77">
        <v>45179</v>
      </c>
      <c r="BN43" s="98" t="s">
        <v>335</v>
      </c>
      <c r="BO43" s="35"/>
      <c r="BP43" s="36"/>
      <c r="BQ43" s="35"/>
      <c r="BR43" s="36"/>
      <c r="BS43" s="35"/>
      <c r="BT43" s="36"/>
      <c r="BU43" s="82">
        <v>0</v>
      </c>
      <c r="BV43">
        <v>0</v>
      </c>
      <c r="BW43">
        <v>618</v>
      </c>
      <c r="BX43" t="s">
        <v>336</v>
      </c>
      <c r="CK43" s="52" t="s">
        <v>334</v>
      </c>
      <c r="CL43" s="52" t="s">
        <v>337</v>
      </c>
      <c r="CM43" s="52" t="s">
        <v>334</v>
      </c>
      <c r="CN43" s="52" t="s">
        <v>338</v>
      </c>
    </row>
    <row r="44" spans="1:92" ht="15">
      <c r="A44" s="49" t="s">
        <v>330</v>
      </c>
      <c r="B44" s="49" t="s">
        <v>339</v>
      </c>
      <c r="C44" s="60" t="s">
        <v>135</v>
      </c>
      <c r="D44" s="66">
        <v>5</v>
      </c>
      <c r="E44" s="99" t="s">
        <v>136</v>
      </c>
      <c r="F44" s="67">
        <v>16</v>
      </c>
      <c r="G44" s="60"/>
      <c r="H44" s="54"/>
      <c r="I44" s="68"/>
      <c r="J44" s="68"/>
      <c r="K44" s="30" t="s">
        <v>137</v>
      </c>
      <c r="L44" s="100">
        <v>44</v>
      </c>
      <c r="M44" s="100"/>
      <c r="N44" s="70"/>
      <c r="O44" t="s">
        <v>164</v>
      </c>
      <c r="P44" s="50">
        <v>45179.82809027778</v>
      </c>
      <c r="Q44" t="s">
        <v>332</v>
      </c>
      <c r="U44" s="50">
        <v>45179.82809027778</v>
      </c>
      <c r="V44" s="85" t="str">
        <f>HYPERLINK("https://twitter.com/jeremylammert79/status/1700960445954412819")</f>
        <v>https://twitter.com/jeremylammert79/status/1700960445954412819</v>
      </c>
      <c r="Y44" s="52" t="s">
        <v>333</v>
      </c>
      <c r="AA44" s="81">
        <v>1</v>
      </c>
      <c r="AB44" s="35"/>
      <c r="AC44" s="36"/>
      <c r="AD44" s="35"/>
      <c r="AE44" s="36"/>
      <c r="AF44" s="35"/>
      <c r="AG44" s="36"/>
      <c r="AH44" s="35">
        <v>12</v>
      </c>
      <c r="AI44" s="36">
        <v>70.58823529411765</v>
      </c>
      <c r="AJ44" s="35">
        <v>17</v>
      </c>
      <c r="AK44" s="82"/>
      <c r="AL44" s="85" t="str">
        <f>HYPERLINK("https://pbs.twimg.com/profile_images/1411764427259584516/xDJuQ_qX_normal.jpg")</f>
        <v>https://pbs.twimg.com/profile_images/1411764427259584516/xDJuQ_qX_normal.jpg</v>
      </c>
      <c r="AN44">
        <v>0</v>
      </c>
      <c r="AQ44" t="s">
        <v>142</v>
      </c>
      <c r="AS44" s="52" t="s">
        <v>143</v>
      </c>
      <c r="AU44">
        <v>0</v>
      </c>
      <c r="AV44" s="52" t="s">
        <v>143</v>
      </c>
      <c r="AW44" s="52" t="s">
        <v>194</v>
      </c>
      <c r="AY44" s="52" t="s">
        <v>334</v>
      </c>
      <c r="BK44" s="125" t="str">
        <f>REPLACE(INDEX(GroupVertices[Group],MATCH(Edges[[#This Row],[Vertex 1]],GroupVertices[Vertex],0)),1,1,"")</f>
        <v>9</v>
      </c>
      <c r="BL44" s="125" t="str">
        <f>REPLACE(INDEX(GroupVertices[Group],MATCH(Edges[[#This Row],[Vertex 2]],GroupVertices[Vertex],0)),1,1,"")</f>
        <v>9</v>
      </c>
      <c r="BM44" s="77">
        <v>45179</v>
      </c>
      <c r="BN44" s="98" t="s">
        <v>335</v>
      </c>
      <c r="BO44" s="35">
        <v>0</v>
      </c>
      <c r="BP44" s="36">
        <v>0</v>
      </c>
      <c r="BQ44" s="35">
        <v>0</v>
      </c>
      <c r="BR44" s="36">
        <v>0</v>
      </c>
      <c r="BS44" s="35">
        <v>0</v>
      </c>
      <c r="BT44" s="36">
        <v>0</v>
      </c>
      <c r="BU44" s="82">
        <v>0</v>
      </c>
      <c r="BV44">
        <v>0</v>
      </c>
      <c r="BW44">
        <v>618</v>
      </c>
      <c r="BX44" t="s">
        <v>336</v>
      </c>
      <c r="CK44" s="52" t="s">
        <v>334</v>
      </c>
      <c r="CL44" s="52" t="s">
        <v>337</v>
      </c>
      <c r="CM44" s="52" t="s">
        <v>334</v>
      </c>
      <c r="CN44" s="52" t="s">
        <v>338</v>
      </c>
    </row>
    <row r="45" spans="1:92" ht="15">
      <c r="A45" s="49" t="s">
        <v>340</v>
      </c>
      <c r="B45" s="49" t="s">
        <v>340</v>
      </c>
      <c r="C45" s="60" t="s">
        <v>135</v>
      </c>
      <c r="D45" s="66">
        <v>5</v>
      </c>
      <c r="E45" s="99" t="s">
        <v>136</v>
      </c>
      <c r="F45" s="67">
        <v>16</v>
      </c>
      <c r="G45" s="60"/>
      <c r="H45" s="54"/>
      <c r="I45" s="68"/>
      <c r="J45" s="68"/>
      <c r="K45" s="30" t="s">
        <v>137</v>
      </c>
      <c r="L45" s="100">
        <v>45</v>
      </c>
      <c r="M45" s="100"/>
      <c r="N45" s="70"/>
      <c r="O45" t="s">
        <v>21</v>
      </c>
      <c r="P45" s="50">
        <v>45156.166666666664</v>
      </c>
      <c r="Q45" t="s">
        <v>341</v>
      </c>
      <c r="R45" s="85" t="str">
        <f>HYPERLINK("https://www.bitget.com/events/kcgi?utmSource=Twitter")</f>
        <v>https://www.bitget.com/events/kcgi?utmSource=Twitter</v>
      </c>
      <c r="S45" t="s">
        <v>342</v>
      </c>
      <c r="T45" s="52" t="s">
        <v>343</v>
      </c>
      <c r="U45" s="50">
        <v>45156.166666666664</v>
      </c>
      <c r="V45" s="85" t="str">
        <f>HYPERLINK("https://twitter.com/bitgetglobal/status/1692385833830027327")</f>
        <v>https://twitter.com/bitgetglobal/status/1692385833830027327</v>
      </c>
      <c r="Y45" s="52" t="s">
        <v>344</v>
      </c>
      <c r="AA45" s="81">
        <v>1</v>
      </c>
      <c r="AB45" s="35"/>
      <c r="AC45" s="36"/>
      <c r="AD45" s="35"/>
      <c r="AE45" s="36"/>
      <c r="AF45" s="35"/>
      <c r="AG45" s="36"/>
      <c r="AH45" s="35">
        <v>21</v>
      </c>
      <c r="AI45" s="36">
        <v>72.41379310344827</v>
      </c>
      <c r="AJ45" s="35">
        <v>29</v>
      </c>
      <c r="AK45" s="82" t="s">
        <v>345</v>
      </c>
      <c r="AL45" s="85" t="str">
        <f>HYPERLINK("https://pbs.twimg.com/ext_tw_video_thumb/1692381493501534208/pu/img/qo2j3f67wOOQxj1L.jpg")</f>
        <v>https://pbs.twimg.com/ext_tw_video_thumb/1692381493501534208/pu/img/qo2j3f67wOOQxj1L.jpg</v>
      </c>
      <c r="AN45">
        <v>64403</v>
      </c>
      <c r="AQ45" t="s">
        <v>142</v>
      </c>
      <c r="AR45" t="b">
        <v>0</v>
      </c>
      <c r="AS45" s="52" t="s">
        <v>143</v>
      </c>
      <c r="AU45">
        <v>17862</v>
      </c>
      <c r="AV45" s="52" t="s">
        <v>143</v>
      </c>
      <c r="AW45" s="52" t="s">
        <v>144</v>
      </c>
      <c r="AY45" s="52" t="s">
        <v>344</v>
      </c>
      <c r="BK45" s="125" t="str">
        <f>REPLACE(INDEX(GroupVertices[Group],MATCH(Edges[[#This Row],[Vertex 1]],GroupVertices[Vertex],0)),1,1,"")</f>
        <v>7</v>
      </c>
      <c r="BL45" s="125" t="str">
        <f>REPLACE(INDEX(GroupVertices[Group],MATCH(Edges[[#This Row],[Vertex 2]],GroupVertices[Vertex],0)),1,1,"")</f>
        <v>7</v>
      </c>
      <c r="BM45" s="77">
        <v>45156</v>
      </c>
      <c r="BN45" s="98" t="s">
        <v>346</v>
      </c>
      <c r="BO45" s="35">
        <v>0</v>
      </c>
      <c r="BP45" s="36">
        <v>0</v>
      </c>
      <c r="BQ45" s="35">
        <v>0</v>
      </c>
      <c r="BR45" s="36">
        <v>0</v>
      </c>
      <c r="BS45" s="35">
        <v>0</v>
      </c>
      <c r="BT45" s="36">
        <v>0</v>
      </c>
      <c r="BU45" s="82">
        <v>5203</v>
      </c>
      <c r="BV45">
        <v>148</v>
      </c>
      <c r="BW45">
        <v>93567398</v>
      </c>
      <c r="BZ45" t="s">
        <v>247</v>
      </c>
      <c r="CD45" t="s">
        <v>347</v>
      </c>
      <c r="CE45">
        <v>112480</v>
      </c>
      <c r="CH45">
        <v>19478648</v>
      </c>
      <c r="CK45" s="52" t="s">
        <v>344</v>
      </c>
      <c r="CM45" s="52" t="s">
        <v>143</v>
      </c>
      <c r="CN45" s="52" t="s">
        <v>348</v>
      </c>
    </row>
    <row r="46" spans="1:92" ht="15">
      <c r="A46" s="49" t="s">
        <v>349</v>
      </c>
      <c r="B46" s="49" t="s">
        <v>340</v>
      </c>
      <c r="C46" s="60" t="s">
        <v>135</v>
      </c>
      <c r="D46" s="66">
        <v>5</v>
      </c>
      <c r="E46" s="99" t="s">
        <v>136</v>
      </c>
      <c r="F46" s="67">
        <v>16</v>
      </c>
      <c r="G46" s="60"/>
      <c r="H46" s="54"/>
      <c r="I46" s="68"/>
      <c r="J46" s="68"/>
      <c r="K46" s="30" t="s">
        <v>137</v>
      </c>
      <c r="L46" s="100">
        <v>46</v>
      </c>
      <c r="M46" s="100"/>
      <c r="N46" s="70"/>
      <c r="O46" t="s">
        <v>152</v>
      </c>
      <c r="P46" s="50">
        <v>45177.72300925926</v>
      </c>
      <c r="Q46" t="s">
        <v>350</v>
      </c>
      <c r="T46" s="52" t="s">
        <v>343</v>
      </c>
      <c r="U46" s="50">
        <v>45177.72300925926</v>
      </c>
      <c r="V46" s="85" t="str">
        <f>HYPERLINK("https://twitter.com/jeremyl2p41/status/1700197591005467092")</f>
        <v>https://twitter.com/jeremyl2p41/status/1700197591005467092</v>
      </c>
      <c r="Y46" s="52" t="s">
        <v>351</v>
      </c>
      <c r="AA46" s="81">
        <v>1</v>
      </c>
      <c r="AB46" s="35"/>
      <c r="AC46" s="36"/>
      <c r="AD46" s="35"/>
      <c r="AE46" s="36"/>
      <c r="AF46" s="35"/>
      <c r="AG46" s="36"/>
      <c r="AH46" s="35">
        <v>16</v>
      </c>
      <c r="AI46" s="36">
        <v>69.56521739130434</v>
      </c>
      <c r="AJ46" s="35">
        <v>23</v>
      </c>
      <c r="AK46" s="82"/>
      <c r="AL46" s="85" t="str">
        <f>HYPERLINK("https://pbs.twimg.com/profile_images/1684639612034244609/IM7wqm5e_normal.jpg")</f>
        <v>https://pbs.twimg.com/profile_images/1684639612034244609/IM7wqm5e_normal.jpg</v>
      </c>
      <c r="AN46">
        <v>0</v>
      </c>
      <c r="AQ46" t="s">
        <v>142</v>
      </c>
      <c r="AS46" s="52" t="s">
        <v>143</v>
      </c>
      <c r="AU46">
        <v>17862</v>
      </c>
      <c r="AV46" s="52" t="s">
        <v>344</v>
      </c>
      <c r="AW46" s="52" t="s">
        <v>144</v>
      </c>
      <c r="AY46" s="52" t="s">
        <v>344</v>
      </c>
      <c r="BK46" s="125" t="str">
        <f>REPLACE(INDEX(GroupVertices[Group],MATCH(Edges[[#This Row],[Vertex 1]],GroupVertices[Vertex],0)),1,1,"")</f>
        <v>7</v>
      </c>
      <c r="BL46" s="125" t="str">
        <f>REPLACE(INDEX(GroupVertices[Group],MATCH(Edges[[#This Row],[Vertex 2]],GroupVertices[Vertex],0)),1,1,"")</f>
        <v>7</v>
      </c>
      <c r="BM46" s="77">
        <v>45177</v>
      </c>
      <c r="BN46" s="98" t="s">
        <v>352</v>
      </c>
      <c r="BO46" s="35">
        <v>0</v>
      </c>
      <c r="BP46" s="36">
        <v>0</v>
      </c>
      <c r="BQ46" s="35">
        <v>0</v>
      </c>
      <c r="BR46" s="36">
        <v>0</v>
      </c>
      <c r="BS46" s="35">
        <v>0</v>
      </c>
      <c r="BT46" s="36">
        <v>0</v>
      </c>
      <c r="BU46" s="82">
        <v>0</v>
      </c>
      <c r="BV46">
        <v>0</v>
      </c>
      <c r="BX46" t="s">
        <v>340</v>
      </c>
      <c r="CK46" s="52" t="s">
        <v>351</v>
      </c>
      <c r="CM46" s="52" t="s">
        <v>143</v>
      </c>
      <c r="CN46" s="52" t="s">
        <v>353</v>
      </c>
    </row>
    <row r="47" spans="1:92" ht="15">
      <c r="A47" s="49" t="s">
        <v>354</v>
      </c>
      <c r="B47" s="49" t="s">
        <v>354</v>
      </c>
      <c r="C47" s="60" t="s">
        <v>135</v>
      </c>
      <c r="D47" s="66">
        <v>5</v>
      </c>
      <c r="E47" s="99" t="s">
        <v>136</v>
      </c>
      <c r="F47" s="67">
        <v>16</v>
      </c>
      <c r="G47" s="60"/>
      <c r="H47" s="54"/>
      <c r="I47" s="68"/>
      <c r="J47" s="68"/>
      <c r="K47" s="30" t="s">
        <v>137</v>
      </c>
      <c r="L47" s="100">
        <v>47</v>
      </c>
      <c r="M47" s="100"/>
      <c r="N47" s="70"/>
      <c r="O47" t="s">
        <v>21</v>
      </c>
      <c r="P47" s="50">
        <v>45177.40070601852</v>
      </c>
      <c r="Q47" t="s">
        <v>355</v>
      </c>
      <c r="T47" s="52" t="s">
        <v>356</v>
      </c>
      <c r="U47" s="50">
        <v>45177.40070601852</v>
      </c>
      <c r="V47" s="85" t="str">
        <f>HYPERLINK("https://twitter.com/jiandevision/status/1700080794096853456")</f>
        <v>https://twitter.com/jiandevision/status/1700080794096853456</v>
      </c>
      <c r="Y47" s="52" t="s">
        <v>357</v>
      </c>
      <c r="AA47" s="81">
        <v>1</v>
      </c>
      <c r="AB47" s="35"/>
      <c r="AC47" s="36"/>
      <c r="AD47" s="35"/>
      <c r="AE47" s="36"/>
      <c r="AF47" s="35"/>
      <c r="AG47" s="36"/>
      <c r="AH47" s="35">
        <v>29</v>
      </c>
      <c r="AI47" s="36">
        <v>65.9090909090909</v>
      </c>
      <c r="AJ47" s="35">
        <v>44</v>
      </c>
      <c r="AK47" s="82" t="s">
        <v>358</v>
      </c>
      <c r="AL47" s="85" t="str">
        <f>HYPERLINK("https://pbs.twimg.com/media/F5fmO_GasAAYrA4.jpg")</f>
        <v>https://pbs.twimg.com/media/F5fmO_GasAAYrA4.jpg</v>
      </c>
      <c r="AN47">
        <v>201</v>
      </c>
      <c r="AQ47" t="s">
        <v>142</v>
      </c>
      <c r="AR47" t="b">
        <v>0</v>
      </c>
      <c r="AS47" s="52" t="s">
        <v>143</v>
      </c>
      <c r="AU47">
        <v>78</v>
      </c>
      <c r="AV47" s="52" t="s">
        <v>143</v>
      </c>
      <c r="AW47" s="52" t="s">
        <v>144</v>
      </c>
      <c r="AY47" s="52" t="s">
        <v>357</v>
      </c>
      <c r="BK47" s="125" t="str">
        <f>REPLACE(INDEX(GroupVertices[Group],MATCH(Edges[[#This Row],[Vertex 1]],GroupVertices[Vertex],0)),1,1,"")</f>
        <v>7</v>
      </c>
      <c r="BL47" s="125" t="str">
        <f>REPLACE(INDEX(GroupVertices[Group],MATCH(Edges[[#This Row],[Vertex 2]],GroupVertices[Vertex],0)),1,1,"")</f>
        <v>7</v>
      </c>
      <c r="BM47" s="77">
        <v>45177</v>
      </c>
      <c r="BN47" s="98" t="s">
        <v>359</v>
      </c>
      <c r="BO47" s="35">
        <v>0</v>
      </c>
      <c r="BP47" s="36">
        <v>0</v>
      </c>
      <c r="BQ47" s="35">
        <v>0</v>
      </c>
      <c r="BR47" s="36">
        <v>0</v>
      </c>
      <c r="BS47" s="35">
        <v>0</v>
      </c>
      <c r="BT47" s="36">
        <v>0</v>
      </c>
      <c r="BU47" s="82">
        <v>0</v>
      </c>
      <c r="BV47">
        <v>0</v>
      </c>
      <c r="BW47">
        <v>5594</v>
      </c>
      <c r="BZ47" t="s">
        <v>360</v>
      </c>
      <c r="CD47" t="s">
        <v>361</v>
      </c>
      <c r="CK47" s="52" t="s">
        <v>357</v>
      </c>
      <c r="CM47" s="52" t="s">
        <v>143</v>
      </c>
      <c r="CN47" s="52" t="s">
        <v>362</v>
      </c>
    </row>
    <row r="48" spans="1:92" ht="15">
      <c r="A48" s="49" t="s">
        <v>349</v>
      </c>
      <c r="B48" s="49" t="s">
        <v>354</v>
      </c>
      <c r="C48" s="60" t="s">
        <v>135</v>
      </c>
      <c r="D48" s="66">
        <v>5</v>
      </c>
      <c r="E48" s="99" t="s">
        <v>136</v>
      </c>
      <c r="F48" s="67">
        <v>16</v>
      </c>
      <c r="G48" s="60"/>
      <c r="H48" s="54"/>
      <c r="I48" s="68"/>
      <c r="J48" s="68"/>
      <c r="K48" s="30" t="s">
        <v>137</v>
      </c>
      <c r="L48" s="100">
        <v>48</v>
      </c>
      <c r="M48" s="100"/>
      <c r="N48" s="70"/>
      <c r="O48" t="s">
        <v>152</v>
      </c>
      <c r="P48" s="50">
        <v>45177.7231712963</v>
      </c>
      <c r="Q48" t="s">
        <v>363</v>
      </c>
      <c r="T48" s="52" t="s">
        <v>364</v>
      </c>
      <c r="U48" s="50">
        <v>45177.7231712963</v>
      </c>
      <c r="V48" s="85" t="str">
        <f>HYPERLINK("https://twitter.com/jeremyl2p41/status/1700197649251709252")</f>
        <v>https://twitter.com/jeremyl2p41/status/1700197649251709252</v>
      </c>
      <c r="Y48" s="52" t="s">
        <v>365</v>
      </c>
      <c r="AA48" s="81">
        <v>1</v>
      </c>
      <c r="AB48" s="35"/>
      <c r="AC48" s="36"/>
      <c r="AD48" s="35"/>
      <c r="AE48" s="36"/>
      <c r="AF48" s="35"/>
      <c r="AG48" s="36"/>
      <c r="AH48" s="35">
        <v>14</v>
      </c>
      <c r="AI48" s="36">
        <v>70</v>
      </c>
      <c r="AJ48" s="35">
        <v>20</v>
      </c>
      <c r="AK48" s="82"/>
      <c r="AL48" s="85" t="str">
        <f>HYPERLINK("https://pbs.twimg.com/profile_images/1684639612034244609/IM7wqm5e_normal.jpg")</f>
        <v>https://pbs.twimg.com/profile_images/1684639612034244609/IM7wqm5e_normal.jpg</v>
      </c>
      <c r="AN48">
        <v>0</v>
      </c>
      <c r="AQ48" t="s">
        <v>142</v>
      </c>
      <c r="AS48" s="52" t="s">
        <v>143</v>
      </c>
      <c r="AU48">
        <v>78</v>
      </c>
      <c r="AV48" s="52" t="s">
        <v>357</v>
      </c>
      <c r="AW48" s="52" t="s">
        <v>144</v>
      </c>
      <c r="AY48" s="52" t="s">
        <v>357</v>
      </c>
      <c r="BK48" s="125" t="str">
        <f>REPLACE(INDEX(GroupVertices[Group],MATCH(Edges[[#This Row],[Vertex 1]],GroupVertices[Vertex],0)),1,1,"")</f>
        <v>7</v>
      </c>
      <c r="BL48" s="125" t="str">
        <f>REPLACE(INDEX(GroupVertices[Group],MATCH(Edges[[#This Row],[Vertex 2]],GroupVertices[Vertex],0)),1,1,"")</f>
        <v>7</v>
      </c>
      <c r="BM48" s="77">
        <v>45177</v>
      </c>
      <c r="BN48" s="98" t="s">
        <v>366</v>
      </c>
      <c r="BO48" s="35">
        <v>0</v>
      </c>
      <c r="BP48" s="36">
        <v>0</v>
      </c>
      <c r="BQ48" s="35">
        <v>0</v>
      </c>
      <c r="BR48" s="36">
        <v>0</v>
      </c>
      <c r="BS48" s="35">
        <v>0</v>
      </c>
      <c r="BT48" s="36">
        <v>0</v>
      </c>
      <c r="BU48" s="82">
        <v>0</v>
      </c>
      <c r="BV48">
        <v>0</v>
      </c>
      <c r="BX48" t="s">
        <v>354</v>
      </c>
      <c r="CK48" s="52" t="s">
        <v>365</v>
      </c>
      <c r="CM48" s="52" t="s">
        <v>143</v>
      </c>
      <c r="CN48" s="52" t="s">
        <v>353</v>
      </c>
    </row>
    <row r="49" spans="1:92" ht="15">
      <c r="A49" s="49" t="s">
        <v>349</v>
      </c>
      <c r="B49" s="49" t="s">
        <v>367</v>
      </c>
      <c r="C49" s="60" t="s">
        <v>135</v>
      </c>
      <c r="D49" s="66">
        <v>5</v>
      </c>
      <c r="E49" s="99" t="s">
        <v>136</v>
      </c>
      <c r="F49" s="67">
        <v>16</v>
      </c>
      <c r="G49" s="60"/>
      <c r="H49" s="54"/>
      <c r="I49" s="68"/>
      <c r="J49" s="68"/>
      <c r="K49" s="30" t="s">
        <v>137</v>
      </c>
      <c r="L49" s="100">
        <v>49</v>
      </c>
      <c r="M49" s="100"/>
      <c r="N49" s="70"/>
      <c r="O49" t="s">
        <v>152</v>
      </c>
      <c r="P49" s="50">
        <v>45182.323645833334</v>
      </c>
      <c r="Q49" t="s">
        <v>368</v>
      </c>
      <c r="U49" s="50">
        <v>45182.323645833334</v>
      </c>
      <c r="V49" s="85" t="str">
        <f>HYPERLINK("https://twitter.com/jeremyl2p41/status/1701864805521641919")</f>
        <v>https://twitter.com/jeremyl2p41/status/1701864805521641919</v>
      </c>
      <c r="Y49" s="52" t="s">
        <v>369</v>
      </c>
      <c r="AA49" s="81">
        <v>1</v>
      </c>
      <c r="AB49" s="35"/>
      <c r="AC49" s="36"/>
      <c r="AD49" s="35"/>
      <c r="AE49" s="36"/>
      <c r="AF49" s="35"/>
      <c r="AG49" s="36"/>
      <c r="AH49" s="35">
        <v>13</v>
      </c>
      <c r="AI49" s="36">
        <v>68.42105263157895</v>
      </c>
      <c r="AJ49" s="35">
        <v>19</v>
      </c>
      <c r="AK49" s="82"/>
      <c r="AL49" s="85" t="str">
        <f>HYPERLINK("https://pbs.twimg.com/profile_images/1684639612034244609/IM7wqm5e_normal.jpg")</f>
        <v>https://pbs.twimg.com/profile_images/1684639612034244609/IM7wqm5e_normal.jpg</v>
      </c>
      <c r="AN49">
        <v>0</v>
      </c>
      <c r="AQ49" t="s">
        <v>142</v>
      </c>
      <c r="AR49" t="b">
        <v>0</v>
      </c>
      <c r="AS49" s="52" t="s">
        <v>143</v>
      </c>
      <c r="AU49">
        <v>318</v>
      </c>
      <c r="AV49" s="52" t="s">
        <v>370</v>
      </c>
      <c r="AW49" s="52" t="s">
        <v>144</v>
      </c>
      <c r="AY49" s="52" t="s">
        <v>370</v>
      </c>
      <c r="BK49" s="125" t="str">
        <f>REPLACE(INDEX(GroupVertices[Group],MATCH(Edges[[#This Row],[Vertex 1]],GroupVertices[Vertex],0)),1,1,"")</f>
        <v>7</v>
      </c>
      <c r="BL49" s="125" t="str">
        <f>REPLACE(INDEX(GroupVertices[Group],MATCH(Edges[[#This Row],[Vertex 2]],GroupVertices[Vertex],0)),1,1,"")</f>
        <v>7</v>
      </c>
      <c r="BM49" s="77">
        <v>45182</v>
      </c>
      <c r="BN49" s="98" t="s">
        <v>371</v>
      </c>
      <c r="BO49" s="35">
        <v>0</v>
      </c>
      <c r="BP49" s="36">
        <v>0</v>
      </c>
      <c r="BQ49" s="35">
        <v>0</v>
      </c>
      <c r="BR49" s="36">
        <v>0</v>
      </c>
      <c r="BS49" s="35">
        <v>0</v>
      </c>
      <c r="BT49" s="36">
        <v>0</v>
      </c>
      <c r="BU49" s="82">
        <v>0</v>
      </c>
      <c r="BV49">
        <v>0</v>
      </c>
      <c r="BX49" t="s">
        <v>367</v>
      </c>
      <c r="CK49" s="52" t="s">
        <v>369</v>
      </c>
      <c r="CM49" s="52" t="s">
        <v>143</v>
      </c>
      <c r="CN49" s="52" t="s">
        <v>353</v>
      </c>
    </row>
    <row r="50" spans="1:92" ht="15">
      <c r="A50" s="49" t="s">
        <v>372</v>
      </c>
      <c r="B50" s="49" t="s">
        <v>372</v>
      </c>
      <c r="C50" s="60" t="s">
        <v>135</v>
      </c>
      <c r="D50" s="66">
        <v>5</v>
      </c>
      <c r="E50" s="99" t="s">
        <v>136</v>
      </c>
      <c r="F50" s="67">
        <v>16</v>
      </c>
      <c r="G50" s="60"/>
      <c r="H50" s="54"/>
      <c r="I50" s="68"/>
      <c r="J50" s="68"/>
      <c r="K50" s="30" t="s">
        <v>137</v>
      </c>
      <c r="L50" s="100">
        <v>50</v>
      </c>
      <c r="M50" s="100"/>
      <c r="N50" s="70"/>
      <c r="O50" t="s">
        <v>21</v>
      </c>
      <c r="P50" s="50">
        <v>45176.33273148148</v>
      </c>
      <c r="Q50" t="s">
        <v>373</v>
      </c>
      <c r="U50" s="50">
        <v>45176.33273148148</v>
      </c>
      <c r="V50" s="85" t="str">
        <f>HYPERLINK("https://twitter.com/savichtakes/status/1699693770126590183")</f>
        <v>https://twitter.com/savichtakes/status/1699693770126590183</v>
      </c>
      <c r="Y50" s="52" t="s">
        <v>374</v>
      </c>
      <c r="AA50" s="81">
        <v>1</v>
      </c>
      <c r="AB50" s="35"/>
      <c r="AC50" s="36"/>
      <c r="AD50" s="35"/>
      <c r="AE50" s="36"/>
      <c r="AF50" s="35"/>
      <c r="AG50" s="36"/>
      <c r="AH50" s="35">
        <v>23</v>
      </c>
      <c r="AI50" s="36">
        <v>67.6470588235294</v>
      </c>
      <c r="AJ50" s="35">
        <v>34</v>
      </c>
      <c r="AK50" s="82" t="s">
        <v>375</v>
      </c>
      <c r="AL50" s="85" t="str">
        <f>HYPERLINK("https://pbs.twimg.com/media/F5aGZ5KXUAAQfZk.jpg")</f>
        <v>https://pbs.twimg.com/media/F5aGZ5KXUAAQfZk.jpg</v>
      </c>
      <c r="AN50">
        <v>52603</v>
      </c>
      <c r="AQ50" t="s">
        <v>142</v>
      </c>
      <c r="AR50" t="b">
        <v>0</v>
      </c>
      <c r="AS50" s="52" t="s">
        <v>143</v>
      </c>
      <c r="AU50">
        <v>6231</v>
      </c>
      <c r="AV50" s="52" t="s">
        <v>143</v>
      </c>
      <c r="AW50" s="52" t="s">
        <v>157</v>
      </c>
      <c r="AY50" s="52" t="s">
        <v>374</v>
      </c>
      <c r="BK50" s="125" t="str">
        <f>REPLACE(INDEX(GroupVertices[Group],MATCH(Edges[[#This Row],[Vertex 1]],GroupVertices[Vertex],0)),1,1,"")</f>
        <v>3</v>
      </c>
      <c r="BL50" s="125" t="str">
        <f>REPLACE(INDEX(GroupVertices[Group],MATCH(Edges[[#This Row],[Vertex 2]],GroupVertices[Vertex],0)),1,1,"")</f>
        <v>3</v>
      </c>
      <c r="BM50" s="77">
        <v>45176</v>
      </c>
      <c r="BN50" s="98" t="s">
        <v>376</v>
      </c>
      <c r="BO50" s="35">
        <v>0</v>
      </c>
      <c r="BP50" s="36">
        <v>0</v>
      </c>
      <c r="BQ50" s="35">
        <v>0</v>
      </c>
      <c r="BR50" s="36">
        <v>0</v>
      </c>
      <c r="BS50" s="35">
        <v>0</v>
      </c>
      <c r="BT50" s="36">
        <v>0</v>
      </c>
      <c r="BU50" s="82">
        <v>1132</v>
      </c>
      <c r="BV50">
        <v>3924</v>
      </c>
      <c r="BW50">
        <v>16421023</v>
      </c>
      <c r="BZ50" t="s">
        <v>377</v>
      </c>
      <c r="CD50" t="s">
        <v>378</v>
      </c>
      <c r="CE50">
        <v>39991</v>
      </c>
      <c r="CH50">
        <v>1679514</v>
      </c>
      <c r="CK50" s="52" t="s">
        <v>374</v>
      </c>
      <c r="CM50" s="52" t="s">
        <v>143</v>
      </c>
      <c r="CN50" s="52" t="s">
        <v>379</v>
      </c>
    </row>
    <row r="51" spans="1:92" ht="15">
      <c r="A51" s="49" t="s">
        <v>380</v>
      </c>
      <c r="B51" s="49" t="s">
        <v>372</v>
      </c>
      <c r="C51" s="60" t="s">
        <v>135</v>
      </c>
      <c r="D51" s="66">
        <v>5</v>
      </c>
      <c r="E51" s="99" t="s">
        <v>136</v>
      </c>
      <c r="F51" s="67">
        <v>16</v>
      </c>
      <c r="G51" s="60"/>
      <c r="H51" s="54"/>
      <c r="I51" s="68"/>
      <c r="J51" s="68"/>
      <c r="K51" s="30" t="s">
        <v>137</v>
      </c>
      <c r="L51" s="100">
        <v>51</v>
      </c>
      <c r="M51" s="100"/>
      <c r="N51" s="70"/>
      <c r="O51" t="s">
        <v>152</v>
      </c>
      <c r="P51" s="50">
        <v>45176.513136574074</v>
      </c>
      <c r="Q51" t="s">
        <v>381</v>
      </c>
      <c r="U51" s="50">
        <v>45176.513136574074</v>
      </c>
      <c r="V51" s="85" t="str">
        <f>HYPERLINK("https://twitter.com/jeremyl_7/status/1699759146600448462")</f>
        <v>https://twitter.com/jeremyl_7/status/1699759146600448462</v>
      </c>
      <c r="Y51" s="52" t="s">
        <v>382</v>
      </c>
      <c r="AA51" s="81">
        <v>1</v>
      </c>
      <c r="AB51" s="35"/>
      <c r="AC51" s="36"/>
      <c r="AD51" s="35"/>
      <c r="AE51" s="36"/>
      <c r="AF51" s="35"/>
      <c r="AG51" s="36"/>
      <c r="AH51" s="35">
        <v>14</v>
      </c>
      <c r="AI51" s="36">
        <v>60.869565217391305</v>
      </c>
      <c r="AJ51" s="35">
        <v>23</v>
      </c>
      <c r="AK51" s="82"/>
      <c r="AL51" s="85" t="str">
        <f>HYPERLINK("https://pbs.twimg.com/profile_images/1420443557463302145/alGwqDfE_normal.jpg")</f>
        <v>https://pbs.twimg.com/profile_images/1420443557463302145/alGwqDfE_normal.jpg</v>
      </c>
      <c r="AN51">
        <v>0</v>
      </c>
      <c r="AQ51" t="s">
        <v>142</v>
      </c>
      <c r="AS51" s="52" t="s">
        <v>143</v>
      </c>
      <c r="AU51">
        <v>6231</v>
      </c>
      <c r="AV51" s="52" t="s">
        <v>374</v>
      </c>
      <c r="AW51" s="52" t="s">
        <v>157</v>
      </c>
      <c r="AY51" s="52" t="s">
        <v>374</v>
      </c>
      <c r="BK51" s="125" t="str">
        <f>REPLACE(INDEX(GroupVertices[Group],MATCH(Edges[[#This Row],[Vertex 1]],GroupVertices[Vertex],0)),1,1,"")</f>
        <v>3</v>
      </c>
      <c r="BL51" s="125" t="str">
        <f>REPLACE(INDEX(GroupVertices[Group],MATCH(Edges[[#This Row],[Vertex 2]],GroupVertices[Vertex],0)),1,1,"")</f>
        <v>3</v>
      </c>
      <c r="BM51" s="77">
        <v>45176</v>
      </c>
      <c r="BN51" s="98" t="s">
        <v>383</v>
      </c>
      <c r="BO51" s="35">
        <v>0</v>
      </c>
      <c r="BP51" s="36">
        <v>0</v>
      </c>
      <c r="BQ51" s="35">
        <v>0</v>
      </c>
      <c r="BR51" s="36">
        <v>0</v>
      </c>
      <c r="BS51" s="35">
        <v>0</v>
      </c>
      <c r="BT51" s="36">
        <v>0</v>
      </c>
      <c r="BU51" s="82">
        <v>0</v>
      </c>
      <c r="BV51">
        <v>0</v>
      </c>
      <c r="BX51" t="s">
        <v>372</v>
      </c>
      <c r="CK51" s="52" t="s">
        <v>382</v>
      </c>
      <c r="CM51" s="52" t="s">
        <v>143</v>
      </c>
      <c r="CN51">
        <v>115235401</v>
      </c>
    </row>
    <row r="52" spans="1:92" ht="15">
      <c r="A52" s="49" t="s">
        <v>380</v>
      </c>
      <c r="B52" s="49" t="s">
        <v>250</v>
      </c>
      <c r="C52" s="60" t="s">
        <v>135</v>
      </c>
      <c r="D52" s="66">
        <v>5</v>
      </c>
      <c r="E52" s="99" t="s">
        <v>136</v>
      </c>
      <c r="F52" s="67">
        <v>16</v>
      </c>
      <c r="G52" s="60"/>
      <c r="H52" s="54"/>
      <c r="I52" s="68"/>
      <c r="J52" s="68"/>
      <c r="K52" s="30" t="s">
        <v>137</v>
      </c>
      <c r="L52" s="100">
        <v>52</v>
      </c>
      <c r="M52" s="100"/>
      <c r="N52" s="70"/>
      <c r="O52" t="s">
        <v>152</v>
      </c>
      <c r="P52" s="50">
        <v>45180.51545138889</v>
      </c>
      <c r="Q52" t="s">
        <v>384</v>
      </c>
      <c r="U52" s="50">
        <v>45180.51545138889</v>
      </c>
      <c r="V52" s="85" t="str">
        <f>HYPERLINK("https://twitter.com/jeremyl_7/status/1701209537154261134")</f>
        <v>https://twitter.com/jeremyl_7/status/1701209537154261134</v>
      </c>
      <c r="Y52" s="52" t="s">
        <v>385</v>
      </c>
      <c r="AA52" s="81">
        <v>1</v>
      </c>
      <c r="AB52" s="35"/>
      <c r="AC52" s="36"/>
      <c r="AD52" s="35"/>
      <c r="AE52" s="36"/>
      <c r="AF52" s="35"/>
      <c r="AG52" s="36"/>
      <c r="AH52" s="35">
        <v>4</v>
      </c>
      <c r="AI52" s="36">
        <v>57.142857142857146</v>
      </c>
      <c r="AJ52" s="35">
        <v>7</v>
      </c>
      <c r="AK52" s="82"/>
      <c r="AL52" s="85" t="str">
        <f>HYPERLINK("https://pbs.twimg.com/profile_images/1420443557463302145/alGwqDfE_normal.jpg")</f>
        <v>https://pbs.twimg.com/profile_images/1420443557463302145/alGwqDfE_normal.jpg</v>
      </c>
      <c r="AN52">
        <v>0</v>
      </c>
      <c r="AQ52" t="s">
        <v>142</v>
      </c>
      <c r="AS52" s="52" t="s">
        <v>244</v>
      </c>
      <c r="AU52">
        <v>4036</v>
      </c>
      <c r="AV52" s="52" t="s">
        <v>253</v>
      </c>
      <c r="AW52" s="52" t="s">
        <v>157</v>
      </c>
      <c r="AY52" s="52" t="s">
        <v>253</v>
      </c>
      <c r="BK52" s="125" t="str">
        <f>REPLACE(INDEX(GroupVertices[Group],MATCH(Edges[[#This Row],[Vertex 1]],GroupVertices[Vertex],0)),1,1,"")</f>
        <v>3</v>
      </c>
      <c r="BL52" s="125" t="str">
        <f>REPLACE(INDEX(GroupVertices[Group],MATCH(Edges[[#This Row],[Vertex 2]],GroupVertices[Vertex],0)),1,1,"")</f>
        <v>3</v>
      </c>
      <c r="BM52" s="77">
        <v>45180</v>
      </c>
      <c r="BN52" s="98" t="s">
        <v>386</v>
      </c>
      <c r="BO52" s="35">
        <v>0</v>
      </c>
      <c r="BP52" s="36">
        <v>0</v>
      </c>
      <c r="BQ52" s="35">
        <v>0</v>
      </c>
      <c r="BR52" s="36">
        <v>0</v>
      </c>
      <c r="BS52" s="35">
        <v>0</v>
      </c>
      <c r="BT52" s="36">
        <v>0</v>
      </c>
      <c r="BU52" s="82">
        <v>0</v>
      </c>
      <c r="BV52">
        <v>0</v>
      </c>
      <c r="BX52" t="s">
        <v>250</v>
      </c>
      <c r="CK52" s="52" t="s">
        <v>385</v>
      </c>
      <c r="CM52" s="52" t="s">
        <v>143</v>
      </c>
      <c r="CN52">
        <v>115235401</v>
      </c>
    </row>
    <row r="53" spans="1:92" ht="15">
      <c r="A53" s="49" t="s">
        <v>380</v>
      </c>
      <c r="B53" s="49" t="s">
        <v>387</v>
      </c>
      <c r="C53" s="60" t="s">
        <v>135</v>
      </c>
      <c r="D53" s="66">
        <v>6.875</v>
      </c>
      <c r="E53" s="99" t="s">
        <v>180</v>
      </c>
      <c r="F53" s="67">
        <v>15.846153846153847</v>
      </c>
      <c r="G53" s="60"/>
      <c r="H53" s="54"/>
      <c r="I53" s="68"/>
      <c r="J53" s="68"/>
      <c r="K53" s="30" t="s">
        <v>137</v>
      </c>
      <c r="L53" s="100">
        <v>53</v>
      </c>
      <c r="M53" s="100"/>
      <c r="N53" s="70"/>
      <c r="O53" t="s">
        <v>152</v>
      </c>
      <c r="P53" s="50">
        <v>45180.59809027778</v>
      </c>
      <c r="Q53" t="s">
        <v>388</v>
      </c>
      <c r="U53" s="50">
        <v>45180.59809027778</v>
      </c>
      <c r="V53" s="85" t="str">
        <f>HYPERLINK("https://twitter.com/jeremyl_7/status/1701239484614943000")</f>
        <v>https://twitter.com/jeremyl_7/status/1701239484614943000</v>
      </c>
      <c r="Y53" s="52" t="s">
        <v>389</v>
      </c>
      <c r="AA53" s="81">
        <v>4</v>
      </c>
      <c r="AB53" s="35"/>
      <c r="AC53" s="36"/>
      <c r="AD53" s="35"/>
      <c r="AE53" s="36"/>
      <c r="AF53" s="35"/>
      <c r="AG53" s="36"/>
      <c r="AH53" s="35">
        <v>10</v>
      </c>
      <c r="AI53" s="36">
        <v>76.92307692307692</v>
      </c>
      <c r="AJ53" s="35">
        <v>13</v>
      </c>
      <c r="AK53" s="82"/>
      <c r="AL53" s="85" t="str">
        <f>HYPERLINK("https://pbs.twimg.com/profile_images/1420443557463302145/alGwqDfE_normal.jpg")</f>
        <v>https://pbs.twimg.com/profile_images/1420443557463302145/alGwqDfE_normal.jpg</v>
      </c>
      <c r="AN53">
        <v>0</v>
      </c>
      <c r="AQ53" t="s">
        <v>142</v>
      </c>
      <c r="AS53" s="52" t="s">
        <v>143</v>
      </c>
      <c r="AU53">
        <v>5</v>
      </c>
      <c r="AV53" s="52" t="s">
        <v>390</v>
      </c>
      <c r="AW53" s="52" t="s">
        <v>157</v>
      </c>
      <c r="AY53" s="52" t="s">
        <v>390</v>
      </c>
      <c r="BK53" s="125" t="str">
        <f>REPLACE(INDEX(GroupVertices[Group],MATCH(Edges[[#This Row],[Vertex 1]],GroupVertices[Vertex],0)),1,1,"")</f>
        <v>3</v>
      </c>
      <c r="BL53" s="125" t="str">
        <f>REPLACE(INDEX(GroupVertices[Group],MATCH(Edges[[#This Row],[Vertex 2]],GroupVertices[Vertex],0)),1,1,"")</f>
        <v>3</v>
      </c>
      <c r="BM53" s="77">
        <v>45180</v>
      </c>
      <c r="BN53" s="98" t="s">
        <v>391</v>
      </c>
      <c r="BO53" s="35">
        <v>0</v>
      </c>
      <c r="BP53" s="36">
        <v>0</v>
      </c>
      <c r="BQ53" s="35">
        <v>0</v>
      </c>
      <c r="BR53" s="36">
        <v>0</v>
      </c>
      <c r="BS53" s="35">
        <v>0</v>
      </c>
      <c r="BT53" s="36">
        <v>0</v>
      </c>
      <c r="BU53" s="82">
        <v>0</v>
      </c>
      <c r="BV53">
        <v>0</v>
      </c>
      <c r="BX53" t="s">
        <v>387</v>
      </c>
      <c r="CK53" s="52" t="s">
        <v>389</v>
      </c>
      <c r="CM53" s="52" t="s">
        <v>143</v>
      </c>
      <c r="CN53">
        <v>115235401</v>
      </c>
    </row>
    <row r="54" spans="1:92" ht="15">
      <c r="A54" s="49" t="s">
        <v>380</v>
      </c>
      <c r="B54" s="49" t="s">
        <v>387</v>
      </c>
      <c r="C54" s="60" t="s">
        <v>135</v>
      </c>
      <c r="D54" s="66">
        <v>6.875</v>
      </c>
      <c r="E54" s="99" t="s">
        <v>180</v>
      </c>
      <c r="F54" s="67">
        <v>15.846153846153847</v>
      </c>
      <c r="G54" s="60"/>
      <c r="H54" s="54"/>
      <c r="I54" s="68"/>
      <c r="J54" s="68"/>
      <c r="K54" s="30" t="s">
        <v>137</v>
      </c>
      <c r="L54" s="100">
        <v>54</v>
      </c>
      <c r="M54" s="100"/>
      <c r="N54" s="70"/>
      <c r="O54" t="s">
        <v>152</v>
      </c>
      <c r="P54" s="50">
        <v>45181.81055555555</v>
      </c>
      <c r="Q54" t="s">
        <v>392</v>
      </c>
      <c r="U54" s="50">
        <v>45181.81055555555</v>
      </c>
      <c r="V54" s="85" t="str">
        <f>HYPERLINK("https://twitter.com/jeremyl_7/status/1701678870221509074")</f>
        <v>https://twitter.com/jeremyl_7/status/1701678870221509074</v>
      </c>
      <c r="Y54" s="52" t="s">
        <v>393</v>
      </c>
      <c r="AA54" s="81">
        <v>4</v>
      </c>
      <c r="AB54" s="35"/>
      <c r="AC54" s="36"/>
      <c r="AD54" s="35"/>
      <c r="AE54" s="36"/>
      <c r="AF54" s="35"/>
      <c r="AG54" s="36"/>
      <c r="AH54" s="35">
        <v>3</v>
      </c>
      <c r="AI54" s="36">
        <v>60</v>
      </c>
      <c r="AJ54" s="35">
        <v>5</v>
      </c>
      <c r="AK54" s="82"/>
      <c r="AL54" s="85" t="str">
        <f>HYPERLINK("https://pbs.twimg.com/profile_images/1420443557463302145/alGwqDfE_normal.jpg")</f>
        <v>https://pbs.twimg.com/profile_images/1420443557463302145/alGwqDfE_normal.jpg</v>
      </c>
      <c r="AN54">
        <v>0</v>
      </c>
      <c r="AQ54" t="s">
        <v>142</v>
      </c>
      <c r="AS54" s="52" t="s">
        <v>394</v>
      </c>
      <c r="AU54">
        <v>834</v>
      </c>
      <c r="AV54" s="52" t="s">
        <v>395</v>
      </c>
      <c r="AW54" s="52" t="s">
        <v>157</v>
      </c>
      <c r="AY54" s="52" t="s">
        <v>395</v>
      </c>
      <c r="BK54" s="125" t="str">
        <f>REPLACE(INDEX(GroupVertices[Group],MATCH(Edges[[#This Row],[Vertex 1]],GroupVertices[Vertex],0)),1,1,"")</f>
        <v>3</v>
      </c>
      <c r="BL54" s="125" t="str">
        <f>REPLACE(INDEX(GroupVertices[Group],MATCH(Edges[[#This Row],[Vertex 2]],GroupVertices[Vertex],0)),1,1,"")</f>
        <v>3</v>
      </c>
      <c r="BM54" s="77">
        <v>45181</v>
      </c>
      <c r="BN54" s="98" t="s">
        <v>396</v>
      </c>
      <c r="BO54" s="35">
        <v>0</v>
      </c>
      <c r="BP54" s="36">
        <v>0</v>
      </c>
      <c r="BQ54" s="35">
        <v>0</v>
      </c>
      <c r="BR54" s="36">
        <v>0</v>
      </c>
      <c r="BS54" s="35">
        <v>0</v>
      </c>
      <c r="BT54" s="36">
        <v>0</v>
      </c>
      <c r="BU54" s="82">
        <v>0</v>
      </c>
      <c r="BV54">
        <v>0</v>
      </c>
      <c r="BX54" t="s">
        <v>387</v>
      </c>
      <c r="CK54" s="52" t="s">
        <v>393</v>
      </c>
      <c r="CM54" s="52" t="s">
        <v>143</v>
      </c>
      <c r="CN54">
        <v>115235401</v>
      </c>
    </row>
    <row r="55" spans="1:92" ht="15">
      <c r="A55" s="49" t="s">
        <v>380</v>
      </c>
      <c r="B55" s="49" t="s">
        <v>397</v>
      </c>
      <c r="C55" s="60" t="s">
        <v>135</v>
      </c>
      <c r="D55" s="66">
        <v>5</v>
      </c>
      <c r="E55" s="99" t="s">
        <v>136</v>
      </c>
      <c r="F55" s="67">
        <v>16</v>
      </c>
      <c r="G55" s="60"/>
      <c r="H55" s="54"/>
      <c r="I55" s="68"/>
      <c r="J55" s="68"/>
      <c r="K55" s="30" t="s">
        <v>137</v>
      </c>
      <c r="L55" s="100">
        <v>55</v>
      </c>
      <c r="M55" s="100"/>
      <c r="N55" s="70"/>
      <c r="O55" t="s">
        <v>152</v>
      </c>
      <c r="P55" s="50">
        <v>45181.81019675926</v>
      </c>
      <c r="Q55" t="s">
        <v>398</v>
      </c>
      <c r="U55" s="50">
        <v>45181.81019675926</v>
      </c>
      <c r="V55" s="85" t="str">
        <f>HYPERLINK("https://twitter.com/jeremyl_7/status/1701678737362702488")</f>
        <v>https://twitter.com/jeremyl_7/status/1701678737362702488</v>
      </c>
      <c r="Y55" s="52" t="s">
        <v>399</v>
      </c>
      <c r="AA55" s="81">
        <v>1</v>
      </c>
      <c r="AB55" s="35"/>
      <c r="AC55" s="36"/>
      <c r="AD55" s="35"/>
      <c r="AE55" s="36"/>
      <c r="AF55" s="35"/>
      <c r="AG55" s="36"/>
      <c r="AH55" s="35">
        <v>7</v>
      </c>
      <c r="AI55" s="36">
        <v>70</v>
      </c>
      <c r="AJ55" s="35">
        <v>10</v>
      </c>
      <c r="AK55" s="82" t="s">
        <v>400</v>
      </c>
      <c r="AL55" s="85" t="str">
        <f>HYPERLINK("https://pbs.twimg.com/ext_tw_video_thumb/1701611202005352448/pu/img/cBVLuEF44szBP0_Y.jpg")</f>
        <v>https://pbs.twimg.com/ext_tw_video_thumb/1701611202005352448/pu/img/cBVLuEF44szBP0_Y.jpg</v>
      </c>
      <c r="AN55">
        <v>0</v>
      </c>
      <c r="AQ55" t="s">
        <v>142</v>
      </c>
      <c r="AR55" t="b">
        <v>0</v>
      </c>
      <c r="AS55" s="52" t="s">
        <v>143</v>
      </c>
      <c r="AU55">
        <v>7261</v>
      </c>
      <c r="AV55" s="52" t="s">
        <v>401</v>
      </c>
      <c r="AW55" s="52" t="s">
        <v>157</v>
      </c>
      <c r="AY55" s="52" t="s">
        <v>401</v>
      </c>
      <c r="BK55" s="125" t="str">
        <f>REPLACE(INDEX(GroupVertices[Group],MATCH(Edges[[#This Row],[Vertex 1]],GroupVertices[Vertex],0)),1,1,"")</f>
        <v>3</v>
      </c>
      <c r="BL55" s="125" t="str">
        <f>REPLACE(INDEX(GroupVertices[Group],MATCH(Edges[[#This Row],[Vertex 2]],GroupVertices[Vertex],0)),1,1,"")</f>
        <v>3</v>
      </c>
      <c r="BM55" s="77">
        <v>45181</v>
      </c>
      <c r="BN55" s="98" t="s">
        <v>402</v>
      </c>
      <c r="BO55" s="35">
        <v>0</v>
      </c>
      <c r="BP55" s="36">
        <v>0</v>
      </c>
      <c r="BQ55" s="35">
        <v>0</v>
      </c>
      <c r="BR55" s="36">
        <v>0</v>
      </c>
      <c r="BS55" s="35">
        <v>0</v>
      </c>
      <c r="BT55" s="36">
        <v>0</v>
      </c>
      <c r="BU55" s="82">
        <v>0</v>
      </c>
      <c r="BV55">
        <v>0</v>
      </c>
      <c r="BX55" t="s">
        <v>397</v>
      </c>
      <c r="BZ55" t="s">
        <v>247</v>
      </c>
      <c r="CD55" t="s">
        <v>403</v>
      </c>
      <c r="CE55">
        <v>90091</v>
      </c>
      <c r="CH55">
        <v>842554</v>
      </c>
      <c r="CK55" s="52" t="s">
        <v>399</v>
      </c>
      <c r="CM55" s="52" t="s">
        <v>143</v>
      </c>
      <c r="CN55">
        <v>115235401</v>
      </c>
    </row>
    <row r="56" spans="1:92" ht="15">
      <c r="A56" s="49" t="s">
        <v>404</v>
      </c>
      <c r="B56" s="49" t="s">
        <v>404</v>
      </c>
      <c r="C56" s="60" t="s">
        <v>135</v>
      </c>
      <c r="D56" s="66">
        <v>5</v>
      </c>
      <c r="E56" s="99" t="s">
        <v>136</v>
      </c>
      <c r="F56" s="67">
        <v>16</v>
      </c>
      <c r="G56" s="60"/>
      <c r="H56" s="54"/>
      <c r="I56" s="68"/>
      <c r="J56" s="68"/>
      <c r="K56" s="30" t="s">
        <v>137</v>
      </c>
      <c r="L56" s="100">
        <v>56</v>
      </c>
      <c r="M56" s="100"/>
      <c r="N56" s="70"/>
      <c r="O56" t="s">
        <v>21</v>
      </c>
      <c r="P56" s="50">
        <v>45178.180555555555</v>
      </c>
      <c r="Q56" t="s">
        <v>405</v>
      </c>
      <c r="R56" s="85" t="str">
        <f>HYPERLINK("https://t8ipkovzsy.feishu.cn/sheets/ZaaVs8vDPhkcrWttYTXc9bgmnhh?from=from_copylink")</f>
        <v>https://t8ipkovzsy.feishu.cn/sheets/ZaaVs8vDPhkcrWttYTXc9bgmnhh?from=from_copylink</v>
      </c>
      <c r="S56" t="s">
        <v>406</v>
      </c>
      <c r="U56" s="50">
        <v>45178.180555555555</v>
      </c>
      <c r="V56" s="85" t="str">
        <f>HYPERLINK("https://twitter.com/crypto_qianxun/status/1700363398964240587")</f>
        <v>https://twitter.com/crypto_qianxun/status/1700363398964240587</v>
      </c>
      <c r="Y56" s="52" t="s">
        <v>407</v>
      </c>
      <c r="AA56" s="81">
        <v>1</v>
      </c>
      <c r="AB56" s="35"/>
      <c r="AC56" s="36"/>
      <c r="AD56" s="35"/>
      <c r="AE56" s="36"/>
      <c r="AF56" s="35"/>
      <c r="AG56" s="36"/>
      <c r="AH56" s="35">
        <v>11</v>
      </c>
      <c r="AI56" s="36">
        <v>100</v>
      </c>
      <c r="AJ56" s="35">
        <v>11</v>
      </c>
      <c r="AK56" s="82" t="s">
        <v>408</v>
      </c>
      <c r="AL56" s="85" t="str">
        <f>HYPERLINK("https://pbs.twimg.com/media/F5ULPtaacAAp1Cp.jpg")</f>
        <v>https://pbs.twimg.com/media/F5ULPtaacAAp1Cp.jpg</v>
      </c>
      <c r="AN56">
        <v>1832</v>
      </c>
      <c r="AQ56" t="s">
        <v>193</v>
      </c>
      <c r="AR56" t="b">
        <v>0</v>
      </c>
      <c r="AS56" s="52" t="s">
        <v>143</v>
      </c>
      <c r="AU56">
        <v>730</v>
      </c>
      <c r="AV56" s="52" t="s">
        <v>143</v>
      </c>
      <c r="AW56" s="52" t="s">
        <v>144</v>
      </c>
      <c r="AY56" s="52" t="s">
        <v>407</v>
      </c>
      <c r="BK56" s="125" t="str">
        <f>REPLACE(INDEX(GroupVertices[Group],MATCH(Edges[[#This Row],[Vertex 1]],GroupVertices[Vertex],0)),1,1,"")</f>
        <v>1</v>
      </c>
      <c r="BL56" s="125" t="str">
        <f>REPLACE(INDEX(GroupVertices[Group],MATCH(Edges[[#This Row],[Vertex 2]],GroupVertices[Vertex],0)),1,1,"")</f>
        <v>1</v>
      </c>
      <c r="BM56" s="77">
        <v>45178</v>
      </c>
      <c r="BN56" s="98" t="s">
        <v>409</v>
      </c>
      <c r="BO56" s="35">
        <v>0</v>
      </c>
      <c r="BP56" s="36">
        <v>0</v>
      </c>
      <c r="BQ56" s="35">
        <v>0</v>
      </c>
      <c r="BR56" s="36">
        <v>0</v>
      </c>
      <c r="BS56" s="35">
        <v>0</v>
      </c>
      <c r="BT56" s="36">
        <v>0</v>
      </c>
      <c r="BU56" s="82">
        <v>36</v>
      </c>
      <c r="BV56">
        <v>10</v>
      </c>
      <c r="BW56">
        <v>138376</v>
      </c>
      <c r="BZ56" t="s">
        <v>159</v>
      </c>
      <c r="CD56" t="s">
        <v>410</v>
      </c>
      <c r="CK56" s="52" t="s">
        <v>407</v>
      </c>
      <c r="CM56" s="52" t="s">
        <v>143</v>
      </c>
      <c r="CN56" s="52" t="s">
        <v>411</v>
      </c>
    </row>
    <row r="57" spans="1:92" ht="15">
      <c r="A57" s="49" t="s">
        <v>412</v>
      </c>
      <c r="B57" s="49" t="s">
        <v>404</v>
      </c>
      <c r="C57" s="60" t="s">
        <v>135</v>
      </c>
      <c r="D57" s="66">
        <v>5</v>
      </c>
      <c r="E57" s="99" t="s">
        <v>136</v>
      </c>
      <c r="F57" s="67">
        <v>16</v>
      </c>
      <c r="G57" s="60"/>
      <c r="H57" s="54"/>
      <c r="I57" s="68"/>
      <c r="J57" s="68"/>
      <c r="K57" s="30" t="s">
        <v>137</v>
      </c>
      <c r="L57" s="100">
        <v>57</v>
      </c>
      <c r="M57" s="100"/>
      <c r="N57" s="70"/>
      <c r="O57" t="s">
        <v>152</v>
      </c>
      <c r="P57" s="50">
        <v>45179.0021412037</v>
      </c>
      <c r="Q57" t="s">
        <v>413</v>
      </c>
      <c r="R57" s="85" t="str">
        <f>HYPERLINK("https://t8ipkovzsy.feishu.cn/sheets/ZaaVs8vDPhkcrWttYTXc9bgmnhh?from=from_copylink")</f>
        <v>https://t8ipkovzsy.feishu.cn/sheets/ZaaVs8vDPhkcrWttYTXc9bgmnhh?from=from_copylink</v>
      </c>
      <c r="S57" t="s">
        <v>406</v>
      </c>
      <c r="U57" s="50">
        <v>45179.0021412037</v>
      </c>
      <c r="V57" s="85" t="str">
        <f>HYPERLINK("https://twitter.com/jeremyl99313994/status/1700661132401541449")</f>
        <v>https://twitter.com/jeremyl99313994/status/1700661132401541449</v>
      </c>
      <c r="Y57" s="52" t="s">
        <v>414</v>
      </c>
      <c r="AA57" s="81">
        <v>1</v>
      </c>
      <c r="AB57" s="35"/>
      <c r="AC57" s="36"/>
      <c r="AD57" s="35"/>
      <c r="AE57" s="36"/>
      <c r="AF57" s="35"/>
      <c r="AG57" s="36"/>
      <c r="AH57" s="35">
        <v>12</v>
      </c>
      <c r="AI57" s="36">
        <v>92.3076923076923</v>
      </c>
      <c r="AJ57" s="35">
        <v>13</v>
      </c>
      <c r="AK57" s="82" t="s">
        <v>408</v>
      </c>
      <c r="AL57" s="85" t="str">
        <f>HYPERLINK("https://pbs.twimg.com/media/F5ULPtaacAAp1Cp.jpg")</f>
        <v>https://pbs.twimg.com/media/F5ULPtaacAAp1Cp.jpg</v>
      </c>
      <c r="AN57">
        <v>0</v>
      </c>
      <c r="AQ57" t="s">
        <v>193</v>
      </c>
      <c r="AR57" t="b">
        <v>0</v>
      </c>
      <c r="AS57" s="52" t="s">
        <v>143</v>
      </c>
      <c r="AU57">
        <v>730</v>
      </c>
      <c r="AV57" s="52" t="s">
        <v>407</v>
      </c>
      <c r="AW57" s="52" t="s">
        <v>157</v>
      </c>
      <c r="AY57" s="52" t="s">
        <v>407</v>
      </c>
      <c r="BK57" s="125" t="str">
        <f>REPLACE(INDEX(GroupVertices[Group],MATCH(Edges[[#This Row],[Vertex 1]],GroupVertices[Vertex],0)),1,1,"")</f>
        <v>1</v>
      </c>
      <c r="BL57" s="125" t="str">
        <f>REPLACE(INDEX(GroupVertices[Group],MATCH(Edges[[#This Row],[Vertex 2]],GroupVertices[Vertex],0)),1,1,"")</f>
        <v>1</v>
      </c>
      <c r="BM57" s="77">
        <v>45179</v>
      </c>
      <c r="BN57" s="98" t="s">
        <v>415</v>
      </c>
      <c r="BO57" s="35">
        <v>0</v>
      </c>
      <c r="BP57" s="36">
        <v>0</v>
      </c>
      <c r="BQ57" s="35">
        <v>0</v>
      </c>
      <c r="BR57" s="36">
        <v>0</v>
      </c>
      <c r="BS57" s="35">
        <v>0</v>
      </c>
      <c r="BT57" s="36">
        <v>0</v>
      </c>
      <c r="BU57" s="82">
        <v>0</v>
      </c>
      <c r="BV57">
        <v>0</v>
      </c>
      <c r="BX57" t="s">
        <v>404</v>
      </c>
      <c r="BZ57" t="s">
        <v>159</v>
      </c>
      <c r="CD57" t="s">
        <v>410</v>
      </c>
      <c r="CK57" s="52" t="s">
        <v>414</v>
      </c>
      <c r="CM57" s="52" t="s">
        <v>143</v>
      </c>
      <c r="CN57" s="52" t="s">
        <v>416</v>
      </c>
    </row>
    <row r="58" spans="1:92" ht="15">
      <c r="A58" s="49" t="s">
        <v>412</v>
      </c>
      <c r="B58" s="49" t="s">
        <v>404</v>
      </c>
      <c r="C58" s="60" t="s">
        <v>135</v>
      </c>
      <c r="D58" s="66">
        <v>5</v>
      </c>
      <c r="E58" s="99" t="s">
        <v>136</v>
      </c>
      <c r="F58" s="67">
        <v>16</v>
      </c>
      <c r="G58" s="60"/>
      <c r="H58" s="54"/>
      <c r="I58" s="68"/>
      <c r="J58" s="68"/>
      <c r="K58" s="30" t="s">
        <v>137</v>
      </c>
      <c r="L58" s="100">
        <v>58</v>
      </c>
      <c r="M58" s="100"/>
      <c r="N58" s="70"/>
      <c r="O58" t="s">
        <v>164</v>
      </c>
      <c r="P58" s="50">
        <v>45179.00219907407</v>
      </c>
      <c r="Q58" t="s">
        <v>417</v>
      </c>
      <c r="U58" s="50">
        <v>45179.00219907407</v>
      </c>
      <c r="V58" s="85" t="str">
        <f>HYPERLINK("https://twitter.com/jeremyl99313994/status/1700661155788972392")</f>
        <v>https://twitter.com/jeremyl99313994/status/1700661155788972392</v>
      </c>
      <c r="Y58" s="52" t="s">
        <v>418</v>
      </c>
      <c r="AA58" s="81">
        <v>1</v>
      </c>
      <c r="AB58" s="35"/>
      <c r="AC58" s="36"/>
      <c r="AD58" s="35"/>
      <c r="AE58" s="36"/>
      <c r="AF58" s="35"/>
      <c r="AG58" s="36"/>
      <c r="AH58" s="35"/>
      <c r="AI58" s="36"/>
      <c r="AJ58" s="35"/>
      <c r="AK58" s="82"/>
      <c r="AL58" s="85" t="str">
        <f>HYPERLINK("https://pbs.twimg.com/profile_images/1223036536028925952/FSgIEXZc_normal.jpg")</f>
        <v>https://pbs.twimg.com/profile_images/1223036536028925952/FSgIEXZc_normal.jpg</v>
      </c>
      <c r="AN58">
        <v>0</v>
      </c>
      <c r="AQ58" t="s">
        <v>142</v>
      </c>
      <c r="AS58" s="52" t="s">
        <v>143</v>
      </c>
      <c r="AU58">
        <v>0</v>
      </c>
      <c r="AV58" s="52" t="s">
        <v>143</v>
      </c>
      <c r="AW58" s="52" t="s">
        <v>157</v>
      </c>
      <c r="AY58" s="52" t="s">
        <v>407</v>
      </c>
      <c r="BK58" s="125" t="str">
        <f>REPLACE(INDEX(GroupVertices[Group],MATCH(Edges[[#This Row],[Vertex 1]],GroupVertices[Vertex],0)),1,1,"")</f>
        <v>1</v>
      </c>
      <c r="BL58" s="125" t="str">
        <f>REPLACE(INDEX(GroupVertices[Group],MATCH(Edges[[#This Row],[Vertex 2]],GroupVertices[Vertex],0)),1,1,"")</f>
        <v>1</v>
      </c>
      <c r="BM58" s="77">
        <v>45179</v>
      </c>
      <c r="BN58" s="98" t="s">
        <v>419</v>
      </c>
      <c r="BO58" s="35"/>
      <c r="BP58" s="36"/>
      <c r="BQ58" s="35"/>
      <c r="BR58" s="36"/>
      <c r="BS58" s="35"/>
      <c r="BT58" s="36"/>
      <c r="BU58" s="82">
        <v>1</v>
      </c>
      <c r="BV58">
        <v>0</v>
      </c>
      <c r="BW58">
        <v>983</v>
      </c>
      <c r="BX58" t="s">
        <v>420</v>
      </c>
      <c r="CK58" s="52" t="s">
        <v>407</v>
      </c>
      <c r="CL58" s="52" t="s">
        <v>411</v>
      </c>
      <c r="CM58" s="52" t="s">
        <v>407</v>
      </c>
      <c r="CN58" s="52" t="s">
        <v>416</v>
      </c>
    </row>
    <row r="59" spans="1:92" ht="15">
      <c r="A59" s="49" t="s">
        <v>421</v>
      </c>
      <c r="B59" s="49" t="s">
        <v>421</v>
      </c>
      <c r="C59" s="60" t="s">
        <v>135</v>
      </c>
      <c r="D59" s="66">
        <v>5</v>
      </c>
      <c r="E59" s="99" t="s">
        <v>136</v>
      </c>
      <c r="F59" s="67">
        <v>16</v>
      </c>
      <c r="G59" s="60"/>
      <c r="H59" s="54"/>
      <c r="I59" s="68"/>
      <c r="J59" s="68"/>
      <c r="K59" s="30" t="s">
        <v>137</v>
      </c>
      <c r="L59" s="100">
        <v>59</v>
      </c>
      <c r="M59" s="100"/>
      <c r="N59" s="70"/>
      <c r="O59" t="s">
        <v>21</v>
      </c>
      <c r="P59" s="50">
        <v>45180.42563657407</v>
      </c>
      <c r="Q59" t="s">
        <v>422</v>
      </c>
      <c r="U59" s="50">
        <v>45180.42563657407</v>
      </c>
      <c r="V59" s="85" t="str">
        <f>HYPERLINK("https://twitter.com/bearbig/status/1701176990953553964")</f>
        <v>https://twitter.com/bearbig/status/1701176990953553964</v>
      </c>
      <c r="Y59" s="52" t="s">
        <v>423</v>
      </c>
      <c r="AA59" s="81">
        <v>1</v>
      </c>
      <c r="AB59" s="35"/>
      <c r="AC59" s="36"/>
      <c r="AD59" s="35"/>
      <c r="AE59" s="36"/>
      <c r="AF59" s="35"/>
      <c r="AG59" s="36"/>
      <c r="AH59" s="35">
        <v>8</v>
      </c>
      <c r="AI59" s="36">
        <v>100</v>
      </c>
      <c r="AJ59" s="35">
        <v>8</v>
      </c>
      <c r="AK59" s="82" t="s">
        <v>424</v>
      </c>
      <c r="AL59" s="85" t="str">
        <f>HYPERLINK("https://pbs.twimg.com/amplify_video_thumb/1701176933286039552/img/H3mD95i2arZ9_NFS.jpg")</f>
        <v>https://pbs.twimg.com/amplify_video_thumb/1701176933286039552/img/H3mD95i2arZ9_NFS.jpg</v>
      </c>
      <c r="AN59">
        <v>1733</v>
      </c>
      <c r="AQ59" t="s">
        <v>193</v>
      </c>
      <c r="AR59" t="b">
        <v>0</v>
      </c>
      <c r="AS59" s="52" t="s">
        <v>143</v>
      </c>
      <c r="AU59">
        <v>658</v>
      </c>
      <c r="AV59" s="52" t="s">
        <v>143</v>
      </c>
      <c r="AW59" s="52" t="s">
        <v>157</v>
      </c>
      <c r="AY59" s="52" t="s">
        <v>423</v>
      </c>
      <c r="BK59" s="125" t="str">
        <f>REPLACE(INDEX(GroupVertices[Group],MATCH(Edges[[#This Row],[Vertex 1]],GroupVertices[Vertex],0)),1,1,"")</f>
        <v>1</v>
      </c>
      <c r="BL59" s="125" t="str">
        <f>REPLACE(INDEX(GroupVertices[Group],MATCH(Edges[[#This Row],[Vertex 2]],GroupVertices[Vertex],0)),1,1,"")</f>
        <v>1</v>
      </c>
      <c r="BM59" s="77">
        <v>45180</v>
      </c>
      <c r="BN59" s="98" t="s">
        <v>425</v>
      </c>
      <c r="BO59" s="35">
        <v>0</v>
      </c>
      <c r="BP59" s="36">
        <v>0</v>
      </c>
      <c r="BQ59" s="35">
        <v>0</v>
      </c>
      <c r="BR59" s="36">
        <v>0</v>
      </c>
      <c r="BS59" s="35">
        <v>0</v>
      </c>
      <c r="BT59" s="36">
        <v>0</v>
      </c>
      <c r="BU59" s="82">
        <v>35</v>
      </c>
      <c r="BV59">
        <v>19</v>
      </c>
      <c r="BW59">
        <v>189701</v>
      </c>
      <c r="BZ59" t="s">
        <v>247</v>
      </c>
      <c r="CD59" t="s">
        <v>426</v>
      </c>
      <c r="CE59">
        <v>15366</v>
      </c>
      <c r="CH59">
        <v>56290</v>
      </c>
      <c r="CK59" s="52" t="s">
        <v>423</v>
      </c>
      <c r="CM59" s="52" t="s">
        <v>143</v>
      </c>
      <c r="CN59">
        <v>259611996</v>
      </c>
    </row>
    <row r="60" spans="1:92" ht="15">
      <c r="A60" s="49" t="s">
        <v>412</v>
      </c>
      <c r="B60" s="49" t="s">
        <v>421</v>
      </c>
      <c r="C60" s="60" t="s">
        <v>135</v>
      </c>
      <c r="D60" s="66">
        <v>5</v>
      </c>
      <c r="E60" s="99" t="s">
        <v>136</v>
      </c>
      <c r="F60" s="67">
        <v>16</v>
      </c>
      <c r="G60" s="60"/>
      <c r="H60" s="54"/>
      <c r="I60" s="68"/>
      <c r="J60" s="68"/>
      <c r="K60" s="30" t="s">
        <v>137</v>
      </c>
      <c r="L60" s="100">
        <v>60</v>
      </c>
      <c r="M60" s="100"/>
      <c r="N60" s="70"/>
      <c r="O60" t="s">
        <v>152</v>
      </c>
      <c r="P60" s="50">
        <v>45180.9718287037</v>
      </c>
      <c r="Q60" t="s">
        <v>427</v>
      </c>
      <c r="U60" s="50">
        <v>45180.9718287037</v>
      </c>
      <c r="V60" s="85" t="str">
        <f>HYPERLINK("https://twitter.com/jeremyl99313994/status/1701374922424246536")</f>
        <v>https://twitter.com/jeremyl99313994/status/1701374922424246536</v>
      </c>
      <c r="Y60" s="52" t="s">
        <v>428</v>
      </c>
      <c r="AA60" s="81">
        <v>1</v>
      </c>
      <c r="AB60" s="35"/>
      <c r="AC60" s="36"/>
      <c r="AD60" s="35"/>
      <c r="AE60" s="36"/>
      <c r="AF60" s="35"/>
      <c r="AG60" s="36"/>
      <c r="AH60" s="35">
        <v>9</v>
      </c>
      <c r="AI60" s="36">
        <v>90</v>
      </c>
      <c r="AJ60" s="35">
        <v>10</v>
      </c>
      <c r="AK60" s="82" t="s">
        <v>424</v>
      </c>
      <c r="AL60" s="85" t="str">
        <f>HYPERLINK("https://pbs.twimg.com/amplify_video_thumb/1701176933286039552/img/H3mD95i2arZ9_NFS.jpg")</f>
        <v>https://pbs.twimg.com/amplify_video_thumb/1701176933286039552/img/H3mD95i2arZ9_NFS.jpg</v>
      </c>
      <c r="AN60">
        <v>0</v>
      </c>
      <c r="AQ60" t="s">
        <v>193</v>
      </c>
      <c r="AR60" t="b">
        <v>0</v>
      </c>
      <c r="AS60" s="52" t="s">
        <v>143</v>
      </c>
      <c r="AU60">
        <v>658</v>
      </c>
      <c r="AV60" s="52" t="s">
        <v>423</v>
      </c>
      <c r="AW60" s="52" t="s">
        <v>157</v>
      </c>
      <c r="AY60" s="52" t="s">
        <v>423</v>
      </c>
      <c r="BK60" s="125" t="str">
        <f>REPLACE(INDEX(GroupVertices[Group],MATCH(Edges[[#This Row],[Vertex 1]],GroupVertices[Vertex],0)),1,1,"")</f>
        <v>1</v>
      </c>
      <c r="BL60" s="125" t="str">
        <f>REPLACE(INDEX(GroupVertices[Group],MATCH(Edges[[#This Row],[Vertex 2]],GroupVertices[Vertex],0)),1,1,"")</f>
        <v>1</v>
      </c>
      <c r="BM60" s="77">
        <v>45180</v>
      </c>
      <c r="BN60" s="98" t="s">
        <v>429</v>
      </c>
      <c r="BO60" s="35">
        <v>0</v>
      </c>
      <c r="BP60" s="36">
        <v>0</v>
      </c>
      <c r="BQ60" s="35">
        <v>0</v>
      </c>
      <c r="BR60" s="36">
        <v>0</v>
      </c>
      <c r="BS60" s="35">
        <v>0</v>
      </c>
      <c r="BT60" s="36">
        <v>0</v>
      </c>
      <c r="BU60" s="82">
        <v>0</v>
      </c>
      <c r="BV60">
        <v>0</v>
      </c>
      <c r="BX60" t="s">
        <v>421</v>
      </c>
      <c r="BZ60" t="s">
        <v>247</v>
      </c>
      <c r="CD60" t="s">
        <v>426</v>
      </c>
      <c r="CE60">
        <v>15366</v>
      </c>
      <c r="CH60">
        <v>56290</v>
      </c>
      <c r="CK60" s="52" t="s">
        <v>428</v>
      </c>
      <c r="CM60" s="52" t="s">
        <v>143</v>
      </c>
      <c r="CN60" s="52" t="s">
        <v>416</v>
      </c>
    </row>
    <row r="61" spans="1:92" ht="15">
      <c r="A61" s="49" t="s">
        <v>412</v>
      </c>
      <c r="B61" s="49" t="s">
        <v>421</v>
      </c>
      <c r="C61" s="60" t="s">
        <v>135</v>
      </c>
      <c r="D61" s="66">
        <v>5</v>
      </c>
      <c r="E61" s="99" t="s">
        <v>136</v>
      </c>
      <c r="F61" s="67">
        <v>16</v>
      </c>
      <c r="G61" s="60"/>
      <c r="H61" s="54"/>
      <c r="I61" s="68"/>
      <c r="J61" s="68"/>
      <c r="K61" s="30" t="s">
        <v>137</v>
      </c>
      <c r="L61" s="100">
        <v>61</v>
      </c>
      <c r="M61" s="100"/>
      <c r="N61" s="70"/>
      <c r="O61" t="s">
        <v>164</v>
      </c>
      <c r="P61" s="50">
        <v>45180.971875</v>
      </c>
      <c r="Q61" t="s">
        <v>430</v>
      </c>
      <c r="U61" s="50">
        <v>45180.971875</v>
      </c>
      <c r="V61" s="85" t="str">
        <f>HYPERLINK("https://twitter.com/jeremyl99313994/status/1701374939868381369")</f>
        <v>https://twitter.com/jeremyl99313994/status/1701374939868381369</v>
      </c>
      <c r="Y61" s="52" t="s">
        <v>431</v>
      </c>
      <c r="AA61" s="81">
        <v>1</v>
      </c>
      <c r="AB61" s="35"/>
      <c r="AC61" s="36"/>
      <c r="AD61" s="35"/>
      <c r="AE61" s="36"/>
      <c r="AF61" s="35"/>
      <c r="AG61" s="36"/>
      <c r="AH61" s="35"/>
      <c r="AI61" s="36"/>
      <c r="AJ61" s="35"/>
      <c r="AK61" s="82"/>
      <c r="AL61" s="85" t="str">
        <f>HYPERLINK("https://pbs.twimg.com/profile_images/1223036536028925952/FSgIEXZc_normal.jpg")</f>
        <v>https://pbs.twimg.com/profile_images/1223036536028925952/FSgIEXZc_normal.jpg</v>
      </c>
      <c r="AN61">
        <v>0</v>
      </c>
      <c r="AQ61" t="s">
        <v>142</v>
      </c>
      <c r="AS61" s="52" t="s">
        <v>143</v>
      </c>
      <c r="AU61">
        <v>0</v>
      </c>
      <c r="AV61" s="52" t="s">
        <v>143</v>
      </c>
      <c r="AW61" s="52" t="s">
        <v>157</v>
      </c>
      <c r="AY61" s="52" t="s">
        <v>423</v>
      </c>
      <c r="BK61" s="125" t="str">
        <f>REPLACE(INDEX(GroupVertices[Group],MATCH(Edges[[#This Row],[Vertex 1]],GroupVertices[Vertex],0)),1,1,"")</f>
        <v>1</v>
      </c>
      <c r="BL61" s="125" t="str">
        <f>REPLACE(INDEX(GroupVertices[Group],MATCH(Edges[[#This Row],[Vertex 2]],GroupVertices[Vertex],0)),1,1,"")</f>
        <v>1</v>
      </c>
      <c r="BM61" s="77">
        <v>45180</v>
      </c>
      <c r="BN61" s="98" t="s">
        <v>432</v>
      </c>
      <c r="BO61" s="35"/>
      <c r="BP61" s="36"/>
      <c r="BQ61" s="35"/>
      <c r="BR61" s="36"/>
      <c r="BS61" s="35"/>
      <c r="BT61" s="36"/>
      <c r="BU61" s="82">
        <v>1</v>
      </c>
      <c r="BV61">
        <v>0</v>
      </c>
      <c r="BW61">
        <v>925</v>
      </c>
      <c r="BX61" t="s">
        <v>433</v>
      </c>
      <c r="CK61" s="52" t="s">
        <v>423</v>
      </c>
      <c r="CL61" s="52" t="s">
        <v>434</v>
      </c>
      <c r="CM61" s="52" t="s">
        <v>423</v>
      </c>
      <c r="CN61" s="52" t="s">
        <v>416</v>
      </c>
    </row>
    <row r="62" spans="1:92" ht="15">
      <c r="A62" s="49" t="s">
        <v>435</v>
      </c>
      <c r="B62" s="49" t="s">
        <v>435</v>
      </c>
      <c r="C62" s="60" t="s">
        <v>135</v>
      </c>
      <c r="D62" s="66">
        <v>5</v>
      </c>
      <c r="E62" s="99" t="s">
        <v>136</v>
      </c>
      <c r="F62" s="67">
        <v>16</v>
      </c>
      <c r="G62" s="60"/>
      <c r="H62" s="54"/>
      <c r="I62" s="68"/>
      <c r="J62" s="68"/>
      <c r="K62" s="30" t="s">
        <v>137</v>
      </c>
      <c r="L62" s="100">
        <v>62</v>
      </c>
      <c r="M62" s="100"/>
      <c r="N62" s="70"/>
      <c r="O62" t="s">
        <v>21</v>
      </c>
      <c r="P62" s="50">
        <v>45179.57224537037</v>
      </c>
      <c r="Q62" t="s">
        <v>436</v>
      </c>
      <c r="R62" s="85" t="str">
        <f>HYPERLINK("https://archive.area17.com/directory/2023_openai/36_brand-guidelines.pdf")</f>
        <v>https://archive.area17.com/directory/2023_openai/36_brand-guidelines.pdf</v>
      </c>
      <c r="S62" t="s">
        <v>437</v>
      </c>
      <c r="U62" s="50">
        <v>45179.57224537037</v>
      </c>
      <c r="V62" s="85" t="str">
        <f>HYPERLINK("https://twitter.com/ftium4/status/1700867729769861368")</f>
        <v>https://twitter.com/ftium4/status/1700867729769861368</v>
      </c>
      <c r="Y62" s="52" t="s">
        <v>438</v>
      </c>
      <c r="AA62" s="81">
        <v>1</v>
      </c>
      <c r="AB62" s="35"/>
      <c r="AC62" s="36"/>
      <c r="AD62" s="35"/>
      <c r="AE62" s="36"/>
      <c r="AF62" s="35"/>
      <c r="AG62" s="36"/>
      <c r="AH62" s="35">
        <v>16</v>
      </c>
      <c r="AI62" s="36">
        <v>100</v>
      </c>
      <c r="AJ62" s="35">
        <v>16</v>
      </c>
      <c r="AK62" s="82" t="s">
        <v>439</v>
      </c>
      <c r="AL62" s="85" t="str">
        <f>HYPERLINK("https://pbs.twimg.com/media/F5qyLhzaIAAUo3z.jpg")</f>
        <v>https://pbs.twimg.com/media/F5qyLhzaIAAUo3z.jpg</v>
      </c>
      <c r="AN62">
        <v>159</v>
      </c>
      <c r="AQ62" t="s">
        <v>193</v>
      </c>
      <c r="AR62" t="b">
        <v>0</v>
      </c>
      <c r="AS62" s="52" t="s">
        <v>143</v>
      </c>
      <c r="AU62">
        <v>50</v>
      </c>
      <c r="AV62" s="52" t="s">
        <v>143</v>
      </c>
      <c r="AW62" s="52" t="s">
        <v>144</v>
      </c>
      <c r="AY62" s="52" t="s">
        <v>438</v>
      </c>
      <c r="BK62" s="125" t="str">
        <f>REPLACE(INDEX(GroupVertices[Group],MATCH(Edges[[#This Row],[Vertex 1]],GroupVertices[Vertex],0)),1,1,"")</f>
        <v>1</v>
      </c>
      <c r="BL62" s="125" t="str">
        <f>REPLACE(INDEX(GroupVertices[Group],MATCH(Edges[[#This Row],[Vertex 2]],GroupVertices[Vertex],0)),1,1,"")</f>
        <v>1</v>
      </c>
      <c r="BM62" s="77">
        <v>45179</v>
      </c>
      <c r="BN62" s="98" t="s">
        <v>440</v>
      </c>
      <c r="BO62" s="35">
        <v>0</v>
      </c>
      <c r="BP62" s="36">
        <v>0</v>
      </c>
      <c r="BQ62" s="35">
        <v>0</v>
      </c>
      <c r="BR62" s="36">
        <v>0</v>
      </c>
      <c r="BS62" s="35">
        <v>0</v>
      </c>
      <c r="BT62" s="36">
        <v>0</v>
      </c>
      <c r="BU62" s="82">
        <v>4</v>
      </c>
      <c r="BV62">
        <v>2</v>
      </c>
      <c r="BW62">
        <v>22829</v>
      </c>
      <c r="BZ62" t="s">
        <v>159</v>
      </c>
      <c r="CD62" t="s">
        <v>441</v>
      </c>
      <c r="CK62" s="52" t="s">
        <v>438</v>
      </c>
      <c r="CM62" s="52" t="s">
        <v>143</v>
      </c>
      <c r="CN62">
        <v>377823810</v>
      </c>
    </row>
    <row r="63" spans="1:92" ht="15">
      <c r="A63" s="49" t="s">
        <v>412</v>
      </c>
      <c r="B63" s="49" t="s">
        <v>435</v>
      </c>
      <c r="C63" s="60" t="s">
        <v>135</v>
      </c>
      <c r="D63" s="66">
        <v>5</v>
      </c>
      <c r="E63" s="99" t="s">
        <v>136</v>
      </c>
      <c r="F63" s="67">
        <v>16</v>
      </c>
      <c r="G63" s="60"/>
      <c r="H63" s="54"/>
      <c r="I63" s="68"/>
      <c r="J63" s="68"/>
      <c r="K63" s="30" t="s">
        <v>137</v>
      </c>
      <c r="L63" s="100">
        <v>63</v>
      </c>
      <c r="M63" s="100"/>
      <c r="N63" s="70"/>
      <c r="O63" t="s">
        <v>152</v>
      </c>
      <c r="P63" s="50">
        <v>45179.65373842593</v>
      </c>
      <c r="Q63" t="s">
        <v>442</v>
      </c>
      <c r="R63" s="85" t="str">
        <f>HYPERLINK("https://archive.area17.com/directory/2023_openai/36_brand-guidelines.pdf")</f>
        <v>https://archive.area17.com/directory/2023_openai/36_brand-guidelines.pdf</v>
      </c>
      <c r="S63" t="s">
        <v>437</v>
      </c>
      <c r="U63" s="50">
        <v>45179.65373842593</v>
      </c>
      <c r="V63" s="85" t="str">
        <f>HYPERLINK("https://twitter.com/jeremyl99313994/status/1700897262371852542")</f>
        <v>https://twitter.com/jeremyl99313994/status/1700897262371852542</v>
      </c>
      <c r="Y63" s="52" t="s">
        <v>443</v>
      </c>
      <c r="AA63" s="81">
        <v>1</v>
      </c>
      <c r="AB63" s="35"/>
      <c r="AC63" s="36"/>
      <c r="AD63" s="35"/>
      <c r="AE63" s="36"/>
      <c r="AF63" s="35"/>
      <c r="AG63" s="36"/>
      <c r="AH63" s="35">
        <v>17</v>
      </c>
      <c r="AI63" s="36">
        <v>94.44444444444444</v>
      </c>
      <c r="AJ63" s="35">
        <v>18</v>
      </c>
      <c r="AK63" s="82" t="s">
        <v>439</v>
      </c>
      <c r="AL63" s="85" t="str">
        <f>HYPERLINK("https://pbs.twimg.com/media/F5qyLhzaIAAUo3z.jpg")</f>
        <v>https://pbs.twimg.com/media/F5qyLhzaIAAUo3z.jpg</v>
      </c>
      <c r="AN63">
        <v>0</v>
      </c>
      <c r="AQ63" t="s">
        <v>193</v>
      </c>
      <c r="AR63" t="b">
        <v>0</v>
      </c>
      <c r="AS63" s="52" t="s">
        <v>143</v>
      </c>
      <c r="AU63">
        <v>50</v>
      </c>
      <c r="AV63" s="52" t="s">
        <v>438</v>
      </c>
      <c r="AW63" s="52" t="s">
        <v>157</v>
      </c>
      <c r="AY63" s="52" t="s">
        <v>438</v>
      </c>
      <c r="BK63" s="125" t="str">
        <f>REPLACE(INDEX(GroupVertices[Group],MATCH(Edges[[#This Row],[Vertex 1]],GroupVertices[Vertex],0)),1,1,"")</f>
        <v>1</v>
      </c>
      <c r="BL63" s="125" t="str">
        <f>REPLACE(INDEX(GroupVertices[Group],MATCH(Edges[[#This Row],[Vertex 2]],GroupVertices[Vertex],0)),1,1,"")</f>
        <v>1</v>
      </c>
      <c r="BM63" s="77">
        <v>45179</v>
      </c>
      <c r="BN63" s="98" t="s">
        <v>444</v>
      </c>
      <c r="BO63" s="35">
        <v>0</v>
      </c>
      <c r="BP63" s="36">
        <v>0</v>
      </c>
      <c r="BQ63" s="35">
        <v>0</v>
      </c>
      <c r="BR63" s="36">
        <v>0</v>
      </c>
      <c r="BS63" s="35">
        <v>0</v>
      </c>
      <c r="BT63" s="36">
        <v>0</v>
      </c>
      <c r="BU63" s="82">
        <v>0</v>
      </c>
      <c r="BV63">
        <v>0</v>
      </c>
      <c r="BX63" t="s">
        <v>435</v>
      </c>
      <c r="BZ63" t="s">
        <v>159</v>
      </c>
      <c r="CD63" t="s">
        <v>441</v>
      </c>
      <c r="CK63" s="52" t="s">
        <v>443</v>
      </c>
      <c r="CM63" s="52" t="s">
        <v>143</v>
      </c>
      <c r="CN63" s="52" t="s">
        <v>416</v>
      </c>
    </row>
    <row r="64" spans="1:92" ht="15">
      <c r="A64" s="49" t="s">
        <v>412</v>
      </c>
      <c r="B64" s="49" t="s">
        <v>435</v>
      </c>
      <c r="C64" s="60" t="s">
        <v>135</v>
      </c>
      <c r="D64" s="66">
        <v>5</v>
      </c>
      <c r="E64" s="99" t="s">
        <v>136</v>
      </c>
      <c r="F64" s="67">
        <v>16</v>
      </c>
      <c r="G64" s="60"/>
      <c r="H64" s="54"/>
      <c r="I64" s="68"/>
      <c r="J64" s="68"/>
      <c r="K64" s="30" t="s">
        <v>137</v>
      </c>
      <c r="L64" s="100">
        <v>64</v>
      </c>
      <c r="M64" s="100"/>
      <c r="N64" s="70"/>
      <c r="O64" t="s">
        <v>164</v>
      </c>
      <c r="P64" s="50">
        <v>45179.654131944444</v>
      </c>
      <c r="Q64" t="s">
        <v>445</v>
      </c>
      <c r="U64" s="50">
        <v>45179.654131944444</v>
      </c>
      <c r="V64" s="85" t="str">
        <f>HYPERLINK("https://twitter.com/jeremyl99313994/status/1700897405762506833")</f>
        <v>https://twitter.com/jeremyl99313994/status/1700897405762506833</v>
      </c>
      <c r="Y64" s="52" t="s">
        <v>446</v>
      </c>
      <c r="AA64" s="81">
        <v>1</v>
      </c>
      <c r="AB64" s="35"/>
      <c r="AC64" s="36"/>
      <c r="AD64" s="35"/>
      <c r="AE64" s="36"/>
      <c r="AF64" s="35"/>
      <c r="AG64" s="36"/>
      <c r="AH64" s="35"/>
      <c r="AI64" s="36"/>
      <c r="AJ64" s="35"/>
      <c r="AK64" s="82"/>
      <c r="AL64" s="85" t="str">
        <f>HYPERLINK("https://pbs.twimg.com/profile_images/1223036536028925952/FSgIEXZc_normal.jpg")</f>
        <v>https://pbs.twimg.com/profile_images/1223036536028925952/FSgIEXZc_normal.jpg</v>
      </c>
      <c r="AN64">
        <v>0</v>
      </c>
      <c r="AQ64" t="s">
        <v>142</v>
      </c>
      <c r="AS64" s="52" t="s">
        <v>143</v>
      </c>
      <c r="AU64">
        <v>0</v>
      </c>
      <c r="AV64" s="52" t="s">
        <v>143</v>
      </c>
      <c r="AW64" s="52" t="s">
        <v>157</v>
      </c>
      <c r="AY64" s="52" t="s">
        <v>438</v>
      </c>
      <c r="BK64" s="125" t="str">
        <f>REPLACE(INDEX(GroupVertices[Group],MATCH(Edges[[#This Row],[Vertex 1]],GroupVertices[Vertex],0)),1,1,"")</f>
        <v>1</v>
      </c>
      <c r="BL64" s="125" t="str">
        <f>REPLACE(INDEX(GroupVertices[Group],MATCH(Edges[[#This Row],[Vertex 2]],GroupVertices[Vertex],0)),1,1,"")</f>
        <v>1</v>
      </c>
      <c r="BM64" s="77">
        <v>45179</v>
      </c>
      <c r="BN64" s="98" t="s">
        <v>447</v>
      </c>
      <c r="BO64" s="35"/>
      <c r="BP64" s="36"/>
      <c r="BQ64" s="35"/>
      <c r="BR64" s="36"/>
      <c r="BS64" s="35"/>
      <c r="BT64" s="36"/>
      <c r="BU64" s="82">
        <v>1</v>
      </c>
      <c r="BV64">
        <v>0</v>
      </c>
      <c r="BW64">
        <v>278</v>
      </c>
      <c r="BX64" t="s">
        <v>448</v>
      </c>
      <c r="CK64" s="52" t="s">
        <v>438</v>
      </c>
      <c r="CL64" s="52" t="s">
        <v>449</v>
      </c>
      <c r="CM64" s="52" t="s">
        <v>438</v>
      </c>
      <c r="CN64" s="52" t="s">
        <v>416</v>
      </c>
    </row>
    <row r="65" spans="1:92" ht="15">
      <c r="A65" s="49" t="s">
        <v>450</v>
      </c>
      <c r="B65" s="49" t="s">
        <v>450</v>
      </c>
      <c r="C65" s="60" t="s">
        <v>135</v>
      </c>
      <c r="D65" s="66">
        <v>5</v>
      </c>
      <c r="E65" s="99" t="s">
        <v>136</v>
      </c>
      <c r="F65" s="67">
        <v>16</v>
      </c>
      <c r="G65" s="60"/>
      <c r="H65" s="54"/>
      <c r="I65" s="68"/>
      <c r="J65" s="68"/>
      <c r="K65" s="30" t="s">
        <v>137</v>
      </c>
      <c r="L65" s="100">
        <v>65</v>
      </c>
      <c r="M65" s="100"/>
      <c r="N65" s="70"/>
      <c r="O65" t="s">
        <v>21</v>
      </c>
      <c r="P65" s="50">
        <v>45176.600960648146</v>
      </c>
      <c r="Q65" t="s">
        <v>451</v>
      </c>
      <c r="R65" s="85" t="str">
        <f>HYPERLINK("https://www.craft.me/s/dbj8QJkuZ5ruTB")</f>
        <v>https://www.craft.me/s/dbj8QJkuZ5ruTB</v>
      </c>
      <c r="S65" t="s">
        <v>452</v>
      </c>
      <c r="T65" s="52" t="s">
        <v>453</v>
      </c>
      <c r="U65" s="50">
        <v>45176.600960648146</v>
      </c>
      <c r="V65" s="85" t="str">
        <f>HYPERLINK("https://twitter.com/jackywine/status/1699790975445749825")</f>
        <v>https://twitter.com/jackywine/status/1699790975445749825</v>
      </c>
      <c r="Y65" s="52" t="s">
        <v>454</v>
      </c>
      <c r="AA65" s="81">
        <v>1</v>
      </c>
      <c r="AB65" s="35"/>
      <c r="AC65" s="36"/>
      <c r="AD65" s="35"/>
      <c r="AE65" s="36"/>
      <c r="AF65" s="35"/>
      <c r="AG65" s="36"/>
      <c r="AH65" s="35">
        <v>11</v>
      </c>
      <c r="AI65" s="36">
        <v>100</v>
      </c>
      <c r="AJ65" s="35">
        <v>11</v>
      </c>
      <c r="AK65" s="82" t="s">
        <v>455</v>
      </c>
      <c r="AL65" s="85" t="str">
        <f>HYPERLINK("https://pbs.twimg.com/media/F5be33FagAAep9F.jpg")</f>
        <v>https://pbs.twimg.com/media/F5be33FagAAep9F.jpg</v>
      </c>
      <c r="AN65">
        <v>257</v>
      </c>
      <c r="AQ65" t="s">
        <v>193</v>
      </c>
      <c r="AR65" t="b">
        <v>0</v>
      </c>
      <c r="AS65" s="52" t="s">
        <v>143</v>
      </c>
      <c r="AU65">
        <v>86</v>
      </c>
      <c r="AV65" s="52" t="s">
        <v>143</v>
      </c>
      <c r="AW65" s="52" t="s">
        <v>144</v>
      </c>
      <c r="AY65" s="52" t="s">
        <v>454</v>
      </c>
      <c r="BK65" s="125" t="str">
        <f>REPLACE(INDEX(GroupVertices[Group],MATCH(Edges[[#This Row],[Vertex 1]],GroupVertices[Vertex],0)),1,1,"")</f>
        <v>1</v>
      </c>
      <c r="BL65" s="125" t="str">
        <f>REPLACE(INDEX(GroupVertices[Group],MATCH(Edges[[#This Row],[Vertex 2]],GroupVertices[Vertex],0)),1,1,"")</f>
        <v>1</v>
      </c>
      <c r="BM65" s="77">
        <v>45176</v>
      </c>
      <c r="BN65" s="98" t="s">
        <v>456</v>
      </c>
      <c r="BO65" s="35">
        <v>0</v>
      </c>
      <c r="BP65" s="36">
        <v>0</v>
      </c>
      <c r="BQ65" s="35">
        <v>0</v>
      </c>
      <c r="BR65" s="36">
        <v>0</v>
      </c>
      <c r="BS65" s="35">
        <v>0</v>
      </c>
      <c r="BT65" s="36">
        <v>0</v>
      </c>
      <c r="BU65" s="82">
        <v>10</v>
      </c>
      <c r="BV65">
        <v>4</v>
      </c>
      <c r="BW65">
        <v>28121</v>
      </c>
      <c r="BZ65" t="s">
        <v>159</v>
      </c>
      <c r="CD65" t="s">
        <v>457</v>
      </c>
      <c r="CK65" s="52" t="s">
        <v>454</v>
      </c>
      <c r="CM65" s="52" t="s">
        <v>143</v>
      </c>
      <c r="CN65" s="52" t="s">
        <v>458</v>
      </c>
    </row>
    <row r="66" spans="1:92" ht="15">
      <c r="A66" s="49" t="s">
        <v>412</v>
      </c>
      <c r="B66" s="49" t="s">
        <v>450</v>
      </c>
      <c r="C66" s="60" t="s">
        <v>135</v>
      </c>
      <c r="D66" s="66">
        <v>5</v>
      </c>
      <c r="E66" s="99" t="s">
        <v>136</v>
      </c>
      <c r="F66" s="67">
        <v>16</v>
      </c>
      <c r="G66" s="60"/>
      <c r="H66" s="54"/>
      <c r="I66" s="68"/>
      <c r="J66" s="68"/>
      <c r="K66" s="30" t="s">
        <v>137</v>
      </c>
      <c r="L66" s="100">
        <v>66</v>
      </c>
      <c r="M66" s="100"/>
      <c r="N66" s="70"/>
      <c r="O66" t="s">
        <v>152</v>
      </c>
      <c r="P66" s="50">
        <v>45177.17626157407</v>
      </c>
      <c r="Q66" t="s">
        <v>459</v>
      </c>
      <c r="R66" s="85" t="str">
        <f>HYPERLINK("https://www.craft.me/s/dbj8QJkuZ5ruTB")</f>
        <v>https://www.craft.me/s/dbj8QJkuZ5ruTB</v>
      </c>
      <c r="S66" t="s">
        <v>452</v>
      </c>
      <c r="T66" s="52" t="s">
        <v>453</v>
      </c>
      <c r="U66" s="50">
        <v>45177.17626157407</v>
      </c>
      <c r="V66" s="85" t="str">
        <f>HYPERLINK("https://twitter.com/jeremyl99313994/status/1699999458120097874")</f>
        <v>https://twitter.com/jeremyl99313994/status/1699999458120097874</v>
      </c>
      <c r="Y66" s="52" t="s">
        <v>460</v>
      </c>
      <c r="AA66" s="81">
        <v>1</v>
      </c>
      <c r="AB66" s="35"/>
      <c r="AC66" s="36"/>
      <c r="AD66" s="35"/>
      <c r="AE66" s="36"/>
      <c r="AF66" s="35"/>
      <c r="AG66" s="36"/>
      <c r="AH66" s="35">
        <v>12</v>
      </c>
      <c r="AI66" s="36">
        <v>92.3076923076923</v>
      </c>
      <c r="AJ66" s="35">
        <v>13</v>
      </c>
      <c r="AK66" s="82"/>
      <c r="AL66" s="85" t="str">
        <f>HYPERLINK("https://pbs.twimg.com/profile_images/1223036536028925952/FSgIEXZc_normal.jpg")</f>
        <v>https://pbs.twimg.com/profile_images/1223036536028925952/FSgIEXZc_normal.jpg</v>
      </c>
      <c r="AN66">
        <v>0</v>
      </c>
      <c r="AQ66" t="s">
        <v>193</v>
      </c>
      <c r="AR66" t="b">
        <v>0</v>
      </c>
      <c r="AS66" s="52" t="s">
        <v>143</v>
      </c>
      <c r="AU66">
        <v>86</v>
      </c>
      <c r="AV66" s="52" t="s">
        <v>454</v>
      </c>
      <c r="AW66" s="52" t="s">
        <v>157</v>
      </c>
      <c r="AY66" s="52" t="s">
        <v>454</v>
      </c>
      <c r="BK66" s="125" t="str">
        <f>REPLACE(INDEX(GroupVertices[Group],MATCH(Edges[[#This Row],[Vertex 1]],GroupVertices[Vertex],0)),1,1,"")</f>
        <v>1</v>
      </c>
      <c r="BL66" s="125" t="str">
        <f>REPLACE(INDEX(GroupVertices[Group],MATCH(Edges[[#This Row],[Vertex 2]],GroupVertices[Vertex],0)),1,1,"")</f>
        <v>1</v>
      </c>
      <c r="BM66" s="77">
        <v>45177</v>
      </c>
      <c r="BN66" s="98" t="s">
        <v>461</v>
      </c>
      <c r="BO66" s="35">
        <v>0</v>
      </c>
      <c r="BP66" s="36">
        <v>0</v>
      </c>
      <c r="BQ66" s="35">
        <v>0</v>
      </c>
      <c r="BR66" s="36">
        <v>0</v>
      </c>
      <c r="BS66" s="35">
        <v>0</v>
      </c>
      <c r="BT66" s="36">
        <v>0</v>
      </c>
      <c r="BU66" s="82">
        <v>0</v>
      </c>
      <c r="BV66">
        <v>0</v>
      </c>
      <c r="BX66" t="s">
        <v>450</v>
      </c>
      <c r="CK66" s="52" t="s">
        <v>460</v>
      </c>
      <c r="CM66" s="52" t="s">
        <v>143</v>
      </c>
      <c r="CN66" s="52" t="s">
        <v>416</v>
      </c>
    </row>
    <row r="67" spans="1:92" ht="15">
      <c r="A67" s="49" t="s">
        <v>412</v>
      </c>
      <c r="B67" s="49" t="s">
        <v>450</v>
      </c>
      <c r="C67" s="60" t="s">
        <v>135</v>
      </c>
      <c r="D67" s="66">
        <v>6.875</v>
      </c>
      <c r="E67" s="99" t="s">
        <v>180</v>
      </c>
      <c r="F67" s="67">
        <v>15.846153846153847</v>
      </c>
      <c r="G67" s="60"/>
      <c r="H67" s="54"/>
      <c r="I67" s="68"/>
      <c r="J67" s="68"/>
      <c r="K67" s="30" t="s">
        <v>137</v>
      </c>
      <c r="L67" s="100">
        <v>67</v>
      </c>
      <c r="M67" s="100"/>
      <c r="N67" s="70"/>
      <c r="O67" t="s">
        <v>164</v>
      </c>
      <c r="P67" s="50">
        <v>45177.17633101852</v>
      </c>
      <c r="Q67" t="s">
        <v>462</v>
      </c>
      <c r="U67" s="50">
        <v>45177.17633101852</v>
      </c>
      <c r="V67" s="85" t="str">
        <f>HYPERLINK("https://twitter.com/jeremyl99313994/status/1699999483122340141")</f>
        <v>https://twitter.com/jeremyl99313994/status/1699999483122340141</v>
      </c>
      <c r="Y67" s="52" t="s">
        <v>463</v>
      </c>
      <c r="AA67" s="81">
        <v>4</v>
      </c>
      <c r="AB67" s="35"/>
      <c r="AC67" s="36"/>
      <c r="AD67" s="35"/>
      <c r="AE67" s="36"/>
      <c r="AF67" s="35"/>
      <c r="AG67" s="36"/>
      <c r="AH67" s="35"/>
      <c r="AI67" s="36"/>
      <c r="AJ67" s="35"/>
      <c r="AK67" s="82"/>
      <c r="AL67" s="85" t="str">
        <f>HYPERLINK("https://pbs.twimg.com/profile_images/1223036536028925952/FSgIEXZc_normal.jpg")</f>
        <v>https://pbs.twimg.com/profile_images/1223036536028925952/FSgIEXZc_normal.jpg</v>
      </c>
      <c r="AN67">
        <v>0</v>
      </c>
      <c r="AQ67" t="s">
        <v>142</v>
      </c>
      <c r="AS67" s="52" t="s">
        <v>143</v>
      </c>
      <c r="AU67">
        <v>0</v>
      </c>
      <c r="AV67" s="52" t="s">
        <v>143</v>
      </c>
      <c r="AW67" s="52" t="s">
        <v>157</v>
      </c>
      <c r="AY67" s="52" t="s">
        <v>454</v>
      </c>
      <c r="BK67" s="125" t="str">
        <f>REPLACE(INDEX(GroupVertices[Group],MATCH(Edges[[#This Row],[Vertex 1]],GroupVertices[Vertex],0)),1,1,"")</f>
        <v>1</v>
      </c>
      <c r="BL67" s="125" t="str">
        <f>REPLACE(INDEX(GroupVertices[Group],MATCH(Edges[[#This Row],[Vertex 2]],GroupVertices[Vertex],0)),1,1,"")</f>
        <v>1</v>
      </c>
      <c r="BM67" s="77">
        <v>45177</v>
      </c>
      <c r="BN67" s="98" t="s">
        <v>464</v>
      </c>
      <c r="BO67" s="35"/>
      <c r="BP67" s="36"/>
      <c r="BQ67" s="35"/>
      <c r="BR67" s="36"/>
      <c r="BS67" s="35"/>
      <c r="BT67" s="36"/>
      <c r="BU67" s="82">
        <v>0</v>
      </c>
      <c r="BV67">
        <v>0</v>
      </c>
      <c r="BW67">
        <v>252</v>
      </c>
      <c r="BX67" t="s">
        <v>465</v>
      </c>
      <c r="CK67" s="52" t="s">
        <v>454</v>
      </c>
      <c r="CL67" s="52" t="s">
        <v>458</v>
      </c>
      <c r="CM67" s="52" t="s">
        <v>454</v>
      </c>
      <c r="CN67" s="52" t="s">
        <v>416</v>
      </c>
    </row>
    <row r="68" spans="1:92" ht="15">
      <c r="A68" s="49" t="s">
        <v>412</v>
      </c>
      <c r="B68" s="49" t="s">
        <v>450</v>
      </c>
      <c r="C68" s="60" t="s">
        <v>135</v>
      </c>
      <c r="D68" s="66">
        <v>6.875</v>
      </c>
      <c r="E68" s="99" t="s">
        <v>180</v>
      </c>
      <c r="F68" s="67">
        <v>15.846153846153847</v>
      </c>
      <c r="G68" s="60"/>
      <c r="H68" s="54"/>
      <c r="I68" s="68"/>
      <c r="J68" s="68"/>
      <c r="K68" s="30" t="s">
        <v>137</v>
      </c>
      <c r="L68" s="100">
        <v>68</v>
      </c>
      <c r="M68" s="100"/>
      <c r="N68" s="70"/>
      <c r="O68" t="s">
        <v>164</v>
      </c>
      <c r="P68" s="50">
        <v>45178.02071759259</v>
      </c>
      <c r="Q68" t="s">
        <v>462</v>
      </c>
      <c r="U68" s="50">
        <v>45178.02071759259</v>
      </c>
      <c r="V68" s="85" t="str">
        <f>HYPERLINK("https://twitter.com/jeremyl99313994/status/1700305478230933733")</f>
        <v>https://twitter.com/jeremyl99313994/status/1700305478230933733</v>
      </c>
      <c r="Y68" s="52" t="s">
        <v>466</v>
      </c>
      <c r="AA68" s="81">
        <v>4</v>
      </c>
      <c r="AB68" s="35"/>
      <c r="AC68" s="36"/>
      <c r="AD68" s="35"/>
      <c r="AE68" s="36"/>
      <c r="AF68" s="35"/>
      <c r="AG68" s="36"/>
      <c r="AH68" s="35"/>
      <c r="AI68" s="36"/>
      <c r="AJ68" s="35"/>
      <c r="AK68" s="82"/>
      <c r="AL68" s="85" t="str">
        <f>HYPERLINK("https://pbs.twimg.com/profile_images/1223036536028925952/FSgIEXZc_normal.jpg")</f>
        <v>https://pbs.twimg.com/profile_images/1223036536028925952/FSgIEXZc_normal.jpg</v>
      </c>
      <c r="AN68">
        <v>0</v>
      </c>
      <c r="AQ68" t="s">
        <v>142</v>
      </c>
      <c r="AS68" s="52" t="s">
        <v>143</v>
      </c>
      <c r="AU68">
        <v>0</v>
      </c>
      <c r="AV68" s="52" t="s">
        <v>143</v>
      </c>
      <c r="AW68" s="52" t="s">
        <v>157</v>
      </c>
      <c r="AY68" s="52" t="s">
        <v>454</v>
      </c>
      <c r="BK68" s="125" t="str">
        <f>REPLACE(INDEX(GroupVertices[Group],MATCH(Edges[[#This Row],[Vertex 1]],GroupVertices[Vertex],0)),1,1,"")</f>
        <v>1</v>
      </c>
      <c r="BL68" s="125" t="str">
        <f>REPLACE(INDEX(GroupVertices[Group],MATCH(Edges[[#This Row],[Vertex 2]],GroupVertices[Vertex],0)),1,1,"")</f>
        <v>1</v>
      </c>
      <c r="BM68" s="77">
        <v>45178</v>
      </c>
      <c r="BN68" s="98" t="s">
        <v>467</v>
      </c>
      <c r="BO68" s="35"/>
      <c r="BP68" s="36"/>
      <c r="BQ68" s="35"/>
      <c r="BR68" s="36"/>
      <c r="BS68" s="35"/>
      <c r="BT68" s="36"/>
      <c r="BU68" s="82">
        <v>0</v>
      </c>
      <c r="BV68">
        <v>0</v>
      </c>
      <c r="BW68">
        <v>39</v>
      </c>
      <c r="BX68" t="s">
        <v>465</v>
      </c>
      <c r="CK68" s="52" t="s">
        <v>454</v>
      </c>
      <c r="CL68" s="52" t="s">
        <v>458</v>
      </c>
      <c r="CM68" s="52" t="s">
        <v>454</v>
      </c>
      <c r="CN68" s="52" t="s">
        <v>416</v>
      </c>
    </row>
    <row r="69" spans="1:92" ht="15">
      <c r="A69" s="49" t="s">
        <v>468</v>
      </c>
      <c r="B69" s="49" t="s">
        <v>468</v>
      </c>
      <c r="C69" s="60" t="s">
        <v>135</v>
      </c>
      <c r="D69" s="66">
        <v>5</v>
      </c>
      <c r="E69" s="99" t="s">
        <v>136</v>
      </c>
      <c r="F69" s="67">
        <v>16</v>
      </c>
      <c r="G69" s="60"/>
      <c r="H69" s="54"/>
      <c r="I69" s="68"/>
      <c r="J69" s="68"/>
      <c r="K69" s="30" t="s">
        <v>137</v>
      </c>
      <c r="L69" s="100">
        <v>69</v>
      </c>
      <c r="M69" s="100"/>
      <c r="N69" s="70"/>
      <c r="O69" t="s">
        <v>21</v>
      </c>
      <c r="P69" s="50">
        <v>45180.71144675926</v>
      </c>
      <c r="Q69" t="s">
        <v>469</v>
      </c>
      <c r="U69" s="50">
        <v>45180.71144675926</v>
      </c>
      <c r="V69" s="85" t="str">
        <f>HYPERLINK("https://twitter.com/gia917229015/status/1701280562789622205")</f>
        <v>https://twitter.com/gia917229015/status/1701280562789622205</v>
      </c>
      <c r="Y69" s="52" t="s">
        <v>470</v>
      </c>
      <c r="AA69" s="81">
        <v>1</v>
      </c>
      <c r="AB69" s="35"/>
      <c r="AC69" s="36"/>
      <c r="AD69" s="35"/>
      <c r="AE69" s="36"/>
      <c r="AF69" s="35"/>
      <c r="AG69" s="36"/>
      <c r="AH69" s="35">
        <v>8</v>
      </c>
      <c r="AI69" s="36">
        <v>80</v>
      </c>
      <c r="AJ69" s="35">
        <v>10</v>
      </c>
      <c r="AK69" s="82"/>
      <c r="AL69" s="85" t="str">
        <f>HYPERLINK("https://pbs.twimg.com/profile_images/1552319982956154880/ovry18-I_normal.png")</f>
        <v>https://pbs.twimg.com/profile_images/1552319982956154880/ovry18-I_normal.png</v>
      </c>
      <c r="AN69">
        <v>801</v>
      </c>
      <c r="AQ69" t="s">
        <v>193</v>
      </c>
      <c r="AS69" s="52" t="s">
        <v>143</v>
      </c>
      <c r="AU69">
        <v>151</v>
      </c>
      <c r="AV69" s="52" t="s">
        <v>143</v>
      </c>
      <c r="AW69" s="52" t="s">
        <v>144</v>
      </c>
      <c r="AY69" s="52" t="s">
        <v>470</v>
      </c>
      <c r="BK69" s="125" t="str">
        <f>REPLACE(INDEX(GroupVertices[Group],MATCH(Edges[[#This Row],[Vertex 1]],GroupVertices[Vertex],0)),1,1,"")</f>
        <v>1</v>
      </c>
      <c r="BL69" s="125" t="str">
        <f>REPLACE(INDEX(GroupVertices[Group],MATCH(Edges[[#This Row],[Vertex 2]],GroupVertices[Vertex],0)),1,1,"")</f>
        <v>1</v>
      </c>
      <c r="BM69" s="77">
        <v>45180</v>
      </c>
      <c r="BN69" s="98" t="s">
        <v>471</v>
      </c>
      <c r="BO69" s="35">
        <v>0</v>
      </c>
      <c r="BP69" s="36">
        <v>0</v>
      </c>
      <c r="BQ69" s="35">
        <v>0</v>
      </c>
      <c r="BR69" s="36">
        <v>0</v>
      </c>
      <c r="BS69" s="35">
        <v>0</v>
      </c>
      <c r="BT69" s="36">
        <v>0</v>
      </c>
      <c r="BU69" s="82">
        <v>16</v>
      </c>
      <c r="BV69">
        <v>3</v>
      </c>
      <c r="BW69">
        <v>98556</v>
      </c>
      <c r="CK69" s="52" t="s">
        <v>470</v>
      </c>
      <c r="CM69" s="52" t="s">
        <v>143</v>
      </c>
      <c r="CN69" s="52" t="s">
        <v>472</v>
      </c>
    </row>
    <row r="70" spans="1:92" ht="15">
      <c r="A70" s="49" t="s">
        <v>412</v>
      </c>
      <c r="B70" s="49" t="s">
        <v>468</v>
      </c>
      <c r="C70" s="60" t="s">
        <v>135</v>
      </c>
      <c r="D70" s="66">
        <v>5</v>
      </c>
      <c r="E70" s="99" t="s">
        <v>136</v>
      </c>
      <c r="F70" s="67">
        <v>16</v>
      </c>
      <c r="G70" s="60"/>
      <c r="H70" s="54"/>
      <c r="I70" s="68"/>
      <c r="J70" s="68"/>
      <c r="K70" s="30" t="s">
        <v>137</v>
      </c>
      <c r="L70" s="100">
        <v>70</v>
      </c>
      <c r="M70" s="100"/>
      <c r="N70" s="70"/>
      <c r="O70" t="s">
        <v>152</v>
      </c>
      <c r="P70" s="50">
        <v>45181.46104166667</v>
      </c>
      <c r="Q70" t="s">
        <v>473</v>
      </c>
      <c r="U70" s="50">
        <v>45181.46104166667</v>
      </c>
      <c r="V70" s="85" t="str">
        <f>HYPERLINK("https://twitter.com/jeremyl99313994/status/1701552209870086427")</f>
        <v>https://twitter.com/jeremyl99313994/status/1701552209870086427</v>
      </c>
      <c r="Y70" s="52" t="s">
        <v>474</v>
      </c>
      <c r="AA70" s="81">
        <v>1</v>
      </c>
      <c r="AB70" s="35"/>
      <c r="AC70" s="36"/>
      <c r="AD70" s="35"/>
      <c r="AE70" s="36"/>
      <c r="AF70" s="35"/>
      <c r="AG70" s="36"/>
      <c r="AH70" s="35">
        <v>9</v>
      </c>
      <c r="AI70" s="36">
        <v>75</v>
      </c>
      <c r="AJ70" s="35">
        <v>12</v>
      </c>
      <c r="AK70" s="82"/>
      <c r="AL70" s="85" t="str">
        <f>HYPERLINK("https://pbs.twimg.com/profile_images/1223036536028925952/FSgIEXZc_normal.jpg")</f>
        <v>https://pbs.twimg.com/profile_images/1223036536028925952/FSgIEXZc_normal.jpg</v>
      </c>
      <c r="AN70">
        <v>0</v>
      </c>
      <c r="AQ70" t="s">
        <v>193</v>
      </c>
      <c r="AS70" s="52" t="s">
        <v>143</v>
      </c>
      <c r="AU70">
        <v>151</v>
      </c>
      <c r="AV70" s="52" t="s">
        <v>470</v>
      </c>
      <c r="AW70" s="52" t="s">
        <v>157</v>
      </c>
      <c r="AY70" s="52" t="s">
        <v>470</v>
      </c>
      <c r="BK70" s="125" t="str">
        <f>REPLACE(INDEX(GroupVertices[Group],MATCH(Edges[[#This Row],[Vertex 1]],GroupVertices[Vertex],0)),1,1,"")</f>
        <v>1</v>
      </c>
      <c r="BL70" s="125" t="str">
        <f>REPLACE(INDEX(GroupVertices[Group],MATCH(Edges[[#This Row],[Vertex 2]],GroupVertices[Vertex],0)),1,1,"")</f>
        <v>1</v>
      </c>
      <c r="BM70" s="77">
        <v>45181</v>
      </c>
      <c r="BN70" s="98" t="s">
        <v>475</v>
      </c>
      <c r="BO70" s="35">
        <v>0</v>
      </c>
      <c r="BP70" s="36">
        <v>0</v>
      </c>
      <c r="BQ70" s="35">
        <v>0</v>
      </c>
      <c r="BR70" s="36">
        <v>0</v>
      </c>
      <c r="BS70" s="35">
        <v>0</v>
      </c>
      <c r="BT70" s="36">
        <v>0</v>
      </c>
      <c r="BU70" s="82">
        <v>0</v>
      </c>
      <c r="BV70">
        <v>0</v>
      </c>
      <c r="BX70" t="s">
        <v>468</v>
      </c>
      <c r="CK70" s="52" t="s">
        <v>474</v>
      </c>
      <c r="CM70" s="52" t="s">
        <v>143</v>
      </c>
      <c r="CN70" s="52" t="s">
        <v>416</v>
      </c>
    </row>
    <row r="71" spans="1:92" ht="15">
      <c r="A71" s="49" t="s">
        <v>412</v>
      </c>
      <c r="B71" s="49" t="s">
        <v>468</v>
      </c>
      <c r="C71" s="60" t="s">
        <v>135</v>
      </c>
      <c r="D71" s="66">
        <v>5</v>
      </c>
      <c r="E71" s="99" t="s">
        <v>136</v>
      </c>
      <c r="F71" s="67">
        <v>16</v>
      </c>
      <c r="G71" s="60"/>
      <c r="H71" s="54"/>
      <c r="I71" s="68"/>
      <c r="J71" s="68"/>
      <c r="K71" s="30" t="s">
        <v>137</v>
      </c>
      <c r="L71" s="100">
        <v>71</v>
      </c>
      <c r="M71" s="100"/>
      <c r="N71" s="70"/>
      <c r="O71" t="s">
        <v>164</v>
      </c>
      <c r="P71" s="50">
        <v>45181.46109953704</v>
      </c>
      <c r="Q71" t="s">
        <v>476</v>
      </c>
      <c r="U71" s="50">
        <v>45181.46109953704</v>
      </c>
      <c r="V71" s="85" t="str">
        <f>HYPERLINK("https://twitter.com/jeremyl99313994/status/1701552230913261834")</f>
        <v>https://twitter.com/jeremyl99313994/status/1701552230913261834</v>
      </c>
      <c r="Y71" s="52" t="s">
        <v>477</v>
      </c>
      <c r="AA71" s="81">
        <v>1</v>
      </c>
      <c r="AB71" s="35"/>
      <c r="AC71" s="36"/>
      <c r="AD71" s="35"/>
      <c r="AE71" s="36"/>
      <c r="AF71" s="35"/>
      <c r="AG71" s="36"/>
      <c r="AH71" s="35"/>
      <c r="AI71" s="36"/>
      <c r="AJ71" s="35"/>
      <c r="AK71" s="82"/>
      <c r="AL71" s="85" t="str">
        <f>HYPERLINK("https://pbs.twimg.com/profile_images/1223036536028925952/FSgIEXZc_normal.jpg")</f>
        <v>https://pbs.twimg.com/profile_images/1223036536028925952/FSgIEXZc_normal.jpg</v>
      </c>
      <c r="AN71">
        <v>0</v>
      </c>
      <c r="AQ71" t="s">
        <v>142</v>
      </c>
      <c r="AS71" s="52" t="s">
        <v>143</v>
      </c>
      <c r="AU71">
        <v>0</v>
      </c>
      <c r="AV71" s="52" t="s">
        <v>143</v>
      </c>
      <c r="AW71" s="52" t="s">
        <v>157</v>
      </c>
      <c r="AY71" s="52" t="s">
        <v>470</v>
      </c>
      <c r="BK71" s="125" t="str">
        <f>REPLACE(INDEX(GroupVertices[Group],MATCH(Edges[[#This Row],[Vertex 1]],GroupVertices[Vertex],0)),1,1,"")</f>
        <v>1</v>
      </c>
      <c r="BL71" s="125" t="str">
        <f>REPLACE(INDEX(GroupVertices[Group],MATCH(Edges[[#This Row],[Vertex 2]],GroupVertices[Vertex],0)),1,1,"")</f>
        <v>1</v>
      </c>
      <c r="BM71" s="77">
        <v>45181</v>
      </c>
      <c r="BN71" s="98" t="s">
        <v>478</v>
      </c>
      <c r="BO71" s="35"/>
      <c r="BP71" s="36"/>
      <c r="BQ71" s="35"/>
      <c r="BR71" s="36"/>
      <c r="BS71" s="35"/>
      <c r="BT71" s="36"/>
      <c r="BU71" s="82">
        <v>1</v>
      </c>
      <c r="BV71">
        <v>0</v>
      </c>
      <c r="BW71">
        <v>903</v>
      </c>
      <c r="BX71" t="s">
        <v>479</v>
      </c>
      <c r="CK71" s="52" t="s">
        <v>470</v>
      </c>
      <c r="CL71" s="52" t="s">
        <v>472</v>
      </c>
      <c r="CM71" s="52" t="s">
        <v>470</v>
      </c>
      <c r="CN71" s="52" t="s">
        <v>416</v>
      </c>
    </row>
    <row r="72" spans="1:92" ht="15">
      <c r="A72" s="49" t="s">
        <v>412</v>
      </c>
      <c r="B72" s="49" t="s">
        <v>480</v>
      </c>
      <c r="C72" s="60" t="s">
        <v>135</v>
      </c>
      <c r="D72" s="66">
        <v>6.875</v>
      </c>
      <c r="E72" s="99" t="s">
        <v>180</v>
      </c>
      <c r="F72" s="67">
        <v>15.846153846153847</v>
      </c>
      <c r="G72" s="60"/>
      <c r="H72" s="54"/>
      <c r="I72" s="68"/>
      <c r="J72" s="68"/>
      <c r="K72" s="30" t="s">
        <v>137</v>
      </c>
      <c r="L72" s="100">
        <v>72</v>
      </c>
      <c r="M72" s="100"/>
      <c r="N72" s="70"/>
      <c r="O72" t="s">
        <v>164</v>
      </c>
      <c r="P72" s="50">
        <v>45176.00164351852</v>
      </c>
      <c r="Q72" t="s">
        <v>481</v>
      </c>
      <c r="U72" s="50">
        <v>45176.00164351852</v>
      </c>
      <c r="V72" s="85" t="str">
        <f>HYPERLINK("https://twitter.com/jeremyl99313994/status/1699573789959606683")</f>
        <v>https://twitter.com/jeremyl99313994/status/1699573789959606683</v>
      </c>
      <c r="Y72" s="52" t="s">
        <v>482</v>
      </c>
      <c r="AA72" s="81">
        <v>4</v>
      </c>
      <c r="AB72" s="35"/>
      <c r="AC72" s="36"/>
      <c r="AD72" s="35"/>
      <c r="AE72" s="36"/>
      <c r="AF72" s="35"/>
      <c r="AG72" s="36"/>
      <c r="AH72" s="35"/>
      <c r="AI72" s="36"/>
      <c r="AJ72" s="35"/>
      <c r="AK72" s="82"/>
      <c r="AL72" s="85" t="str">
        <f>HYPERLINK("https://pbs.twimg.com/profile_images/1223036536028925952/FSgIEXZc_normal.jpg")</f>
        <v>https://pbs.twimg.com/profile_images/1223036536028925952/FSgIEXZc_normal.jpg</v>
      </c>
      <c r="AN72">
        <v>0</v>
      </c>
      <c r="AQ72" t="s">
        <v>142</v>
      </c>
      <c r="AS72" s="52" t="s">
        <v>143</v>
      </c>
      <c r="AU72">
        <v>0</v>
      </c>
      <c r="AV72" s="52" t="s">
        <v>143</v>
      </c>
      <c r="AW72" s="52" t="s">
        <v>157</v>
      </c>
      <c r="AY72" s="52" t="s">
        <v>483</v>
      </c>
      <c r="BK72" s="125" t="str">
        <f>REPLACE(INDEX(GroupVertices[Group],MATCH(Edges[[#This Row],[Vertex 1]],GroupVertices[Vertex],0)),1,1,"")</f>
        <v>1</v>
      </c>
      <c r="BL72" s="125" t="str">
        <f>REPLACE(INDEX(GroupVertices[Group],MATCH(Edges[[#This Row],[Vertex 2]],GroupVertices[Vertex],0)),1,1,"")</f>
        <v>1</v>
      </c>
      <c r="BM72" s="77">
        <v>45176</v>
      </c>
      <c r="BN72" s="98" t="s">
        <v>484</v>
      </c>
      <c r="BO72" s="35"/>
      <c r="BP72" s="36"/>
      <c r="BQ72" s="35"/>
      <c r="BR72" s="36"/>
      <c r="BS72" s="35"/>
      <c r="BT72" s="36"/>
      <c r="BU72" s="82">
        <v>1</v>
      </c>
      <c r="BV72">
        <v>0</v>
      </c>
      <c r="BW72">
        <v>2359</v>
      </c>
      <c r="BX72" t="s">
        <v>485</v>
      </c>
      <c r="CK72" s="52" t="s">
        <v>483</v>
      </c>
      <c r="CL72" s="52" t="s">
        <v>486</v>
      </c>
      <c r="CM72" s="52" t="s">
        <v>483</v>
      </c>
      <c r="CN72" s="52" t="s">
        <v>416</v>
      </c>
    </row>
    <row r="73" spans="1:92" ht="15">
      <c r="A73" s="49" t="s">
        <v>412</v>
      </c>
      <c r="B73" s="49" t="s">
        <v>480</v>
      </c>
      <c r="C73" s="60" t="s">
        <v>135</v>
      </c>
      <c r="D73" s="66">
        <v>6.875</v>
      </c>
      <c r="E73" s="99" t="s">
        <v>180</v>
      </c>
      <c r="F73" s="67">
        <v>15.846153846153847</v>
      </c>
      <c r="G73" s="60"/>
      <c r="H73" s="54"/>
      <c r="I73" s="68"/>
      <c r="J73" s="68"/>
      <c r="K73" s="30" t="s">
        <v>137</v>
      </c>
      <c r="L73" s="100">
        <v>73</v>
      </c>
      <c r="M73" s="100"/>
      <c r="N73" s="70"/>
      <c r="O73" t="s">
        <v>164</v>
      </c>
      <c r="P73" s="50">
        <v>45180.97091435185</v>
      </c>
      <c r="Q73" t="s">
        <v>481</v>
      </c>
      <c r="U73" s="50">
        <v>45180.97091435185</v>
      </c>
      <c r="V73" s="85" t="str">
        <f>HYPERLINK("https://twitter.com/jeremyl99313994/status/1701374592928133497")</f>
        <v>https://twitter.com/jeremyl99313994/status/1701374592928133497</v>
      </c>
      <c r="Y73" s="52" t="s">
        <v>487</v>
      </c>
      <c r="AA73" s="81">
        <v>4</v>
      </c>
      <c r="AB73" s="35"/>
      <c r="AC73" s="36"/>
      <c r="AD73" s="35"/>
      <c r="AE73" s="36"/>
      <c r="AF73" s="35"/>
      <c r="AG73" s="36"/>
      <c r="AH73" s="35"/>
      <c r="AI73" s="36"/>
      <c r="AJ73" s="35"/>
      <c r="AK73" s="82"/>
      <c r="AL73" s="85" t="str">
        <f>HYPERLINK("https://pbs.twimg.com/profile_images/1223036536028925952/FSgIEXZc_normal.jpg")</f>
        <v>https://pbs.twimg.com/profile_images/1223036536028925952/FSgIEXZc_normal.jpg</v>
      </c>
      <c r="AN73">
        <v>0</v>
      </c>
      <c r="AQ73" t="s">
        <v>142</v>
      </c>
      <c r="AS73" s="52" t="s">
        <v>143</v>
      </c>
      <c r="AU73">
        <v>0</v>
      </c>
      <c r="AV73" s="52" t="s">
        <v>143</v>
      </c>
      <c r="AW73" s="52" t="s">
        <v>157</v>
      </c>
      <c r="AY73" s="52" t="s">
        <v>488</v>
      </c>
      <c r="BK73" s="125" t="str">
        <f>REPLACE(INDEX(GroupVertices[Group],MATCH(Edges[[#This Row],[Vertex 1]],GroupVertices[Vertex],0)),1,1,"")</f>
        <v>1</v>
      </c>
      <c r="BL73" s="125" t="str">
        <f>REPLACE(INDEX(GroupVertices[Group],MATCH(Edges[[#This Row],[Vertex 2]],GroupVertices[Vertex],0)),1,1,"")</f>
        <v>1</v>
      </c>
      <c r="BM73" s="77">
        <v>45180</v>
      </c>
      <c r="BN73" s="98" t="s">
        <v>489</v>
      </c>
      <c r="BO73" s="35"/>
      <c r="BP73" s="36"/>
      <c r="BQ73" s="35"/>
      <c r="BR73" s="36"/>
      <c r="BS73" s="35"/>
      <c r="BT73" s="36"/>
      <c r="BU73" s="82">
        <v>1</v>
      </c>
      <c r="BV73">
        <v>0</v>
      </c>
      <c r="BW73">
        <v>977</v>
      </c>
      <c r="BX73" t="s">
        <v>485</v>
      </c>
      <c r="CK73" s="52" t="s">
        <v>488</v>
      </c>
      <c r="CL73" s="52" t="s">
        <v>486</v>
      </c>
      <c r="CM73" s="52" t="s">
        <v>488</v>
      </c>
      <c r="CN73" s="52" t="s">
        <v>416</v>
      </c>
    </row>
    <row r="74" spans="1:92" ht="15">
      <c r="A74" s="49" t="s">
        <v>490</v>
      </c>
      <c r="B74" s="49" t="s">
        <v>490</v>
      </c>
      <c r="C74" s="60" t="s">
        <v>135</v>
      </c>
      <c r="D74" s="66">
        <v>5</v>
      </c>
      <c r="E74" s="99" t="s">
        <v>136</v>
      </c>
      <c r="F74" s="67">
        <v>16</v>
      </c>
      <c r="G74" s="60"/>
      <c r="H74" s="54"/>
      <c r="I74" s="68"/>
      <c r="J74" s="68"/>
      <c r="K74" s="30" t="s">
        <v>137</v>
      </c>
      <c r="L74" s="100">
        <v>74</v>
      </c>
      <c r="M74" s="100"/>
      <c r="N74" s="70"/>
      <c r="O74" t="s">
        <v>21</v>
      </c>
      <c r="P74" s="50">
        <v>45182.42024305555</v>
      </c>
      <c r="Q74" t="s">
        <v>491</v>
      </c>
      <c r="U74" s="50">
        <v>45182.42024305555</v>
      </c>
      <c r="V74" s="85" t="str">
        <f>HYPERLINK("https://twitter.com/punk2898/status/1701899811300200929")</f>
        <v>https://twitter.com/punk2898/status/1701899811300200929</v>
      </c>
      <c r="Y74" s="52" t="s">
        <v>492</v>
      </c>
      <c r="AA74" s="81">
        <v>1</v>
      </c>
      <c r="AB74" s="35"/>
      <c r="AC74" s="36"/>
      <c r="AD74" s="35"/>
      <c r="AE74" s="36"/>
      <c r="AF74" s="35"/>
      <c r="AG74" s="36"/>
      <c r="AH74" s="35">
        <v>12</v>
      </c>
      <c r="AI74" s="36">
        <v>100</v>
      </c>
      <c r="AJ74" s="35">
        <v>12</v>
      </c>
      <c r="AK74" s="82" t="s">
        <v>493</v>
      </c>
      <c r="AL74" s="85" t="str">
        <f>HYPERLINK("https://pbs.twimg.com/amplify_video_thumb/1701896852130668544/img/GNibFR_laP1BMkzI.jpg")</f>
        <v>https://pbs.twimg.com/amplify_video_thumb/1701896852130668544/img/GNibFR_laP1BMkzI.jpg</v>
      </c>
      <c r="AN74">
        <v>1784</v>
      </c>
      <c r="AQ74" t="s">
        <v>193</v>
      </c>
      <c r="AR74" t="b">
        <v>0</v>
      </c>
      <c r="AS74" s="52" t="s">
        <v>143</v>
      </c>
      <c r="AU74">
        <v>737</v>
      </c>
      <c r="AV74" s="52" t="s">
        <v>143</v>
      </c>
      <c r="AW74" s="52" t="s">
        <v>144</v>
      </c>
      <c r="AY74" s="52" t="s">
        <v>492</v>
      </c>
      <c r="BK74" s="125" t="str">
        <f>REPLACE(INDEX(GroupVertices[Group],MATCH(Edges[[#This Row],[Vertex 1]],GroupVertices[Vertex],0)),1,1,"")</f>
        <v>1</v>
      </c>
      <c r="BL74" s="125" t="str">
        <f>REPLACE(INDEX(GroupVertices[Group],MATCH(Edges[[#This Row],[Vertex 2]],GroupVertices[Vertex],0)),1,1,"")</f>
        <v>1</v>
      </c>
      <c r="BM74" s="77">
        <v>45182</v>
      </c>
      <c r="BN74" s="98" t="s">
        <v>494</v>
      </c>
      <c r="BO74" s="35">
        <v>0</v>
      </c>
      <c r="BP74" s="36">
        <v>0</v>
      </c>
      <c r="BQ74" s="35">
        <v>0</v>
      </c>
      <c r="BR74" s="36">
        <v>0</v>
      </c>
      <c r="BS74" s="35">
        <v>0</v>
      </c>
      <c r="BT74" s="36">
        <v>0</v>
      </c>
      <c r="BU74" s="82">
        <v>45</v>
      </c>
      <c r="BV74">
        <v>22</v>
      </c>
      <c r="BW74">
        <v>90145</v>
      </c>
      <c r="BZ74" t="s">
        <v>247</v>
      </c>
      <c r="CD74" t="s">
        <v>495</v>
      </c>
      <c r="CE74">
        <v>1950059</v>
      </c>
      <c r="CH74">
        <v>34485</v>
      </c>
      <c r="CK74" s="52" t="s">
        <v>492</v>
      </c>
      <c r="CM74" s="52" t="s">
        <v>143</v>
      </c>
      <c r="CN74">
        <v>2446896679</v>
      </c>
    </row>
    <row r="75" spans="1:92" ht="15">
      <c r="A75" s="49" t="s">
        <v>412</v>
      </c>
      <c r="B75" s="49" t="s">
        <v>490</v>
      </c>
      <c r="C75" s="60" t="s">
        <v>135</v>
      </c>
      <c r="D75" s="66">
        <v>5</v>
      </c>
      <c r="E75" s="99" t="s">
        <v>136</v>
      </c>
      <c r="F75" s="67">
        <v>16</v>
      </c>
      <c r="G75" s="60"/>
      <c r="H75" s="54"/>
      <c r="I75" s="68"/>
      <c r="J75" s="68"/>
      <c r="K75" s="30" t="s">
        <v>137</v>
      </c>
      <c r="L75" s="100">
        <v>75</v>
      </c>
      <c r="M75" s="100"/>
      <c r="N75" s="70"/>
      <c r="O75" t="s">
        <v>164</v>
      </c>
      <c r="P75" s="50">
        <v>45182.497407407405</v>
      </c>
      <c r="Q75" t="s">
        <v>496</v>
      </c>
      <c r="U75" s="50">
        <v>45182.497407407405</v>
      </c>
      <c r="V75" s="85" t="str">
        <f>HYPERLINK("https://twitter.com/jeremyl99313994/status/1701927775815496085")</f>
        <v>https://twitter.com/jeremyl99313994/status/1701927775815496085</v>
      </c>
      <c r="Y75" s="52" t="s">
        <v>497</v>
      </c>
      <c r="AA75" s="81">
        <v>1</v>
      </c>
      <c r="AB75" s="35"/>
      <c r="AC75" s="36"/>
      <c r="AD75" s="35"/>
      <c r="AE75" s="36"/>
      <c r="AF75" s="35"/>
      <c r="AG75" s="36"/>
      <c r="AH75" s="35"/>
      <c r="AI75" s="36"/>
      <c r="AJ75" s="35"/>
      <c r="AK75" s="82"/>
      <c r="AL75" s="85" t="str">
        <f aca="true" t="shared" si="1" ref="AL75:AL90">HYPERLINK("https://pbs.twimg.com/profile_images/1223036536028925952/FSgIEXZc_normal.jpg")</f>
        <v>https://pbs.twimg.com/profile_images/1223036536028925952/FSgIEXZc_normal.jpg</v>
      </c>
      <c r="AN75">
        <v>0</v>
      </c>
      <c r="AQ75" t="s">
        <v>142</v>
      </c>
      <c r="AS75" s="52" t="s">
        <v>143</v>
      </c>
      <c r="AU75">
        <v>0</v>
      </c>
      <c r="AV75" s="52" t="s">
        <v>143</v>
      </c>
      <c r="AW75" s="52" t="s">
        <v>157</v>
      </c>
      <c r="AY75" s="52" t="s">
        <v>492</v>
      </c>
      <c r="BK75" s="125" t="str">
        <f>REPLACE(INDEX(GroupVertices[Group],MATCH(Edges[[#This Row],[Vertex 1]],GroupVertices[Vertex],0)),1,1,"")</f>
        <v>1</v>
      </c>
      <c r="BL75" s="125" t="str">
        <f>REPLACE(INDEX(GroupVertices[Group],MATCH(Edges[[#This Row],[Vertex 2]],GroupVertices[Vertex],0)),1,1,"")</f>
        <v>1</v>
      </c>
      <c r="BM75" s="77">
        <v>45182</v>
      </c>
      <c r="BN75" s="98" t="s">
        <v>498</v>
      </c>
      <c r="BO75" s="35"/>
      <c r="BP75" s="36"/>
      <c r="BQ75" s="35"/>
      <c r="BR75" s="36"/>
      <c r="BS75" s="35"/>
      <c r="BT75" s="36"/>
      <c r="BU75" s="82">
        <v>1</v>
      </c>
      <c r="BV75">
        <v>0</v>
      </c>
      <c r="BW75">
        <v>864</v>
      </c>
      <c r="BX75" t="s">
        <v>499</v>
      </c>
      <c r="CK75" s="52" t="s">
        <v>492</v>
      </c>
      <c r="CL75" s="52" t="s">
        <v>500</v>
      </c>
      <c r="CM75" s="52" t="s">
        <v>492</v>
      </c>
      <c r="CN75" s="52" t="s">
        <v>416</v>
      </c>
    </row>
    <row r="76" spans="1:92" ht="15">
      <c r="A76" s="49" t="s">
        <v>412</v>
      </c>
      <c r="B76" s="49" t="s">
        <v>490</v>
      </c>
      <c r="C76" s="60" t="s">
        <v>135</v>
      </c>
      <c r="D76" s="66">
        <v>5</v>
      </c>
      <c r="E76" s="99" t="s">
        <v>136</v>
      </c>
      <c r="F76" s="67">
        <v>16</v>
      </c>
      <c r="G76" s="60"/>
      <c r="H76" s="54"/>
      <c r="I76" s="68"/>
      <c r="J76" s="68"/>
      <c r="K76" s="30" t="s">
        <v>137</v>
      </c>
      <c r="L76" s="100">
        <v>76</v>
      </c>
      <c r="M76" s="100"/>
      <c r="N76" s="70"/>
      <c r="O76" t="s">
        <v>152</v>
      </c>
      <c r="P76" s="50">
        <v>45182.49694444444</v>
      </c>
      <c r="Q76" t="s">
        <v>501</v>
      </c>
      <c r="U76" s="50">
        <v>45182.49694444444</v>
      </c>
      <c r="V76" s="85" t="str">
        <f>HYPERLINK("https://twitter.com/jeremyl99313994/status/1701927608387313672")</f>
        <v>https://twitter.com/jeremyl99313994/status/1701927608387313672</v>
      </c>
      <c r="Y76" s="52" t="s">
        <v>502</v>
      </c>
      <c r="AA76" s="81">
        <v>1</v>
      </c>
      <c r="AB76" s="35"/>
      <c r="AC76" s="36"/>
      <c r="AD76" s="35"/>
      <c r="AE76" s="36"/>
      <c r="AF76" s="35"/>
      <c r="AG76" s="36"/>
      <c r="AH76" s="35">
        <v>13</v>
      </c>
      <c r="AI76" s="36">
        <v>92.85714285714286</v>
      </c>
      <c r="AJ76" s="35">
        <v>14</v>
      </c>
      <c r="AK76" s="82"/>
      <c r="AL76" s="85" t="str">
        <f t="shared" si="1"/>
        <v>https://pbs.twimg.com/profile_images/1223036536028925952/FSgIEXZc_normal.jpg</v>
      </c>
      <c r="AN76">
        <v>0</v>
      </c>
      <c r="AQ76" t="s">
        <v>193</v>
      </c>
      <c r="AS76" s="52" t="s">
        <v>143</v>
      </c>
      <c r="AU76">
        <v>737</v>
      </c>
      <c r="AV76" s="52" t="s">
        <v>492</v>
      </c>
      <c r="AW76" s="52" t="s">
        <v>157</v>
      </c>
      <c r="AY76" s="52" t="s">
        <v>492</v>
      </c>
      <c r="BK76" s="125" t="str">
        <f>REPLACE(INDEX(GroupVertices[Group],MATCH(Edges[[#This Row],[Vertex 1]],GroupVertices[Vertex],0)),1,1,"")</f>
        <v>1</v>
      </c>
      <c r="BL76" s="125" t="str">
        <f>REPLACE(INDEX(GroupVertices[Group],MATCH(Edges[[#This Row],[Vertex 2]],GroupVertices[Vertex],0)),1,1,"")</f>
        <v>1</v>
      </c>
      <c r="BM76" s="77">
        <v>45182</v>
      </c>
      <c r="BN76" s="98" t="s">
        <v>503</v>
      </c>
      <c r="BO76" s="35">
        <v>0</v>
      </c>
      <c r="BP76" s="36">
        <v>0</v>
      </c>
      <c r="BQ76" s="35">
        <v>0</v>
      </c>
      <c r="BR76" s="36">
        <v>0</v>
      </c>
      <c r="BS76" s="35">
        <v>0</v>
      </c>
      <c r="BT76" s="36">
        <v>0</v>
      </c>
      <c r="BU76" s="82">
        <v>0</v>
      </c>
      <c r="BV76">
        <v>0</v>
      </c>
      <c r="BX76" t="s">
        <v>490</v>
      </c>
      <c r="CK76" s="52" t="s">
        <v>502</v>
      </c>
      <c r="CM76" s="52" t="s">
        <v>143</v>
      </c>
      <c r="CN76" s="52" t="s">
        <v>416</v>
      </c>
    </row>
    <row r="77" spans="1:92" ht="15">
      <c r="A77" s="49" t="s">
        <v>412</v>
      </c>
      <c r="B77" s="49" t="s">
        <v>504</v>
      </c>
      <c r="C77" s="60" t="s">
        <v>505</v>
      </c>
      <c r="D77" s="66">
        <v>10</v>
      </c>
      <c r="E77" s="99" t="s">
        <v>180</v>
      </c>
      <c r="F77" s="67">
        <v>6</v>
      </c>
      <c r="G77" s="60"/>
      <c r="H77" s="54"/>
      <c r="I77" s="68"/>
      <c r="J77" s="68"/>
      <c r="K77" s="30" t="s">
        <v>137</v>
      </c>
      <c r="L77" s="100">
        <v>77</v>
      </c>
      <c r="M77" s="100"/>
      <c r="N77" s="70"/>
      <c r="O77" t="s">
        <v>172</v>
      </c>
      <c r="P77" s="50">
        <v>45179.00219907407</v>
      </c>
      <c r="Q77" t="s">
        <v>417</v>
      </c>
      <c r="U77" s="50">
        <v>45179.00219907407</v>
      </c>
      <c r="V77" s="85" t="str">
        <f>HYPERLINK("https://twitter.com/jeremyl99313994/status/1700661155788972392")</f>
        <v>https://twitter.com/jeremyl99313994/status/1700661155788972392</v>
      </c>
      <c r="Y77" s="52" t="s">
        <v>418</v>
      </c>
      <c r="AA77" s="81">
        <v>196</v>
      </c>
      <c r="AB77" s="35"/>
      <c r="AC77" s="36"/>
      <c r="AD77" s="35"/>
      <c r="AE77" s="36"/>
      <c r="AF77" s="35"/>
      <c r="AG77" s="36"/>
      <c r="AH77" s="35">
        <v>4</v>
      </c>
      <c r="AI77" s="36">
        <v>100</v>
      </c>
      <c r="AJ77" s="35">
        <v>4</v>
      </c>
      <c r="AK77" s="82"/>
      <c r="AL77" s="85" t="str">
        <f t="shared" si="1"/>
        <v>https://pbs.twimg.com/profile_images/1223036536028925952/FSgIEXZc_normal.jpg</v>
      </c>
      <c r="AN77">
        <v>0</v>
      </c>
      <c r="AQ77" t="s">
        <v>142</v>
      </c>
      <c r="AS77" s="52" t="s">
        <v>143</v>
      </c>
      <c r="AU77">
        <v>0</v>
      </c>
      <c r="AV77" s="52" t="s">
        <v>143</v>
      </c>
      <c r="AW77" s="52" t="s">
        <v>157</v>
      </c>
      <c r="AY77" s="52" t="s">
        <v>407</v>
      </c>
      <c r="BK77" s="125" t="str">
        <f>REPLACE(INDEX(GroupVertices[Group],MATCH(Edges[[#This Row],[Vertex 1]],GroupVertices[Vertex],0)),1,1,"")</f>
        <v>1</v>
      </c>
      <c r="BL77" s="125" t="str">
        <f>REPLACE(INDEX(GroupVertices[Group],MATCH(Edges[[#This Row],[Vertex 2]],GroupVertices[Vertex],0)),1,1,"")</f>
        <v>1</v>
      </c>
      <c r="BM77" s="77">
        <v>45179</v>
      </c>
      <c r="BN77" s="98" t="s">
        <v>419</v>
      </c>
      <c r="BO77" s="35">
        <v>0</v>
      </c>
      <c r="BP77" s="36">
        <v>0</v>
      </c>
      <c r="BQ77" s="35">
        <v>0</v>
      </c>
      <c r="BR77" s="36">
        <v>0</v>
      </c>
      <c r="BS77" s="35">
        <v>0</v>
      </c>
      <c r="BT77" s="36">
        <v>0</v>
      </c>
      <c r="BU77" s="82">
        <v>1</v>
      </c>
      <c r="BV77">
        <v>0</v>
      </c>
      <c r="BW77">
        <v>983</v>
      </c>
      <c r="BX77" t="s">
        <v>420</v>
      </c>
      <c r="CK77" s="52" t="s">
        <v>407</v>
      </c>
      <c r="CL77" s="52" t="s">
        <v>411</v>
      </c>
      <c r="CM77" s="52" t="s">
        <v>407</v>
      </c>
      <c r="CN77" s="52" t="s">
        <v>416</v>
      </c>
    </row>
    <row r="78" spans="1:92" ht="15">
      <c r="A78" s="49" t="s">
        <v>412</v>
      </c>
      <c r="B78" s="49" t="s">
        <v>504</v>
      </c>
      <c r="C78" s="60" t="s">
        <v>505</v>
      </c>
      <c r="D78" s="66">
        <v>10</v>
      </c>
      <c r="E78" s="99" t="s">
        <v>180</v>
      </c>
      <c r="F78" s="67">
        <v>6</v>
      </c>
      <c r="G78" s="60"/>
      <c r="H78" s="54"/>
      <c r="I78" s="68"/>
      <c r="J78" s="68"/>
      <c r="K78" s="30" t="s">
        <v>137</v>
      </c>
      <c r="L78" s="100">
        <v>78</v>
      </c>
      <c r="M78" s="100"/>
      <c r="N78" s="70"/>
      <c r="O78" t="s">
        <v>172</v>
      </c>
      <c r="P78" s="50">
        <v>45177.17633101852</v>
      </c>
      <c r="Q78" t="s">
        <v>462</v>
      </c>
      <c r="U78" s="50">
        <v>45177.17633101852</v>
      </c>
      <c r="V78" s="85" t="str">
        <f>HYPERLINK("https://twitter.com/jeremyl99313994/status/1699999483122340141")</f>
        <v>https://twitter.com/jeremyl99313994/status/1699999483122340141</v>
      </c>
      <c r="Y78" s="52" t="s">
        <v>463</v>
      </c>
      <c r="AA78" s="81">
        <v>196</v>
      </c>
      <c r="AB78" s="35"/>
      <c r="AC78" s="36"/>
      <c r="AD78" s="35"/>
      <c r="AE78" s="36"/>
      <c r="AF78" s="35"/>
      <c r="AG78" s="36"/>
      <c r="AH78" s="35">
        <v>4</v>
      </c>
      <c r="AI78" s="36">
        <v>100</v>
      </c>
      <c r="AJ78" s="35">
        <v>4</v>
      </c>
      <c r="AK78" s="82"/>
      <c r="AL78" s="85" t="str">
        <f t="shared" si="1"/>
        <v>https://pbs.twimg.com/profile_images/1223036536028925952/FSgIEXZc_normal.jpg</v>
      </c>
      <c r="AN78">
        <v>0</v>
      </c>
      <c r="AQ78" t="s">
        <v>142</v>
      </c>
      <c r="AS78" s="52" t="s">
        <v>143</v>
      </c>
      <c r="AU78">
        <v>0</v>
      </c>
      <c r="AV78" s="52" t="s">
        <v>143</v>
      </c>
      <c r="AW78" s="52" t="s">
        <v>157</v>
      </c>
      <c r="AY78" s="52" t="s">
        <v>454</v>
      </c>
      <c r="BK78" s="125" t="str">
        <f>REPLACE(INDEX(GroupVertices[Group],MATCH(Edges[[#This Row],[Vertex 1]],GroupVertices[Vertex],0)),1,1,"")</f>
        <v>1</v>
      </c>
      <c r="BL78" s="125" t="str">
        <f>REPLACE(INDEX(GroupVertices[Group],MATCH(Edges[[#This Row],[Vertex 2]],GroupVertices[Vertex],0)),1,1,"")</f>
        <v>1</v>
      </c>
      <c r="BM78" s="77">
        <v>45177</v>
      </c>
      <c r="BN78" s="98" t="s">
        <v>464</v>
      </c>
      <c r="BO78" s="35">
        <v>0</v>
      </c>
      <c r="BP78" s="36">
        <v>0</v>
      </c>
      <c r="BQ78" s="35">
        <v>0</v>
      </c>
      <c r="BR78" s="36">
        <v>0</v>
      </c>
      <c r="BS78" s="35">
        <v>0</v>
      </c>
      <c r="BT78" s="36">
        <v>0</v>
      </c>
      <c r="BU78" s="82">
        <v>0</v>
      </c>
      <c r="BV78">
        <v>0</v>
      </c>
      <c r="BW78">
        <v>252</v>
      </c>
      <c r="BX78" t="s">
        <v>465</v>
      </c>
      <c r="CK78" s="52" t="s">
        <v>454</v>
      </c>
      <c r="CL78" s="52" t="s">
        <v>458</v>
      </c>
      <c r="CM78" s="52" t="s">
        <v>454</v>
      </c>
      <c r="CN78" s="52" t="s">
        <v>416</v>
      </c>
    </row>
    <row r="79" spans="1:92" ht="15">
      <c r="A79" s="49" t="s">
        <v>412</v>
      </c>
      <c r="B79" s="49" t="s">
        <v>504</v>
      </c>
      <c r="C79" s="60" t="s">
        <v>505</v>
      </c>
      <c r="D79" s="66">
        <v>10</v>
      </c>
      <c r="E79" s="99" t="s">
        <v>180</v>
      </c>
      <c r="F79" s="67">
        <v>6</v>
      </c>
      <c r="G79" s="60"/>
      <c r="H79" s="54"/>
      <c r="I79" s="68"/>
      <c r="J79" s="68"/>
      <c r="K79" s="30" t="s">
        <v>137</v>
      </c>
      <c r="L79" s="100">
        <v>79</v>
      </c>
      <c r="M79" s="100"/>
      <c r="N79" s="70"/>
      <c r="O79" t="s">
        <v>172</v>
      </c>
      <c r="P79" s="50">
        <v>45176.00164351852</v>
      </c>
      <c r="Q79" t="s">
        <v>481</v>
      </c>
      <c r="U79" s="50">
        <v>45176.00164351852</v>
      </c>
      <c r="V79" s="85" t="str">
        <f>HYPERLINK("https://twitter.com/jeremyl99313994/status/1699573789959606683")</f>
        <v>https://twitter.com/jeremyl99313994/status/1699573789959606683</v>
      </c>
      <c r="Y79" s="52" t="s">
        <v>482</v>
      </c>
      <c r="AA79" s="81">
        <v>196</v>
      </c>
      <c r="AB79" s="35"/>
      <c r="AC79" s="36"/>
      <c r="AD79" s="35"/>
      <c r="AE79" s="36"/>
      <c r="AF79" s="35"/>
      <c r="AG79" s="36"/>
      <c r="AH79" s="35">
        <v>4</v>
      </c>
      <c r="AI79" s="36">
        <v>100</v>
      </c>
      <c r="AJ79" s="35">
        <v>4</v>
      </c>
      <c r="AK79" s="82"/>
      <c r="AL79" s="85" t="str">
        <f t="shared" si="1"/>
        <v>https://pbs.twimg.com/profile_images/1223036536028925952/FSgIEXZc_normal.jpg</v>
      </c>
      <c r="AN79">
        <v>0</v>
      </c>
      <c r="AQ79" t="s">
        <v>142</v>
      </c>
      <c r="AS79" s="52" t="s">
        <v>143</v>
      </c>
      <c r="AU79">
        <v>0</v>
      </c>
      <c r="AV79" s="52" t="s">
        <v>143</v>
      </c>
      <c r="AW79" s="52" t="s">
        <v>157</v>
      </c>
      <c r="AY79" s="52" t="s">
        <v>483</v>
      </c>
      <c r="BK79" s="125" t="str">
        <f>REPLACE(INDEX(GroupVertices[Group],MATCH(Edges[[#This Row],[Vertex 1]],GroupVertices[Vertex],0)),1,1,"")</f>
        <v>1</v>
      </c>
      <c r="BL79" s="125" t="str">
        <f>REPLACE(INDEX(GroupVertices[Group],MATCH(Edges[[#This Row],[Vertex 2]],GroupVertices[Vertex],0)),1,1,"")</f>
        <v>1</v>
      </c>
      <c r="BM79" s="77">
        <v>45176</v>
      </c>
      <c r="BN79" s="98" t="s">
        <v>484</v>
      </c>
      <c r="BO79" s="35">
        <v>0</v>
      </c>
      <c r="BP79" s="36">
        <v>0</v>
      </c>
      <c r="BQ79" s="35">
        <v>0</v>
      </c>
      <c r="BR79" s="36">
        <v>0</v>
      </c>
      <c r="BS79" s="35">
        <v>0</v>
      </c>
      <c r="BT79" s="36">
        <v>0</v>
      </c>
      <c r="BU79" s="82">
        <v>1</v>
      </c>
      <c r="BV79">
        <v>0</v>
      </c>
      <c r="BW79">
        <v>2359</v>
      </c>
      <c r="BX79" t="s">
        <v>485</v>
      </c>
      <c r="CK79" s="52" t="s">
        <v>483</v>
      </c>
      <c r="CL79" s="52" t="s">
        <v>486</v>
      </c>
      <c r="CM79" s="52" t="s">
        <v>483</v>
      </c>
      <c r="CN79" s="52" t="s">
        <v>416</v>
      </c>
    </row>
    <row r="80" spans="1:92" ht="15">
      <c r="A80" s="49" t="s">
        <v>412</v>
      </c>
      <c r="B80" s="49" t="s">
        <v>504</v>
      </c>
      <c r="C80" s="60" t="s">
        <v>505</v>
      </c>
      <c r="D80" s="66">
        <v>10</v>
      </c>
      <c r="E80" s="99" t="s">
        <v>180</v>
      </c>
      <c r="F80" s="67">
        <v>6</v>
      </c>
      <c r="G80" s="60"/>
      <c r="H80" s="54"/>
      <c r="I80" s="68"/>
      <c r="J80" s="68"/>
      <c r="K80" s="30" t="s">
        <v>137</v>
      </c>
      <c r="L80" s="100">
        <v>80</v>
      </c>
      <c r="M80" s="100"/>
      <c r="N80" s="70"/>
      <c r="O80" t="s">
        <v>172</v>
      </c>
      <c r="P80" s="50">
        <v>45180.971875</v>
      </c>
      <c r="Q80" t="s">
        <v>430</v>
      </c>
      <c r="U80" s="50">
        <v>45180.971875</v>
      </c>
      <c r="V80" s="85" t="str">
        <f>HYPERLINK("https://twitter.com/jeremyl99313994/status/1701374939868381369")</f>
        <v>https://twitter.com/jeremyl99313994/status/1701374939868381369</v>
      </c>
      <c r="Y80" s="52" t="s">
        <v>431</v>
      </c>
      <c r="AA80" s="81">
        <v>196</v>
      </c>
      <c r="AB80" s="35"/>
      <c r="AC80" s="36"/>
      <c r="AD80" s="35"/>
      <c r="AE80" s="36"/>
      <c r="AF80" s="35"/>
      <c r="AG80" s="36"/>
      <c r="AH80" s="35">
        <v>4</v>
      </c>
      <c r="AI80" s="36">
        <v>100</v>
      </c>
      <c r="AJ80" s="35">
        <v>4</v>
      </c>
      <c r="AK80" s="82"/>
      <c r="AL80" s="85" t="str">
        <f t="shared" si="1"/>
        <v>https://pbs.twimg.com/profile_images/1223036536028925952/FSgIEXZc_normal.jpg</v>
      </c>
      <c r="AN80">
        <v>0</v>
      </c>
      <c r="AQ80" t="s">
        <v>142</v>
      </c>
      <c r="AS80" s="52" t="s">
        <v>143</v>
      </c>
      <c r="AU80">
        <v>0</v>
      </c>
      <c r="AV80" s="52" t="s">
        <v>143</v>
      </c>
      <c r="AW80" s="52" t="s">
        <v>157</v>
      </c>
      <c r="AY80" s="52" t="s">
        <v>423</v>
      </c>
      <c r="BK80" s="125" t="str">
        <f>REPLACE(INDEX(GroupVertices[Group],MATCH(Edges[[#This Row],[Vertex 1]],GroupVertices[Vertex],0)),1,1,"")</f>
        <v>1</v>
      </c>
      <c r="BL80" s="125" t="str">
        <f>REPLACE(INDEX(GroupVertices[Group],MATCH(Edges[[#This Row],[Vertex 2]],GroupVertices[Vertex],0)),1,1,"")</f>
        <v>1</v>
      </c>
      <c r="BM80" s="77">
        <v>45180</v>
      </c>
      <c r="BN80" s="98" t="s">
        <v>432</v>
      </c>
      <c r="BO80" s="35">
        <v>0</v>
      </c>
      <c r="BP80" s="36">
        <v>0</v>
      </c>
      <c r="BQ80" s="35">
        <v>0</v>
      </c>
      <c r="BR80" s="36">
        <v>0</v>
      </c>
      <c r="BS80" s="35">
        <v>0</v>
      </c>
      <c r="BT80" s="36">
        <v>0</v>
      </c>
      <c r="BU80" s="82">
        <v>1</v>
      </c>
      <c r="BV80">
        <v>0</v>
      </c>
      <c r="BW80">
        <v>925</v>
      </c>
      <c r="BX80" t="s">
        <v>433</v>
      </c>
      <c r="CK80" s="52" t="s">
        <v>423</v>
      </c>
      <c r="CL80" s="52" t="s">
        <v>434</v>
      </c>
      <c r="CM80" s="52" t="s">
        <v>423</v>
      </c>
      <c r="CN80" s="52" t="s">
        <v>416</v>
      </c>
    </row>
    <row r="81" spans="1:92" ht="15">
      <c r="A81" s="49" t="s">
        <v>412</v>
      </c>
      <c r="B81" s="49" t="s">
        <v>504</v>
      </c>
      <c r="C81" s="60" t="s">
        <v>505</v>
      </c>
      <c r="D81" s="66">
        <v>10</v>
      </c>
      <c r="E81" s="99" t="s">
        <v>180</v>
      </c>
      <c r="F81" s="67">
        <v>6</v>
      </c>
      <c r="G81" s="60"/>
      <c r="H81" s="54"/>
      <c r="I81" s="68"/>
      <c r="J81" s="68"/>
      <c r="K81" s="30" t="s">
        <v>137</v>
      </c>
      <c r="L81" s="100">
        <v>81</v>
      </c>
      <c r="M81" s="100"/>
      <c r="N81" s="70"/>
      <c r="O81" t="s">
        <v>172</v>
      </c>
      <c r="P81" s="50">
        <v>45179.654131944444</v>
      </c>
      <c r="Q81" t="s">
        <v>445</v>
      </c>
      <c r="U81" s="50">
        <v>45179.654131944444</v>
      </c>
      <c r="V81" s="85" t="str">
        <f>HYPERLINK("https://twitter.com/jeremyl99313994/status/1700897405762506833")</f>
        <v>https://twitter.com/jeremyl99313994/status/1700897405762506833</v>
      </c>
      <c r="Y81" s="52" t="s">
        <v>446</v>
      </c>
      <c r="AA81" s="81">
        <v>196</v>
      </c>
      <c r="AB81" s="35"/>
      <c r="AC81" s="36"/>
      <c r="AD81" s="35"/>
      <c r="AE81" s="36"/>
      <c r="AF81" s="35"/>
      <c r="AG81" s="36"/>
      <c r="AH81" s="35">
        <v>4</v>
      </c>
      <c r="AI81" s="36">
        <v>100</v>
      </c>
      <c r="AJ81" s="35">
        <v>4</v>
      </c>
      <c r="AK81" s="82"/>
      <c r="AL81" s="85" t="str">
        <f t="shared" si="1"/>
        <v>https://pbs.twimg.com/profile_images/1223036536028925952/FSgIEXZc_normal.jpg</v>
      </c>
      <c r="AN81">
        <v>0</v>
      </c>
      <c r="AQ81" t="s">
        <v>142</v>
      </c>
      <c r="AS81" s="52" t="s">
        <v>143</v>
      </c>
      <c r="AU81">
        <v>0</v>
      </c>
      <c r="AV81" s="52" t="s">
        <v>143</v>
      </c>
      <c r="AW81" s="52" t="s">
        <v>157</v>
      </c>
      <c r="AY81" s="52" t="s">
        <v>438</v>
      </c>
      <c r="BK81" s="125" t="str">
        <f>REPLACE(INDEX(GroupVertices[Group],MATCH(Edges[[#This Row],[Vertex 1]],GroupVertices[Vertex],0)),1,1,"")</f>
        <v>1</v>
      </c>
      <c r="BL81" s="125" t="str">
        <f>REPLACE(INDEX(GroupVertices[Group],MATCH(Edges[[#This Row],[Vertex 2]],GroupVertices[Vertex],0)),1,1,"")</f>
        <v>1</v>
      </c>
      <c r="BM81" s="77">
        <v>45179</v>
      </c>
      <c r="BN81" s="98" t="s">
        <v>447</v>
      </c>
      <c r="BO81" s="35">
        <v>0</v>
      </c>
      <c r="BP81" s="36">
        <v>0</v>
      </c>
      <c r="BQ81" s="35">
        <v>0</v>
      </c>
      <c r="BR81" s="36">
        <v>0</v>
      </c>
      <c r="BS81" s="35">
        <v>0</v>
      </c>
      <c r="BT81" s="36">
        <v>0</v>
      </c>
      <c r="BU81" s="82">
        <v>1</v>
      </c>
      <c r="BV81">
        <v>0</v>
      </c>
      <c r="BW81">
        <v>278</v>
      </c>
      <c r="BX81" t="s">
        <v>448</v>
      </c>
      <c r="CK81" s="52" t="s">
        <v>438</v>
      </c>
      <c r="CL81" s="52" t="s">
        <v>449</v>
      </c>
      <c r="CM81" s="52" t="s">
        <v>438</v>
      </c>
      <c r="CN81" s="52" t="s">
        <v>416</v>
      </c>
    </row>
    <row r="82" spans="1:92" ht="15">
      <c r="A82" s="49" t="s">
        <v>412</v>
      </c>
      <c r="B82" s="49" t="s">
        <v>504</v>
      </c>
      <c r="C82" s="60" t="s">
        <v>505</v>
      </c>
      <c r="D82" s="66">
        <v>10</v>
      </c>
      <c r="E82" s="99" t="s">
        <v>180</v>
      </c>
      <c r="F82" s="67">
        <v>6</v>
      </c>
      <c r="G82" s="60"/>
      <c r="H82" s="54"/>
      <c r="I82" s="68"/>
      <c r="J82" s="68"/>
      <c r="K82" s="30" t="s">
        <v>137</v>
      </c>
      <c r="L82" s="100">
        <v>82</v>
      </c>
      <c r="M82" s="100"/>
      <c r="N82" s="70"/>
      <c r="O82" t="s">
        <v>172</v>
      </c>
      <c r="P82" s="50">
        <v>45178.02071759259</v>
      </c>
      <c r="Q82" t="s">
        <v>462</v>
      </c>
      <c r="U82" s="50">
        <v>45178.02071759259</v>
      </c>
      <c r="V82" s="85" t="str">
        <f>HYPERLINK("https://twitter.com/jeremyl99313994/status/1700305478230933733")</f>
        <v>https://twitter.com/jeremyl99313994/status/1700305478230933733</v>
      </c>
      <c r="Y82" s="52" t="s">
        <v>466</v>
      </c>
      <c r="AA82" s="81">
        <v>196</v>
      </c>
      <c r="AB82" s="35"/>
      <c r="AC82" s="36"/>
      <c r="AD82" s="35"/>
      <c r="AE82" s="36"/>
      <c r="AF82" s="35"/>
      <c r="AG82" s="36"/>
      <c r="AH82" s="35">
        <v>4</v>
      </c>
      <c r="AI82" s="36">
        <v>100</v>
      </c>
      <c r="AJ82" s="35">
        <v>4</v>
      </c>
      <c r="AK82" s="82"/>
      <c r="AL82" s="85" t="str">
        <f t="shared" si="1"/>
        <v>https://pbs.twimg.com/profile_images/1223036536028925952/FSgIEXZc_normal.jpg</v>
      </c>
      <c r="AN82">
        <v>0</v>
      </c>
      <c r="AQ82" t="s">
        <v>142</v>
      </c>
      <c r="AS82" s="52" t="s">
        <v>143</v>
      </c>
      <c r="AU82">
        <v>0</v>
      </c>
      <c r="AV82" s="52" t="s">
        <v>143</v>
      </c>
      <c r="AW82" s="52" t="s">
        <v>157</v>
      </c>
      <c r="AY82" s="52" t="s">
        <v>454</v>
      </c>
      <c r="BK82" s="125" t="str">
        <f>REPLACE(INDEX(GroupVertices[Group],MATCH(Edges[[#This Row],[Vertex 1]],GroupVertices[Vertex],0)),1,1,"")</f>
        <v>1</v>
      </c>
      <c r="BL82" s="125" t="str">
        <f>REPLACE(INDEX(GroupVertices[Group],MATCH(Edges[[#This Row],[Vertex 2]],GroupVertices[Vertex],0)),1,1,"")</f>
        <v>1</v>
      </c>
      <c r="BM82" s="77">
        <v>45178</v>
      </c>
      <c r="BN82" s="98" t="s">
        <v>467</v>
      </c>
      <c r="BO82" s="35">
        <v>0</v>
      </c>
      <c r="BP82" s="36">
        <v>0</v>
      </c>
      <c r="BQ82" s="35">
        <v>0</v>
      </c>
      <c r="BR82" s="36">
        <v>0</v>
      </c>
      <c r="BS82" s="35">
        <v>0</v>
      </c>
      <c r="BT82" s="36">
        <v>0</v>
      </c>
      <c r="BU82" s="82">
        <v>0</v>
      </c>
      <c r="BV82">
        <v>0</v>
      </c>
      <c r="BW82">
        <v>39</v>
      </c>
      <c r="BX82" t="s">
        <v>465</v>
      </c>
      <c r="CK82" s="52" t="s">
        <v>454</v>
      </c>
      <c r="CL82" s="52" t="s">
        <v>458</v>
      </c>
      <c r="CM82" s="52" t="s">
        <v>454</v>
      </c>
      <c r="CN82" s="52" t="s">
        <v>416</v>
      </c>
    </row>
    <row r="83" spans="1:92" ht="15">
      <c r="A83" s="49" t="s">
        <v>412</v>
      </c>
      <c r="B83" s="49" t="s">
        <v>504</v>
      </c>
      <c r="C83" s="60" t="s">
        <v>505</v>
      </c>
      <c r="D83" s="66">
        <v>10</v>
      </c>
      <c r="E83" s="99" t="s">
        <v>180</v>
      </c>
      <c r="F83" s="67">
        <v>6</v>
      </c>
      <c r="G83" s="60"/>
      <c r="H83" s="54"/>
      <c r="I83" s="68"/>
      <c r="J83" s="68"/>
      <c r="K83" s="30" t="s">
        <v>137</v>
      </c>
      <c r="L83" s="100">
        <v>83</v>
      </c>
      <c r="M83" s="100"/>
      <c r="N83" s="70"/>
      <c r="O83" t="s">
        <v>172</v>
      </c>
      <c r="P83" s="50">
        <v>45177.00965277778</v>
      </c>
      <c r="Q83" t="s">
        <v>506</v>
      </c>
      <c r="U83" s="50">
        <v>45177.00965277778</v>
      </c>
      <c r="V83" s="85" t="str">
        <f>HYPERLINK("https://twitter.com/jeremyl99313994/status/1699939080648425550")</f>
        <v>https://twitter.com/jeremyl99313994/status/1699939080648425550</v>
      </c>
      <c r="Y83" s="52" t="s">
        <v>507</v>
      </c>
      <c r="AA83" s="81">
        <v>196</v>
      </c>
      <c r="AB83" s="35"/>
      <c r="AC83" s="36"/>
      <c r="AD83" s="35"/>
      <c r="AE83" s="36"/>
      <c r="AF83" s="35"/>
      <c r="AG83" s="36"/>
      <c r="AH83" s="35"/>
      <c r="AI83" s="36"/>
      <c r="AJ83" s="35"/>
      <c r="AK83" s="82"/>
      <c r="AL83" s="85" t="str">
        <f t="shared" si="1"/>
        <v>https://pbs.twimg.com/profile_images/1223036536028925952/FSgIEXZc_normal.jpg</v>
      </c>
      <c r="AN83">
        <v>2</v>
      </c>
      <c r="AQ83" t="s">
        <v>142</v>
      </c>
      <c r="AS83" s="52" t="s">
        <v>143</v>
      </c>
      <c r="AU83">
        <v>0</v>
      </c>
      <c r="AV83" s="52" t="s">
        <v>143</v>
      </c>
      <c r="AW83" s="52" t="s">
        <v>157</v>
      </c>
      <c r="AY83" s="52" t="s">
        <v>508</v>
      </c>
      <c r="BK83" s="125" t="str">
        <f>REPLACE(INDEX(GroupVertices[Group],MATCH(Edges[[#This Row],[Vertex 1]],GroupVertices[Vertex],0)),1,1,"")</f>
        <v>1</v>
      </c>
      <c r="BL83" s="125" t="str">
        <f>REPLACE(INDEX(GroupVertices[Group],MATCH(Edges[[#This Row],[Vertex 2]],GroupVertices[Vertex],0)),1,1,"")</f>
        <v>1</v>
      </c>
      <c r="BM83" s="77">
        <v>45177</v>
      </c>
      <c r="BN83" s="98" t="s">
        <v>509</v>
      </c>
      <c r="BO83" s="35"/>
      <c r="BP83" s="36"/>
      <c r="BQ83" s="35"/>
      <c r="BR83" s="36"/>
      <c r="BS83" s="35"/>
      <c r="BT83" s="36"/>
      <c r="BU83" s="82">
        <v>1</v>
      </c>
      <c r="BV83">
        <v>0</v>
      </c>
      <c r="BW83">
        <v>1785</v>
      </c>
      <c r="BX83" t="s">
        <v>510</v>
      </c>
      <c r="CK83" s="52" t="s">
        <v>508</v>
      </c>
      <c r="CL83" s="52" t="s">
        <v>511</v>
      </c>
      <c r="CM83" s="52" t="s">
        <v>508</v>
      </c>
      <c r="CN83" s="52" t="s">
        <v>416</v>
      </c>
    </row>
    <row r="84" spans="1:92" ht="15">
      <c r="A84" s="49" t="s">
        <v>412</v>
      </c>
      <c r="B84" s="49" t="s">
        <v>504</v>
      </c>
      <c r="C84" s="60" t="s">
        <v>505</v>
      </c>
      <c r="D84" s="66">
        <v>10</v>
      </c>
      <c r="E84" s="99" t="s">
        <v>180</v>
      </c>
      <c r="F84" s="67">
        <v>6</v>
      </c>
      <c r="G84" s="60"/>
      <c r="H84" s="54"/>
      <c r="I84" s="68"/>
      <c r="J84" s="68"/>
      <c r="K84" s="30" t="s">
        <v>137</v>
      </c>
      <c r="L84" s="100">
        <v>84</v>
      </c>
      <c r="M84" s="100"/>
      <c r="N84" s="70"/>
      <c r="O84" t="s">
        <v>172</v>
      </c>
      <c r="P84" s="50">
        <v>45182.15739583333</v>
      </c>
      <c r="Q84" t="s">
        <v>506</v>
      </c>
      <c r="U84" s="50">
        <v>45182.15739583333</v>
      </c>
      <c r="V84" s="85" t="str">
        <f>HYPERLINK("https://twitter.com/jeremyl99313994/status/1701804557729468781")</f>
        <v>https://twitter.com/jeremyl99313994/status/1701804557729468781</v>
      </c>
      <c r="Y84" s="52" t="s">
        <v>512</v>
      </c>
      <c r="AA84" s="81">
        <v>196</v>
      </c>
      <c r="AB84" s="35"/>
      <c r="AC84" s="36"/>
      <c r="AD84" s="35"/>
      <c r="AE84" s="36"/>
      <c r="AF84" s="35"/>
      <c r="AG84" s="36"/>
      <c r="AH84" s="35"/>
      <c r="AI84" s="36"/>
      <c r="AJ84" s="35"/>
      <c r="AK84" s="82"/>
      <c r="AL84" s="85" t="str">
        <f t="shared" si="1"/>
        <v>https://pbs.twimg.com/profile_images/1223036536028925952/FSgIEXZc_normal.jpg</v>
      </c>
      <c r="AN84">
        <v>0</v>
      </c>
      <c r="AQ84" t="s">
        <v>142</v>
      </c>
      <c r="AS84" s="52" t="s">
        <v>143</v>
      </c>
      <c r="AU84">
        <v>0</v>
      </c>
      <c r="AV84" s="52" t="s">
        <v>143</v>
      </c>
      <c r="AW84" s="52" t="s">
        <v>157</v>
      </c>
      <c r="AY84" s="52" t="s">
        <v>513</v>
      </c>
      <c r="BK84" s="125" t="str">
        <f>REPLACE(INDEX(GroupVertices[Group],MATCH(Edges[[#This Row],[Vertex 1]],GroupVertices[Vertex],0)),1,1,"")</f>
        <v>1</v>
      </c>
      <c r="BL84" s="125" t="str">
        <f>REPLACE(INDEX(GroupVertices[Group],MATCH(Edges[[#This Row],[Vertex 2]],GroupVertices[Vertex],0)),1,1,"")</f>
        <v>1</v>
      </c>
      <c r="BM84" s="77">
        <v>45182</v>
      </c>
      <c r="BN84" s="98" t="s">
        <v>514</v>
      </c>
      <c r="BO84" s="35"/>
      <c r="BP84" s="36"/>
      <c r="BQ84" s="35"/>
      <c r="BR84" s="36"/>
      <c r="BS84" s="35"/>
      <c r="BT84" s="36"/>
      <c r="BU84" s="82">
        <v>1</v>
      </c>
      <c r="BV84">
        <v>0</v>
      </c>
      <c r="BW84">
        <v>1233</v>
      </c>
      <c r="BX84" t="s">
        <v>510</v>
      </c>
      <c r="CK84" s="52" t="s">
        <v>513</v>
      </c>
      <c r="CL84" s="52" t="s">
        <v>511</v>
      </c>
      <c r="CM84" s="52" t="s">
        <v>513</v>
      </c>
      <c r="CN84" s="52" t="s">
        <v>416</v>
      </c>
    </row>
    <row r="85" spans="1:92" ht="15">
      <c r="A85" s="49" t="s">
        <v>412</v>
      </c>
      <c r="B85" s="49" t="s">
        <v>504</v>
      </c>
      <c r="C85" s="60" t="s">
        <v>505</v>
      </c>
      <c r="D85" s="66">
        <v>10</v>
      </c>
      <c r="E85" s="99" t="s">
        <v>180</v>
      </c>
      <c r="F85" s="67">
        <v>6</v>
      </c>
      <c r="G85" s="60"/>
      <c r="H85" s="54"/>
      <c r="I85" s="68"/>
      <c r="J85" s="68"/>
      <c r="K85" s="30" t="s">
        <v>137</v>
      </c>
      <c r="L85" s="100">
        <v>85</v>
      </c>
      <c r="M85" s="100"/>
      <c r="N85" s="70"/>
      <c r="O85" t="s">
        <v>172</v>
      </c>
      <c r="P85" s="50">
        <v>45181.46109953704</v>
      </c>
      <c r="Q85" t="s">
        <v>476</v>
      </c>
      <c r="U85" s="50">
        <v>45181.46109953704</v>
      </c>
      <c r="V85" s="85" t="str">
        <f>HYPERLINK("https://twitter.com/jeremyl99313994/status/1701552230913261834")</f>
        <v>https://twitter.com/jeremyl99313994/status/1701552230913261834</v>
      </c>
      <c r="Y85" s="52" t="s">
        <v>477</v>
      </c>
      <c r="AA85" s="81">
        <v>196</v>
      </c>
      <c r="AB85" s="35"/>
      <c r="AC85" s="36"/>
      <c r="AD85" s="35"/>
      <c r="AE85" s="36"/>
      <c r="AF85" s="35"/>
      <c r="AG85" s="36"/>
      <c r="AH85" s="35">
        <v>4</v>
      </c>
      <c r="AI85" s="36">
        <v>100</v>
      </c>
      <c r="AJ85" s="35">
        <v>4</v>
      </c>
      <c r="AK85" s="82"/>
      <c r="AL85" s="85" t="str">
        <f t="shared" si="1"/>
        <v>https://pbs.twimg.com/profile_images/1223036536028925952/FSgIEXZc_normal.jpg</v>
      </c>
      <c r="AN85">
        <v>0</v>
      </c>
      <c r="AQ85" t="s">
        <v>142</v>
      </c>
      <c r="AS85" s="52" t="s">
        <v>143</v>
      </c>
      <c r="AU85">
        <v>0</v>
      </c>
      <c r="AV85" s="52" t="s">
        <v>143</v>
      </c>
      <c r="AW85" s="52" t="s">
        <v>157</v>
      </c>
      <c r="AY85" s="52" t="s">
        <v>470</v>
      </c>
      <c r="BK85" s="125" t="str">
        <f>REPLACE(INDEX(GroupVertices[Group],MATCH(Edges[[#This Row],[Vertex 1]],GroupVertices[Vertex],0)),1,1,"")</f>
        <v>1</v>
      </c>
      <c r="BL85" s="125" t="str">
        <f>REPLACE(INDEX(GroupVertices[Group],MATCH(Edges[[#This Row],[Vertex 2]],GroupVertices[Vertex],0)),1,1,"")</f>
        <v>1</v>
      </c>
      <c r="BM85" s="77">
        <v>45181</v>
      </c>
      <c r="BN85" s="98" t="s">
        <v>478</v>
      </c>
      <c r="BO85" s="35">
        <v>0</v>
      </c>
      <c r="BP85" s="36">
        <v>0</v>
      </c>
      <c r="BQ85" s="35">
        <v>0</v>
      </c>
      <c r="BR85" s="36">
        <v>0</v>
      </c>
      <c r="BS85" s="35">
        <v>0</v>
      </c>
      <c r="BT85" s="36">
        <v>0</v>
      </c>
      <c r="BU85" s="82">
        <v>1</v>
      </c>
      <c r="BV85">
        <v>0</v>
      </c>
      <c r="BW85">
        <v>903</v>
      </c>
      <c r="BX85" t="s">
        <v>479</v>
      </c>
      <c r="CK85" s="52" t="s">
        <v>470</v>
      </c>
      <c r="CL85" s="52" t="s">
        <v>472</v>
      </c>
      <c r="CM85" s="52" t="s">
        <v>470</v>
      </c>
      <c r="CN85" s="52" t="s">
        <v>416</v>
      </c>
    </row>
    <row r="86" spans="1:92" ht="15">
      <c r="A86" s="49" t="s">
        <v>412</v>
      </c>
      <c r="B86" s="49" t="s">
        <v>504</v>
      </c>
      <c r="C86" s="60" t="s">
        <v>505</v>
      </c>
      <c r="D86" s="66">
        <v>10</v>
      </c>
      <c r="E86" s="99" t="s">
        <v>180</v>
      </c>
      <c r="F86" s="67">
        <v>6</v>
      </c>
      <c r="G86" s="60"/>
      <c r="H86" s="54"/>
      <c r="I86" s="68"/>
      <c r="J86" s="68"/>
      <c r="K86" s="30" t="s">
        <v>137</v>
      </c>
      <c r="L86" s="100">
        <v>86</v>
      </c>
      <c r="M86" s="100"/>
      <c r="N86" s="70"/>
      <c r="O86" t="s">
        <v>172</v>
      </c>
      <c r="P86" s="50">
        <v>45179.65729166667</v>
      </c>
      <c r="Q86" t="s">
        <v>506</v>
      </c>
      <c r="U86" s="50">
        <v>45179.65729166667</v>
      </c>
      <c r="V86" s="85" t="str">
        <f>HYPERLINK("https://twitter.com/jeremyl99313994/status/1700898552883577270")</f>
        <v>https://twitter.com/jeremyl99313994/status/1700898552883577270</v>
      </c>
      <c r="Y86" s="52" t="s">
        <v>515</v>
      </c>
      <c r="AA86" s="81">
        <v>196</v>
      </c>
      <c r="AB86" s="35"/>
      <c r="AC86" s="36"/>
      <c r="AD86" s="35"/>
      <c r="AE86" s="36"/>
      <c r="AF86" s="35"/>
      <c r="AG86" s="36"/>
      <c r="AH86" s="35"/>
      <c r="AI86" s="36"/>
      <c r="AJ86" s="35"/>
      <c r="AK86" s="82"/>
      <c r="AL86" s="85" t="str">
        <f t="shared" si="1"/>
        <v>https://pbs.twimg.com/profile_images/1223036536028925952/FSgIEXZc_normal.jpg</v>
      </c>
      <c r="AN86">
        <v>1</v>
      </c>
      <c r="AQ86" t="s">
        <v>142</v>
      </c>
      <c r="AS86" s="52" t="s">
        <v>143</v>
      </c>
      <c r="AU86">
        <v>0</v>
      </c>
      <c r="AV86" s="52" t="s">
        <v>143</v>
      </c>
      <c r="AW86" s="52" t="s">
        <v>157</v>
      </c>
      <c r="AY86" s="52" t="s">
        <v>516</v>
      </c>
      <c r="BK86" s="125" t="str">
        <f>REPLACE(INDEX(GroupVertices[Group],MATCH(Edges[[#This Row],[Vertex 1]],GroupVertices[Vertex],0)),1,1,"")</f>
        <v>1</v>
      </c>
      <c r="BL86" s="125" t="str">
        <f>REPLACE(INDEX(GroupVertices[Group],MATCH(Edges[[#This Row],[Vertex 2]],GroupVertices[Vertex],0)),1,1,"")</f>
        <v>1</v>
      </c>
      <c r="BM86" s="77">
        <v>45179</v>
      </c>
      <c r="BN86" s="98" t="s">
        <v>517</v>
      </c>
      <c r="BO86" s="35"/>
      <c r="BP86" s="36"/>
      <c r="BQ86" s="35"/>
      <c r="BR86" s="36"/>
      <c r="BS86" s="35"/>
      <c r="BT86" s="36"/>
      <c r="BU86" s="82">
        <v>1</v>
      </c>
      <c r="BV86">
        <v>0</v>
      </c>
      <c r="BW86">
        <v>2055</v>
      </c>
      <c r="BX86" t="s">
        <v>510</v>
      </c>
      <c r="CK86" s="52" t="s">
        <v>516</v>
      </c>
      <c r="CL86" s="52" t="s">
        <v>511</v>
      </c>
      <c r="CM86" s="52" t="s">
        <v>516</v>
      </c>
      <c r="CN86" s="52" t="s">
        <v>416</v>
      </c>
    </row>
    <row r="87" spans="1:92" ht="15">
      <c r="A87" s="49" t="s">
        <v>412</v>
      </c>
      <c r="B87" s="49" t="s">
        <v>504</v>
      </c>
      <c r="C87" s="60" t="s">
        <v>505</v>
      </c>
      <c r="D87" s="66">
        <v>10</v>
      </c>
      <c r="E87" s="99" t="s">
        <v>180</v>
      </c>
      <c r="F87" s="67">
        <v>6</v>
      </c>
      <c r="G87" s="60"/>
      <c r="H87" s="54"/>
      <c r="I87" s="68"/>
      <c r="J87" s="68"/>
      <c r="K87" s="30" t="s">
        <v>137</v>
      </c>
      <c r="L87" s="100">
        <v>87</v>
      </c>
      <c r="M87" s="100"/>
      <c r="N87" s="70"/>
      <c r="O87" t="s">
        <v>172</v>
      </c>
      <c r="P87" s="50">
        <v>45180.97091435185</v>
      </c>
      <c r="Q87" t="s">
        <v>481</v>
      </c>
      <c r="U87" s="50">
        <v>45180.97091435185</v>
      </c>
      <c r="V87" s="85" t="str">
        <f>HYPERLINK("https://twitter.com/jeremyl99313994/status/1701374592928133497")</f>
        <v>https://twitter.com/jeremyl99313994/status/1701374592928133497</v>
      </c>
      <c r="Y87" s="52" t="s">
        <v>487</v>
      </c>
      <c r="AA87" s="81">
        <v>196</v>
      </c>
      <c r="AB87" s="35"/>
      <c r="AC87" s="36"/>
      <c r="AD87" s="35"/>
      <c r="AE87" s="36"/>
      <c r="AF87" s="35"/>
      <c r="AG87" s="36"/>
      <c r="AH87" s="35">
        <v>4</v>
      </c>
      <c r="AI87" s="36">
        <v>100</v>
      </c>
      <c r="AJ87" s="35">
        <v>4</v>
      </c>
      <c r="AK87" s="82"/>
      <c r="AL87" s="85" t="str">
        <f t="shared" si="1"/>
        <v>https://pbs.twimg.com/profile_images/1223036536028925952/FSgIEXZc_normal.jpg</v>
      </c>
      <c r="AN87">
        <v>0</v>
      </c>
      <c r="AQ87" t="s">
        <v>142</v>
      </c>
      <c r="AS87" s="52" t="s">
        <v>143</v>
      </c>
      <c r="AU87">
        <v>0</v>
      </c>
      <c r="AV87" s="52" t="s">
        <v>143</v>
      </c>
      <c r="AW87" s="52" t="s">
        <v>157</v>
      </c>
      <c r="AY87" s="52" t="s">
        <v>488</v>
      </c>
      <c r="BK87" s="125" t="str">
        <f>REPLACE(INDEX(GroupVertices[Group],MATCH(Edges[[#This Row],[Vertex 1]],GroupVertices[Vertex],0)),1,1,"")</f>
        <v>1</v>
      </c>
      <c r="BL87" s="125" t="str">
        <f>REPLACE(INDEX(GroupVertices[Group],MATCH(Edges[[#This Row],[Vertex 2]],GroupVertices[Vertex],0)),1,1,"")</f>
        <v>1</v>
      </c>
      <c r="BM87" s="77">
        <v>45180</v>
      </c>
      <c r="BN87" s="98" t="s">
        <v>489</v>
      </c>
      <c r="BO87" s="35">
        <v>0</v>
      </c>
      <c r="BP87" s="36">
        <v>0</v>
      </c>
      <c r="BQ87" s="35">
        <v>0</v>
      </c>
      <c r="BR87" s="36">
        <v>0</v>
      </c>
      <c r="BS87" s="35">
        <v>0</v>
      </c>
      <c r="BT87" s="36">
        <v>0</v>
      </c>
      <c r="BU87" s="82">
        <v>1</v>
      </c>
      <c r="BV87">
        <v>0</v>
      </c>
      <c r="BW87">
        <v>977</v>
      </c>
      <c r="BX87" t="s">
        <v>485</v>
      </c>
      <c r="CK87" s="52" t="s">
        <v>488</v>
      </c>
      <c r="CL87" s="52" t="s">
        <v>486</v>
      </c>
      <c r="CM87" s="52" t="s">
        <v>488</v>
      </c>
      <c r="CN87" s="52" t="s">
        <v>416</v>
      </c>
    </row>
    <row r="88" spans="1:92" ht="15">
      <c r="A88" s="49" t="s">
        <v>412</v>
      </c>
      <c r="B88" s="49" t="s">
        <v>504</v>
      </c>
      <c r="C88" s="60" t="s">
        <v>505</v>
      </c>
      <c r="D88" s="66">
        <v>10</v>
      </c>
      <c r="E88" s="99" t="s">
        <v>180</v>
      </c>
      <c r="F88" s="67">
        <v>6</v>
      </c>
      <c r="G88" s="60"/>
      <c r="H88" s="54"/>
      <c r="I88" s="68"/>
      <c r="J88" s="68"/>
      <c r="K88" s="30" t="s">
        <v>137</v>
      </c>
      <c r="L88" s="100">
        <v>88</v>
      </c>
      <c r="M88" s="100"/>
      <c r="N88" s="70"/>
      <c r="O88" t="s">
        <v>172</v>
      </c>
      <c r="P88" s="50">
        <v>45177.1862962963</v>
      </c>
      <c r="Q88" t="s">
        <v>518</v>
      </c>
      <c r="U88" s="50">
        <v>45177.1862962963</v>
      </c>
      <c r="V88" s="85" t="str">
        <f>HYPERLINK("https://twitter.com/jeremyl99313994/status/1700003093323386901")</f>
        <v>https://twitter.com/jeremyl99313994/status/1700003093323386901</v>
      </c>
      <c r="Y88" s="52" t="s">
        <v>519</v>
      </c>
      <c r="AA88" s="81">
        <v>196</v>
      </c>
      <c r="AB88" s="35"/>
      <c r="AC88" s="36"/>
      <c r="AD88" s="35"/>
      <c r="AE88" s="36"/>
      <c r="AF88" s="35"/>
      <c r="AG88" s="36"/>
      <c r="AH88" s="35"/>
      <c r="AI88" s="36"/>
      <c r="AJ88" s="35"/>
      <c r="AK88" s="82"/>
      <c r="AL88" s="85" t="str">
        <f t="shared" si="1"/>
        <v>https://pbs.twimg.com/profile_images/1223036536028925952/FSgIEXZc_normal.jpg</v>
      </c>
      <c r="AN88">
        <v>0</v>
      </c>
      <c r="AQ88" t="s">
        <v>142</v>
      </c>
      <c r="AS88" s="52" t="s">
        <v>143</v>
      </c>
      <c r="AU88">
        <v>0</v>
      </c>
      <c r="AV88" s="52" t="s">
        <v>143</v>
      </c>
      <c r="AW88" s="52" t="s">
        <v>157</v>
      </c>
      <c r="AY88" s="52" t="s">
        <v>520</v>
      </c>
      <c r="BK88" s="125" t="str">
        <f>REPLACE(INDEX(GroupVertices[Group],MATCH(Edges[[#This Row],[Vertex 1]],GroupVertices[Vertex],0)),1,1,"")</f>
        <v>1</v>
      </c>
      <c r="BL88" s="125" t="str">
        <f>REPLACE(INDEX(GroupVertices[Group],MATCH(Edges[[#This Row],[Vertex 2]],GroupVertices[Vertex],0)),1,1,"")</f>
        <v>1</v>
      </c>
      <c r="BM88" s="77">
        <v>45177</v>
      </c>
      <c r="BN88" s="98" t="s">
        <v>521</v>
      </c>
      <c r="BO88" s="35"/>
      <c r="BP88" s="36"/>
      <c r="BQ88" s="35"/>
      <c r="BR88" s="36"/>
      <c r="BS88" s="35"/>
      <c r="BT88" s="36"/>
      <c r="BU88" s="82">
        <v>1</v>
      </c>
      <c r="BV88">
        <v>0</v>
      </c>
      <c r="BW88">
        <v>2227</v>
      </c>
      <c r="BX88" t="s">
        <v>522</v>
      </c>
      <c r="CK88" s="52" t="s">
        <v>520</v>
      </c>
      <c r="CL88" s="52" t="s">
        <v>523</v>
      </c>
      <c r="CM88" s="52" t="s">
        <v>520</v>
      </c>
      <c r="CN88" s="52" t="s">
        <v>416</v>
      </c>
    </row>
    <row r="89" spans="1:92" ht="15">
      <c r="A89" s="49" t="s">
        <v>412</v>
      </c>
      <c r="B89" s="49" t="s">
        <v>504</v>
      </c>
      <c r="C89" s="60" t="s">
        <v>505</v>
      </c>
      <c r="D89" s="66">
        <v>10</v>
      </c>
      <c r="E89" s="99" t="s">
        <v>180</v>
      </c>
      <c r="F89" s="67">
        <v>6</v>
      </c>
      <c r="G89" s="60"/>
      <c r="H89" s="54"/>
      <c r="I89" s="68"/>
      <c r="J89" s="68"/>
      <c r="K89" s="30" t="s">
        <v>137</v>
      </c>
      <c r="L89" s="100">
        <v>89</v>
      </c>
      <c r="M89" s="100"/>
      <c r="N89" s="70"/>
      <c r="O89" t="s">
        <v>172</v>
      </c>
      <c r="P89" s="50">
        <v>45182.497407407405</v>
      </c>
      <c r="Q89" t="s">
        <v>496</v>
      </c>
      <c r="U89" s="50">
        <v>45182.497407407405</v>
      </c>
      <c r="V89" s="85" t="str">
        <f>HYPERLINK("https://twitter.com/jeremyl99313994/status/1701927775815496085")</f>
        <v>https://twitter.com/jeremyl99313994/status/1701927775815496085</v>
      </c>
      <c r="Y89" s="52" t="s">
        <v>497</v>
      </c>
      <c r="AA89" s="81">
        <v>196</v>
      </c>
      <c r="AB89" s="35"/>
      <c r="AC89" s="36"/>
      <c r="AD89" s="35"/>
      <c r="AE89" s="36"/>
      <c r="AF89" s="35"/>
      <c r="AG89" s="36"/>
      <c r="AH89" s="35">
        <v>4</v>
      </c>
      <c r="AI89" s="36">
        <v>100</v>
      </c>
      <c r="AJ89" s="35">
        <v>4</v>
      </c>
      <c r="AK89" s="82"/>
      <c r="AL89" s="85" t="str">
        <f t="shared" si="1"/>
        <v>https://pbs.twimg.com/profile_images/1223036536028925952/FSgIEXZc_normal.jpg</v>
      </c>
      <c r="AN89">
        <v>0</v>
      </c>
      <c r="AQ89" t="s">
        <v>142</v>
      </c>
      <c r="AS89" s="52" t="s">
        <v>143</v>
      </c>
      <c r="AU89">
        <v>0</v>
      </c>
      <c r="AV89" s="52" t="s">
        <v>143</v>
      </c>
      <c r="AW89" s="52" t="s">
        <v>157</v>
      </c>
      <c r="AY89" s="52" t="s">
        <v>492</v>
      </c>
      <c r="BK89" s="125" t="str">
        <f>REPLACE(INDEX(GroupVertices[Group],MATCH(Edges[[#This Row],[Vertex 1]],GroupVertices[Vertex],0)),1,1,"")</f>
        <v>1</v>
      </c>
      <c r="BL89" s="125" t="str">
        <f>REPLACE(INDEX(GroupVertices[Group],MATCH(Edges[[#This Row],[Vertex 2]],GroupVertices[Vertex],0)),1,1,"")</f>
        <v>1</v>
      </c>
      <c r="BM89" s="77">
        <v>45182</v>
      </c>
      <c r="BN89" s="98" t="s">
        <v>498</v>
      </c>
      <c r="BO89" s="35">
        <v>0</v>
      </c>
      <c r="BP89" s="36">
        <v>0</v>
      </c>
      <c r="BQ89" s="35">
        <v>0</v>
      </c>
      <c r="BR89" s="36">
        <v>0</v>
      </c>
      <c r="BS89" s="35">
        <v>0</v>
      </c>
      <c r="BT89" s="36">
        <v>0</v>
      </c>
      <c r="BU89" s="82">
        <v>1</v>
      </c>
      <c r="BV89">
        <v>0</v>
      </c>
      <c r="BW89">
        <v>864</v>
      </c>
      <c r="BX89" t="s">
        <v>499</v>
      </c>
      <c r="CK89" s="52" t="s">
        <v>492</v>
      </c>
      <c r="CL89" s="52" t="s">
        <v>500</v>
      </c>
      <c r="CM89" s="52" t="s">
        <v>492</v>
      </c>
      <c r="CN89" s="52" t="s">
        <v>416</v>
      </c>
    </row>
    <row r="90" spans="1:92" ht="15">
      <c r="A90" s="49" t="s">
        <v>412</v>
      </c>
      <c r="B90" s="49" t="s">
        <v>504</v>
      </c>
      <c r="C90" s="60" t="s">
        <v>505</v>
      </c>
      <c r="D90" s="66">
        <v>10</v>
      </c>
      <c r="E90" s="99" t="s">
        <v>180</v>
      </c>
      <c r="F90" s="67">
        <v>6</v>
      </c>
      <c r="G90" s="60"/>
      <c r="H90" s="54"/>
      <c r="I90" s="68"/>
      <c r="J90" s="68"/>
      <c r="K90" s="30" t="s">
        <v>137</v>
      </c>
      <c r="L90" s="100">
        <v>90</v>
      </c>
      <c r="M90" s="100"/>
      <c r="N90" s="70"/>
      <c r="O90" t="s">
        <v>172</v>
      </c>
      <c r="P90" s="50">
        <v>45181.46287037037</v>
      </c>
      <c r="Q90" t="s">
        <v>524</v>
      </c>
      <c r="U90" s="50">
        <v>45181.46287037037</v>
      </c>
      <c r="V90" s="85" t="str">
        <f>HYPERLINK("https://twitter.com/jeremyl99313994/status/1701552870439698704")</f>
        <v>https://twitter.com/jeremyl99313994/status/1701552870439698704</v>
      </c>
      <c r="Y90" s="52" t="s">
        <v>525</v>
      </c>
      <c r="AA90" s="81">
        <v>196</v>
      </c>
      <c r="AB90" s="35"/>
      <c r="AC90" s="36"/>
      <c r="AD90" s="35"/>
      <c r="AE90" s="36"/>
      <c r="AF90" s="35"/>
      <c r="AG90" s="36"/>
      <c r="AH90" s="35"/>
      <c r="AI90" s="36"/>
      <c r="AJ90" s="35"/>
      <c r="AK90" s="82"/>
      <c r="AL90" s="85" t="str">
        <f t="shared" si="1"/>
        <v>https://pbs.twimg.com/profile_images/1223036536028925952/FSgIEXZc_normal.jpg</v>
      </c>
      <c r="AN90">
        <v>0</v>
      </c>
      <c r="AQ90" t="s">
        <v>142</v>
      </c>
      <c r="AS90" s="52" t="s">
        <v>143</v>
      </c>
      <c r="AU90">
        <v>0</v>
      </c>
      <c r="AV90" s="52" t="s">
        <v>143</v>
      </c>
      <c r="AW90" s="52" t="s">
        <v>157</v>
      </c>
      <c r="AY90" s="52" t="s">
        <v>526</v>
      </c>
      <c r="BK90" s="125" t="str">
        <f>REPLACE(INDEX(GroupVertices[Group],MATCH(Edges[[#This Row],[Vertex 1]],GroupVertices[Vertex],0)),1,1,"")</f>
        <v>1</v>
      </c>
      <c r="BL90" s="125" t="str">
        <f>REPLACE(INDEX(GroupVertices[Group],MATCH(Edges[[#This Row],[Vertex 2]],GroupVertices[Vertex],0)),1,1,"")</f>
        <v>1</v>
      </c>
      <c r="BM90" s="77">
        <v>45181</v>
      </c>
      <c r="BN90" s="98" t="s">
        <v>527</v>
      </c>
      <c r="BO90" s="35"/>
      <c r="BP90" s="36"/>
      <c r="BQ90" s="35"/>
      <c r="BR90" s="36"/>
      <c r="BS90" s="35"/>
      <c r="BT90" s="36"/>
      <c r="BU90" s="82">
        <v>0</v>
      </c>
      <c r="BV90">
        <v>0</v>
      </c>
      <c r="BW90">
        <v>278</v>
      </c>
      <c r="BX90" t="s">
        <v>528</v>
      </c>
      <c r="CK90" s="52" t="s">
        <v>526</v>
      </c>
      <c r="CL90" s="52" t="s">
        <v>529</v>
      </c>
      <c r="CM90" s="52" t="s">
        <v>526</v>
      </c>
      <c r="CN90" s="52" t="s">
        <v>416</v>
      </c>
    </row>
    <row r="91" spans="1:92" ht="15">
      <c r="A91" s="49" t="s">
        <v>530</v>
      </c>
      <c r="B91" s="49" t="s">
        <v>530</v>
      </c>
      <c r="C91" s="60" t="s">
        <v>2249</v>
      </c>
      <c r="D91" s="66">
        <v>10</v>
      </c>
      <c r="E91" s="99" t="s">
        <v>180</v>
      </c>
      <c r="F91" s="67">
        <v>15.58974358974359</v>
      </c>
      <c r="G91" s="60"/>
      <c r="H91" s="54"/>
      <c r="I91" s="68"/>
      <c r="J91" s="68"/>
      <c r="K91" s="30" t="s">
        <v>137</v>
      </c>
      <c r="L91" s="100">
        <v>91</v>
      </c>
      <c r="M91" s="100"/>
      <c r="N91" s="70"/>
      <c r="O91" t="s">
        <v>21</v>
      </c>
      <c r="P91" s="50">
        <v>45176.998611111114</v>
      </c>
      <c r="Q91" t="s">
        <v>531</v>
      </c>
      <c r="R91" s="85" t="str">
        <f>HYPERLINK("https://bookstash.io/")</f>
        <v>https://bookstash.io/</v>
      </c>
      <c r="S91" t="s">
        <v>532</v>
      </c>
      <c r="T91" s="52" t="s">
        <v>533</v>
      </c>
      <c r="U91" s="50">
        <v>45176.998611111114</v>
      </c>
      <c r="V91" s="85" t="str">
        <f>HYPERLINK("https://twitter.com/hitw93/status/1699935076702695905")</f>
        <v>https://twitter.com/hitw93/status/1699935076702695905</v>
      </c>
      <c r="Y91" s="52" t="s">
        <v>508</v>
      </c>
      <c r="AA91" s="81">
        <v>9</v>
      </c>
      <c r="AB91" s="35"/>
      <c r="AC91" s="36"/>
      <c r="AD91" s="35"/>
      <c r="AE91" s="36"/>
      <c r="AF91" s="35"/>
      <c r="AG91" s="36"/>
      <c r="AH91" s="35">
        <v>10</v>
      </c>
      <c r="AI91" s="36">
        <v>100</v>
      </c>
      <c r="AJ91" s="35">
        <v>10</v>
      </c>
      <c r="AK91" s="82" t="s">
        <v>534</v>
      </c>
      <c r="AL91" s="85" t="str">
        <f>HYPERLINK("https://pbs.twimg.com/media/F5G7q12aQAAYAEp.jpg")</f>
        <v>https://pbs.twimg.com/media/F5G7q12aQAAYAEp.jpg</v>
      </c>
      <c r="AN91">
        <v>928</v>
      </c>
      <c r="AQ91" t="s">
        <v>193</v>
      </c>
      <c r="AR91" t="b">
        <v>0</v>
      </c>
      <c r="AS91" s="52" t="s">
        <v>143</v>
      </c>
      <c r="AU91">
        <v>265</v>
      </c>
      <c r="AV91" s="52" t="s">
        <v>143</v>
      </c>
      <c r="AW91" s="52" t="s">
        <v>144</v>
      </c>
      <c r="AY91" s="52" t="s">
        <v>508</v>
      </c>
      <c r="BK91" s="125" t="str">
        <f>REPLACE(INDEX(GroupVertices[Group],MATCH(Edges[[#This Row],[Vertex 1]],GroupVertices[Vertex],0)),1,1,"")</f>
        <v>1</v>
      </c>
      <c r="BL91" s="125" t="str">
        <f>REPLACE(INDEX(GroupVertices[Group],MATCH(Edges[[#This Row],[Vertex 2]],GroupVertices[Vertex],0)),1,1,"")</f>
        <v>1</v>
      </c>
      <c r="BM91" s="77">
        <v>45176</v>
      </c>
      <c r="BN91" s="98" t="s">
        <v>535</v>
      </c>
      <c r="BO91" s="35">
        <v>0</v>
      </c>
      <c r="BP91" s="36">
        <v>0</v>
      </c>
      <c r="BQ91" s="35">
        <v>0</v>
      </c>
      <c r="BR91" s="36">
        <v>0</v>
      </c>
      <c r="BS91" s="35">
        <v>0</v>
      </c>
      <c r="BT91" s="36">
        <v>0</v>
      </c>
      <c r="BU91" s="82">
        <v>14</v>
      </c>
      <c r="BV91">
        <v>5</v>
      </c>
      <c r="BW91">
        <v>79929</v>
      </c>
      <c r="BZ91" t="s">
        <v>159</v>
      </c>
      <c r="CD91" t="s">
        <v>536</v>
      </c>
      <c r="CK91" s="52" t="s">
        <v>508</v>
      </c>
      <c r="CM91" s="52" t="s">
        <v>143</v>
      </c>
      <c r="CN91" s="52" t="s">
        <v>511</v>
      </c>
    </row>
    <row r="92" spans="1:92" ht="15">
      <c r="A92" s="49" t="s">
        <v>530</v>
      </c>
      <c r="B92" s="49" t="s">
        <v>530</v>
      </c>
      <c r="C92" s="60" t="s">
        <v>2249</v>
      </c>
      <c r="D92" s="66">
        <v>10</v>
      </c>
      <c r="E92" s="99" t="s">
        <v>180</v>
      </c>
      <c r="F92" s="67">
        <v>15.58974358974359</v>
      </c>
      <c r="G92" s="60"/>
      <c r="H92" s="54"/>
      <c r="I92" s="68"/>
      <c r="J92" s="68"/>
      <c r="K92" s="30" t="s">
        <v>137</v>
      </c>
      <c r="L92" s="100">
        <v>92</v>
      </c>
      <c r="M92" s="100"/>
      <c r="N92" s="70"/>
      <c r="O92" t="s">
        <v>21</v>
      </c>
      <c r="P92" s="50">
        <v>45179.52033564815</v>
      </c>
      <c r="Q92" t="s">
        <v>537</v>
      </c>
      <c r="T92" s="52" t="s">
        <v>538</v>
      </c>
      <c r="U92" s="50">
        <v>45179.52033564815</v>
      </c>
      <c r="V92" s="85" t="str">
        <f>HYPERLINK("https://twitter.com/hitw93/status/1700848918328910038")</f>
        <v>https://twitter.com/hitw93/status/1700848918328910038</v>
      </c>
      <c r="Y92" s="52" t="s">
        <v>516</v>
      </c>
      <c r="AA92" s="81">
        <v>9</v>
      </c>
      <c r="AB92" s="35"/>
      <c r="AC92" s="36"/>
      <c r="AD92" s="35"/>
      <c r="AE92" s="36"/>
      <c r="AF92" s="35"/>
      <c r="AG92" s="36"/>
      <c r="AH92" s="35">
        <v>11</v>
      </c>
      <c r="AI92" s="36">
        <v>100</v>
      </c>
      <c r="AJ92" s="35">
        <v>11</v>
      </c>
      <c r="AK92" s="82"/>
      <c r="AL92" s="85" t="str">
        <f>HYPERLINK("https://pbs.twimg.com/profile_images/1540397753586528256/SFkyn7LD_normal.jpg")</f>
        <v>https://pbs.twimg.com/profile_images/1540397753586528256/SFkyn7LD_normal.jpg</v>
      </c>
      <c r="AN92">
        <v>1098</v>
      </c>
      <c r="AQ92" t="s">
        <v>193</v>
      </c>
      <c r="AS92" s="52" t="s">
        <v>143</v>
      </c>
      <c r="AU92">
        <v>388</v>
      </c>
      <c r="AV92" s="52" t="s">
        <v>143</v>
      </c>
      <c r="AW92" s="52" t="s">
        <v>144</v>
      </c>
      <c r="AY92" s="52" t="s">
        <v>516</v>
      </c>
      <c r="BK92" s="125" t="str">
        <f>REPLACE(INDEX(GroupVertices[Group],MATCH(Edges[[#This Row],[Vertex 1]],GroupVertices[Vertex],0)),1,1,"")</f>
        <v>1</v>
      </c>
      <c r="BL92" s="125" t="str">
        <f>REPLACE(INDEX(GroupVertices[Group],MATCH(Edges[[#This Row],[Vertex 2]],GroupVertices[Vertex],0)),1,1,"")</f>
        <v>1</v>
      </c>
      <c r="BM92" s="77">
        <v>45179</v>
      </c>
      <c r="BN92" s="98" t="s">
        <v>539</v>
      </c>
      <c r="BO92" s="35">
        <v>0</v>
      </c>
      <c r="BP92" s="36">
        <v>0</v>
      </c>
      <c r="BQ92" s="35">
        <v>0</v>
      </c>
      <c r="BR92" s="36">
        <v>0</v>
      </c>
      <c r="BS92" s="35">
        <v>0</v>
      </c>
      <c r="BT92" s="36">
        <v>0</v>
      </c>
      <c r="BU92" s="82">
        <v>47</v>
      </c>
      <c r="BV92">
        <v>15</v>
      </c>
      <c r="BW92">
        <v>168228</v>
      </c>
      <c r="CK92" s="52" t="s">
        <v>516</v>
      </c>
      <c r="CM92" s="52" t="s">
        <v>143</v>
      </c>
      <c r="CN92" s="52" t="s">
        <v>511</v>
      </c>
    </row>
    <row r="93" spans="1:92" ht="15">
      <c r="A93" s="49" t="s">
        <v>530</v>
      </c>
      <c r="B93" s="49" t="s">
        <v>530</v>
      </c>
      <c r="C93" s="60" t="s">
        <v>2249</v>
      </c>
      <c r="D93" s="66">
        <v>10</v>
      </c>
      <c r="E93" s="99" t="s">
        <v>180</v>
      </c>
      <c r="F93" s="67">
        <v>15.58974358974359</v>
      </c>
      <c r="G93" s="60"/>
      <c r="H93" s="54"/>
      <c r="I93" s="68"/>
      <c r="J93" s="68"/>
      <c r="K93" s="30" t="s">
        <v>137</v>
      </c>
      <c r="L93" s="100">
        <v>93</v>
      </c>
      <c r="M93" s="100"/>
      <c r="N93" s="70"/>
      <c r="O93" t="s">
        <v>21</v>
      </c>
      <c r="P93" s="50">
        <v>45182.04392361111</v>
      </c>
      <c r="Q93" t="s">
        <v>540</v>
      </c>
      <c r="R93" s="85" t="str">
        <f>HYPERLINK("https://thorium.rocks/")</f>
        <v>https://thorium.rocks/</v>
      </c>
      <c r="S93" t="s">
        <v>541</v>
      </c>
      <c r="T93" s="52" t="s">
        <v>542</v>
      </c>
      <c r="U93" s="50">
        <v>45182.04392361111</v>
      </c>
      <c r="V93" s="85" t="str">
        <f>HYPERLINK("https://twitter.com/hitw93/status/1701763438538801249")</f>
        <v>https://twitter.com/hitw93/status/1701763438538801249</v>
      </c>
      <c r="Y93" s="52" t="s">
        <v>513</v>
      </c>
      <c r="AA93" s="81">
        <v>9</v>
      </c>
      <c r="AB93" s="35"/>
      <c r="AC93" s="36"/>
      <c r="AD93" s="35"/>
      <c r="AE93" s="36"/>
      <c r="AF93" s="35"/>
      <c r="AG93" s="36"/>
      <c r="AH93" s="35">
        <v>19</v>
      </c>
      <c r="AI93" s="36">
        <v>100</v>
      </c>
      <c r="AJ93" s="35">
        <v>19</v>
      </c>
      <c r="AK93" s="82" t="s">
        <v>543</v>
      </c>
      <c r="AL93" s="85" t="str">
        <f>HYPERLINK("https://pbs.twimg.com/media/F53goAubwAAQLsB.jpg")</f>
        <v>https://pbs.twimg.com/media/F53goAubwAAQLsB.jpg</v>
      </c>
      <c r="AN93">
        <v>525</v>
      </c>
      <c r="AQ93" t="s">
        <v>193</v>
      </c>
      <c r="AR93" t="b">
        <v>0</v>
      </c>
      <c r="AS93" s="52" t="s">
        <v>143</v>
      </c>
      <c r="AU93">
        <v>139</v>
      </c>
      <c r="AV93" s="52" t="s">
        <v>143</v>
      </c>
      <c r="AW93" s="52" t="s">
        <v>144</v>
      </c>
      <c r="AY93" s="52" t="s">
        <v>513</v>
      </c>
      <c r="BK93" s="125" t="str">
        <f>REPLACE(INDEX(GroupVertices[Group],MATCH(Edges[[#This Row],[Vertex 1]],GroupVertices[Vertex],0)),1,1,"")</f>
        <v>1</v>
      </c>
      <c r="BL93" s="125" t="str">
        <f>REPLACE(INDEX(GroupVertices[Group],MATCH(Edges[[#This Row],[Vertex 2]],GroupVertices[Vertex],0)),1,1,"")</f>
        <v>1</v>
      </c>
      <c r="BM93" s="77">
        <v>45182</v>
      </c>
      <c r="BN93" s="98" t="s">
        <v>544</v>
      </c>
      <c r="BO93" s="35">
        <v>0</v>
      </c>
      <c r="BP93" s="36">
        <v>0</v>
      </c>
      <c r="BQ93" s="35">
        <v>0</v>
      </c>
      <c r="BR93" s="36">
        <v>0</v>
      </c>
      <c r="BS93" s="35">
        <v>0</v>
      </c>
      <c r="BT93" s="36">
        <v>0</v>
      </c>
      <c r="BU93" s="82">
        <v>31</v>
      </c>
      <c r="BV93">
        <v>6</v>
      </c>
      <c r="BW93">
        <v>90844</v>
      </c>
      <c r="BZ93" t="s">
        <v>159</v>
      </c>
      <c r="CD93" t="s">
        <v>545</v>
      </c>
      <c r="CK93" s="52" t="s">
        <v>513</v>
      </c>
      <c r="CM93" s="52" t="s">
        <v>143</v>
      </c>
      <c r="CN93" s="52" t="s">
        <v>511</v>
      </c>
    </row>
    <row r="94" spans="1:92" ht="15">
      <c r="A94" s="49" t="s">
        <v>412</v>
      </c>
      <c r="B94" s="49" t="s">
        <v>530</v>
      </c>
      <c r="C94" s="60" t="s">
        <v>2249</v>
      </c>
      <c r="D94" s="66">
        <v>10</v>
      </c>
      <c r="E94" s="99" t="s">
        <v>180</v>
      </c>
      <c r="F94" s="67">
        <v>15.58974358974359</v>
      </c>
      <c r="G94" s="60"/>
      <c r="H94" s="54"/>
      <c r="I94" s="68"/>
      <c r="J94" s="68"/>
      <c r="K94" s="30" t="s">
        <v>137</v>
      </c>
      <c r="L94" s="100">
        <v>94</v>
      </c>
      <c r="M94" s="100"/>
      <c r="N94" s="70"/>
      <c r="O94" t="s">
        <v>152</v>
      </c>
      <c r="P94" s="50">
        <v>45179.65721064815</v>
      </c>
      <c r="Q94" t="s">
        <v>546</v>
      </c>
      <c r="T94" s="52" t="s">
        <v>538</v>
      </c>
      <c r="U94" s="50">
        <v>45179.65721064815</v>
      </c>
      <c r="V94" s="85" t="str">
        <f>HYPERLINK("https://twitter.com/jeremyl99313994/status/1700898524114899378")</f>
        <v>https://twitter.com/jeremyl99313994/status/1700898524114899378</v>
      </c>
      <c r="Y94" s="52" t="s">
        <v>547</v>
      </c>
      <c r="AA94" s="81">
        <v>9</v>
      </c>
      <c r="AB94" s="35"/>
      <c r="AC94" s="36"/>
      <c r="AD94" s="35"/>
      <c r="AE94" s="36"/>
      <c r="AF94" s="35"/>
      <c r="AG94" s="36"/>
      <c r="AH94" s="35">
        <v>12</v>
      </c>
      <c r="AI94" s="36">
        <v>92.3076923076923</v>
      </c>
      <c r="AJ94" s="35">
        <v>13</v>
      </c>
      <c r="AK94" s="82"/>
      <c r="AL94" s="85" t="str">
        <f aca="true" t="shared" si="2" ref="AL94:AL100">HYPERLINK("https://pbs.twimg.com/profile_images/1223036536028925952/FSgIEXZc_normal.jpg")</f>
        <v>https://pbs.twimg.com/profile_images/1223036536028925952/FSgIEXZc_normal.jpg</v>
      </c>
      <c r="AN94">
        <v>0</v>
      </c>
      <c r="AQ94" t="s">
        <v>193</v>
      </c>
      <c r="AS94" s="52" t="s">
        <v>143</v>
      </c>
      <c r="AU94">
        <v>388</v>
      </c>
      <c r="AV94" s="52" t="s">
        <v>516</v>
      </c>
      <c r="AW94" s="52" t="s">
        <v>157</v>
      </c>
      <c r="AY94" s="52" t="s">
        <v>516</v>
      </c>
      <c r="BK94" s="125" t="str">
        <f>REPLACE(INDEX(GroupVertices[Group],MATCH(Edges[[#This Row],[Vertex 1]],GroupVertices[Vertex],0)),1,1,"")</f>
        <v>1</v>
      </c>
      <c r="BL94" s="125" t="str">
        <f>REPLACE(INDEX(GroupVertices[Group],MATCH(Edges[[#This Row],[Vertex 2]],GroupVertices[Vertex],0)),1,1,"")</f>
        <v>1</v>
      </c>
      <c r="BM94" s="77">
        <v>45179</v>
      </c>
      <c r="BN94" s="98" t="s">
        <v>548</v>
      </c>
      <c r="BO94" s="35">
        <v>0</v>
      </c>
      <c r="BP94" s="36">
        <v>0</v>
      </c>
      <c r="BQ94" s="35">
        <v>0</v>
      </c>
      <c r="BR94" s="36">
        <v>0</v>
      </c>
      <c r="BS94" s="35">
        <v>0</v>
      </c>
      <c r="BT94" s="36">
        <v>0</v>
      </c>
      <c r="BU94" s="82">
        <v>0</v>
      </c>
      <c r="BV94">
        <v>0</v>
      </c>
      <c r="BX94" t="s">
        <v>530</v>
      </c>
      <c r="CK94" s="52" t="s">
        <v>547</v>
      </c>
      <c r="CM94" s="52" t="s">
        <v>143</v>
      </c>
      <c r="CN94" s="52" t="s">
        <v>416</v>
      </c>
    </row>
    <row r="95" spans="1:92" ht="15">
      <c r="A95" s="49" t="s">
        <v>412</v>
      </c>
      <c r="B95" s="49" t="s">
        <v>530</v>
      </c>
      <c r="C95" s="60" t="s">
        <v>2249</v>
      </c>
      <c r="D95" s="66">
        <v>10</v>
      </c>
      <c r="E95" s="99" t="s">
        <v>180</v>
      </c>
      <c r="F95" s="67">
        <v>15.58974358974359</v>
      </c>
      <c r="G95" s="60"/>
      <c r="H95" s="54"/>
      <c r="I95" s="68"/>
      <c r="J95" s="68"/>
      <c r="K95" s="30" t="s">
        <v>137</v>
      </c>
      <c r="L95" s="100">
        <v>95</v>
      </c>
      <c r="M95" s="100"/>
      <c r="N95" s="70"/>
      <c r="O95" t="s">
        <v>164</v>
      </c>
      <c r="P95" s="50">
        <v>45177.00965277778</v>
      </c>
      <c r="Q95" t="s">
        <v>506</v>
      </c>
      <c r="U95" s="50">
        <v>45177.00965277778</v>
      </c>
      <c r="V95" s="85" t="str">
        <f>HYPERLINK("https://twitter.com/jeremyl99313994/status/1699939080648425550")</f>
        <v>https://twitter.com/jeremyl99313994/status/1699939080648425550</v>
      </c>
      <c r="Y95" s="52" t="s">
        <v>507</v>
      </c>
      <c r="AA95" s="81">
        <v>9</v>
      </c>
      <c r="AB95" s="35"/>
      <c r="AC95" s="36"/>
      <c r="AD95" s="35"/>
      <c r="AE95" s="36"/>
      <c r="AF95" s="35"/>
      <c r="AG95" s="36"/>
      <c r="AH95" s="35">
        <v>4</v>
      </c>
      <c r="AI95" s="36">
        <v>100</v>
      </c>
      <c r="AJ95" s="35">
        <v>4</v>
      </c>
      <c r="AK95" s="82"/>
      <c r="AL95" s="85" t="str">
        <f t="shared" si="2"/>
        <v>https://pbs.twimg.com/profile_images/1223036536028925952/FSgIEXZc_normal.jpg</v>
      </c>
      <c r="AN95">
        <v>2</v>
      </c>
      <c r="AQ95" t="s">
        <v>142</v>
      </c>
      <c r="AS95" s="52" t="s">
        <v>143</v>
      </c>
      <c r="AU95">
        <v>0</v>
      </c>
      <c r="AV95" s="52" t="s">
        <v>143</v>
      </c>
      <c r="AW95" s="52" t="s">
        <v>157</v>
      </c>
      <c r="AY95" s="52" t="s">
        <v>508</v>
      </c>
      <c r="BK95" s="125" t="str">
        <f>REPLACE(INDEX(GroupVertices[Group],MATCH(Edges[[#This Row],[Vertex 1]],GroupVertices[Vertex],0)),1,1,"")</f>
        <v>1</v>
      </c>
      <c r="BL95" s="125" t="str">
        <f>REPLACE(INDEX(GroupVertices[Group],MATCH(Edges[[#This Row],[Vertex 2]],GroupVertices[Vertex],0)),1,1,"")</f>
        <v>1</v>
      </c>
      <c r="BM95" s="77">
        <v>45177</v>
      </c>
      <c r="BN95" s="98" t="s">
        <v>509</v>
      </c>
      <c r="BO95" s="35">
        <v>0</v>
      </c>
      <c r="BP95" s="36">
        <v>0</v>
      </c>
      <c r="BQ95" s="35">
        <v>0</v>
      </c>
      <c r="BR95" s="36">
        <v>0</v>
      </c>
      <c r="BS95" s="35">
        <v>0</v>
      </c>
      <c r="BT95" s="36">
        <v>0</v>
      </c>
      <c r="BU95" s="82">
        <v>1</v>
      </c>
      <c r="BV95">
        <v>0</v>
      </c>
      <c r="BW95">
        <v>1785</v>
      </c>
      <c r="BX95" t="s">
        <v>510</v>
      </c>
      <c r="CK95" s="52" t="s">
        <v>508</v>
      </c>
      <c r="CL95" s="52" t="s">
        <v>511</v>
      </c>
      <c r="CM95" s="52" t="s">
        <v>508</v>
      </c>
      <c r="CN95" s="52" t="s">
        <v>416</v>
      </c>
    </row>
    <row r="96" spans="1:92" ht="15">
      <c r="A96" s="49" t="s">
        <v>412</v>
      </c>
      <c r="B96" s="49" t="s">
        <v>530</v>
      </c>
      <c r="C96" s="60" t="s">
        <v>2249</v>
      </c>
      <c r="D96" s="66">
        <v>10</v>
      </c>
      <c r="E96" s="99" t="s">
        <v>180</v>
      </c>
      <c r="F96" s="67">
        <v>15.58974358974359</v>
      </c>
      <c r="G96" s="60"/>
      <c r="H96" s="54"/>
      <c r="I96" s="68"/>
      <c r="J96" s="68"/>
      <c r="K96" s="30" t="s">
        <v>137</v>
      </c>
      <c r="L96" s="100">
        <v>96</v>
      </c>
      <c r="M96" s="100"/>
      <c r="N96" s="70"/>
      <c r="O96" t="s">
        <v>164</v>
      </c>
      <c r="P96" s="50">
        <v>45182.15739583333</v>
      </c>
      <c r="Q96" t="s">
        <v>506</v>
      </c>
      <c r="U96" s="50">
        <v>45182.15739583333</v>
      </c>
      <c r="V96" s="85" t="str">
        <f>HYPERLINK("https://twitter.com/jeremyl99313994/status/1701804557729468781")</f>
        <v>https://twitter.com/jeremyl99313994/status/1701804557729468781</v>
      </c>
      <c r="Y96" s="52" t="s">
        <v>512</v>
      </c>
      <c r="AA96" s="81">
        <v>9</v>
      </c>
      <c r="AB96" s="35"/>
      <c r="AC96" s="36"/>
      <c r="AD96" s="35"/>
      <c r="AE96" s="36"/>
      <c r="AF96" s="35"/>
      <c r="AG96" s="36"/>
      <c r="AH96" s="35">
        <v>4</v>
      </c>
      <c r="AI96" s="36">
        <v>100</v>
      </c>
      <c r="AJ96" s="35">
        <v>4</v>
      </c>
      <c r="AK96" s="82"/>
      <c r="AL96" s="85" t="str">
        <f t="shared" si="2"/>
        <v>https://pbs.twimg.com/profile_images/1223036536028925952/FSgIEXZc_normal.jpg</v>
      </c>
      <c r="AN96">
        <v>0</v>
      </c>
      <c r="AQ96" t="s">
        <v>142</v>
      </c>
      <c r="AS96" s="52" t="s">
        <v>143</v>
      </c>
      <c r="AU96">
        <v>0</v>
      </c>
      <c r="AV96" s="52" t="s">
        <v>143</v>
      </c>
      <c r="AW96" s="52" t="s">
        <v>157</v>
      </c>
      <c r="AY96" s="52" t="s">
        <v>513</v>
      </c>
      <c r="BK96" s="125" t="str">
        <f>REPLACE(INDEX(GroupVertices[Group],MATCH(Edges[[#This Row],[Vertex 1]],GroupVertices[Vertex],0)),1,1,"")</f>
        <v>1</v>
      </c>
      <c r="BL96" s="125" t="str">
        <f>REPLACE(INDEX(GroupVertices[Group],MATCH(Edges[[#This Row],[Vertex 2]],GroupVertices[Vertex],0)),1,1,"")</f>
        <v>1</v>
      </c>
      <c r="BM96" s="77">
        <v>45182</v>
      </c>
      <c r="BN96" s="98" t="s">
        <v>514</v>
      </c>
      <c r="BO96" s="35">
        <v>0</v>
      </c>
      <c r="BP96" s="36">
        <v>0</v>
      </c>
      <c r="BQ96" s="35">
        <v>0</v>
      </c>
      <c r="BR96" s="36">
        <v>0</v>
      </c>
      <c r="BS96" s="35">
        <v>0</v>
      </c>
      <c r="BT96" s="36">
        <v>0</v>
      </c>
      <c r="BU96" s="82">
        <v>1</v>
      </c>
      <c r="BV96">
        <v>0</v>
      </c>
      <c r="BW96">
        <v>1233</v>
      </c>
      <c r="BX96" t="s">
        <v>510</v>
      </c>
      <c r="CK96" s="52" t="s">
        <v>513</v>
      </c>
      <c r="CL96" s="52" t="s">
        <v>511</v>
      </c>
      <c r="CM96" s="52" t="s">
        <v>513</v>
      </c>
      <c r="CN96" s="52" t="s">
        <v>416</v>
      </c>
    </row>
    <row r="97" spans="1:92" ht="15">
      <c r="A97" s="49" t="s">
        <v>412</v>
      </c>
      <c r="B97" s="49" t="s">
        <v>530</v>
      </c>
      <c r="C97" s="60" t="s">
        <v>2249</v>
      </c>
      <c r="D97" s="66">
        <v>10</v>
      </c>
      <c r="E97" s="99" t="s">
        <v>180</v>
      </c>
      <c r="F97" s="67">
        <v>15.58974358974359</v>
      </c>
      <c r="G97" s="60"/>
      <c r="H97" s="54"/>
      <c r="I97" s="68"/>
      <c r="J97" s="68"/>
      <c r="K97" s="30" t="s">
        <v>137</v>
      </c>
      <c r="L97" s="100">
        <v>97</v>
      </c>
      <c r="M97" s="100"/>
      <c r="N97" s="70"/>
      <c r="O97" t="s">
        <v>164</v>
      </c>
      <c r="P97" s="50">
        <v>45179.65729166667</v>
      </c>
      <c r="Q97" t="s">
        <v>506</v>
      </c>
      <c r="U97" s="50">
        <v>45179.65729166667</v>
      </c>
      <c r="V97" s="85" t="str">
        <f>HYPERLINK("https://twitter.com/jeremyl99313994/status/1700898552883577270")</f>
        <v>https://twitter.com/jeremyl99313994/status/1700898552883577270</v>
      </c>
      <c r="Y97" s="52" t="s">
        <v>515</v>
      </c>
      <c r="AA97" s="81">
        <v>9</v>
      </c>
      <c r="AB97" s="35"/>
      <c r="AC97" s="36"/>
      <c r="AD97" s="35"/>
      <c r="AE97" s="36"/>
      <c r="AF97" s="35"/>
      <c r="AG97" s="36"/>
      <c r="AH97" s="35">
        <v>4</v>
      </c>
      <c r="AI97" s="36">
        <v>100</v>
      </c>
      <c r="AJ97" s="35">
        <v>4</v>
      </c>
      <c r="AK97" s="82"/>
      <c r="AL97" s="85" t="str">
        <f t="shared" si="2"/>
        <v>https://pbs.twimg.com/profile_images/1223036536028925952/FSgIEXZc_normal.jpg</v>
      </c>
      <c r="AN97">
        <v>1</v>
      </c>
      <c r="AQ97" t="s">
        <v>142</v>
      </c>
      <c r="AS97" s="52" t="s">
        <v>143</v>
      </c>
      <c r="AU97">
        <v>0</v>
      </c>
      <c r="AV97" s="52" t="s">
        <v>143</v>
      </c>
      <c r="AW97" s="52" t="s">
        <v>157</v>
      </c>
      <c r="AY97" s="52" t="s">
        <v>516</v>
      </c>
      <c r="BK97" s="125" t="str">
        <f>REPLACE(INDEX(GroupVertices[Group],MATCH(Edges[[#This Row],[Vertex 1]],GroupVertices[Vertex],0)),1,1,"")</f>
        <v>1</v>
      </c>
      <c r="BL97" s="125" t="str">
        <f>REPLACE(INDEX(GroupVertices[Group],MATCH(Edges[[#This Row],[Vertex 2]],GroupVertices[Vertex],0)),1,1,"")</f>
        <v>1</v>
      </c>
      <c r="BM97" s="77">
        <v>45179</v>
      </c>
      <c r="BN97" s="98" t="s">
        <v>517</v>
      </c>
      <c r="BO97" s="35">
        <v>0</v>
      </c>
      <c r="BP97" s="36">
        <v>0</v>
      </c>
      <c r="BQ97" s="35">
        <v>0</v>
      </c>
      <c r="BR97" s="36">
        <v>0</v>
      </c>
      <c r="BS97" s="35">
        <v>0</v>
      </c>
      <c r="BT97" s="36">
        <v>0</v>
      </c>
      <c r="BU97" s="82">
        <v>1</v>
      </c>
      <c r="BV97">
        <v>0</v>
      </c>
      <c r="BW97">
        <v>2055</v>
      </c>
      <c r="BX97" t="s">
        <v>510</v>
      </c>
      <c r="CK97" s="52" t="s">
        <v>516</v>
      </c>
      <c r="CL97" s="52" t="s">
        <v>511</v>
      </c>
      <c r="CM97" s="52" t="s">
        <v>516</v>
      </c>
      <c r="CN97" s="52" t="s">
        <v>416</v>
      </c>
    </row>
    <row r="98" spans="1:92" ht="15">
      <c r="A98" s="49" t="s">
        <v>412</v>
      </c>
      <c r="B98" s="49" t="s">
        <v>530</v>
      </c>
      <c r="C98" s="60" t="s">
        <v>2249</v>
      </c>
      <c r="D98" s="66">
        <v>10</v>
      </c>
      <c r="E98" s="99" t="s">
        <v>180</v>
      </c>
      <c r="F98" s="67">
        <v>15.58974358974359</v>
      </c>
      <c r="G98" s="60"/>
      <c r="H98" s="54"/>
      <c r="I98" s="68"/>
      <c r="J98" s="68"/>
      <c r="K98" s="30" t="s">
        <v>137</v>
      </c>
      <c r="L98" s="100">
        <v>98</v>
      </c>
      <c r="M98" s="100"/>
      <c r="N98" s="70"/>
      <c r="O98" t="s">
        <v>152</v>
      </c>
      <c r="P98" s="50">
        <v>45182.157326388886</v>
      </c>
      <c r="Q98" t="s">
        <v>549</v>
      </c>
      <c r="T98" s="52" t="s">
        <v>542</v>
      </c>
      <c r="U98" s="50">
        <v>45182.157326388886</v>
      </c>
      <c r="V98" s="85" t="str">
        <f>HYPERLINK("https://twitter.com/jeremyl99313994/status/1701804535071879594")</f>
        <v>https://twitter.com/jeremyl99313994/status/1701804535071879594</v>
      </c>
      <c r="Y98" s="52" t="s">
        <v>550</v>
      </c>
      <c r="AA98" s="81">
        <v>9</v>
      </c>
      <c r="AB98" s="35"/>
      <c r="AC98" s="36"/>
      <c r="AD98" s="35"/>
      <c r="AE98" s="36"/>
      <c r="AF98" s="35"/>
      <c r="AG98" s="36"/>
      <c r="AH98" s="35">
        <v>20</v>
      </c>
      <c r="AI98" s="36">
        <v>95.23809523809524</v>
      </c>
      <c r="AJ98" s="35">
        <v>21</v>
      </c>
      <c r="AK98" s="82"/>
      <c r="AL98" s="85" t="str">
        <f t="shared" si="2"/>
        <v>https://pbs.twimg.com/profile_images/1223036536028925952/FSgIEXZc_normal.jpg</v>
      </c>
      <c r="AN98">
        <v>0</v>
      </c>
      <c r="AQ98" t="s">
        <v>193</v>
      </c>
      <c r="AS98" s="52" t="s">
        <v>143</v>
      </c>
      <c r="AU98">
        <v>139</v>
      </c>
      <c r="AV98" s="52" t="s">
        <v>513</v>
      </c>
      <c r="AW98" s="52" t="s">
        <v>157</v>
      </c>
      <c r="AY98" s="52" t="s">
        <v>513</v>
      </c>
      <c r="BK98" s="125" t="str">
        <f>REPLACE(INDEX(GroupVertices[Group],MATCH(Edges[[#This Row],[Vertex 1]],GroupVertices[Vertex],0)),1,1,"")</f>
        <v>1</v>
      </c>
      <c r="BL98" s="125" t="str">
        <f>REPLACE(INDEX(GroupVertices[Group],MATCH(Edges[[#This Row],[Vertex 2]],GroupVertices[Vertex],0)),1,1,"")</f>
        <v>1</v>
      </c>
      <c r="BM98" s="77">
        <v>45182</v>
      </c>
      <c r="BN98" s="98" t="s">
        <v>551</v>
      </c>
      <c r="BO98" s="35">
        <v>0</v>
      </c>
      <c r="BP98" s="36">
        <v>0</v>
      </c>
      <c r="BQ98" s="35">
        <v>0</v>
      </c>
      <c r="BR98" s="36">
        <v>0</v>
      </c>
      <c r="BS98" s="35">
        <v>0</v>
      </c>
      <c r="BT98" s="36">
        <v>0</v>
      </c>
      <c r="BU98" s="82">
        <v>0</v>
      </c>
      <c r="BV98">
        <v>0</v>
      </c>
      <c r="BX98" t="s">
        <v>530</v>
      </c>
      <c r="CK98" s="52" t="s">
        <v>550</v>
      </c>
      <c r="CM98" s="52" t="s">
        <v>143</v>
      </c>
      <c r="CN98" s="52" t="s">
        <v>416</v>
      </c>
    </row>
    <row r="99" spans="1:92" ht="15">
      <c r="A99" s="49" t="s">
        <v>412</v>
      </c>
      <c r="B99" s="49" t="s">
        <v>530</v>
      </c>
      <c r="C99" s="60" t="s">
        <v>2249</v>
      </c>
      <c r="D99" s="66">
        <v>10</v>
      </c>
      <c r="E99" s="99" t="s">
        <v>180</v>
      </c>
      <c r="F99" s="67">
        <v>15.58974358974359</v>
      </c>
      <c r="G99" s="60"/>
      <c r="H99" s="54"/>
      <c r="I99" s="68"/>
      <c r="J99" s="68"/>
      <c r="K99" s="30" t="s">
        <v>137</v>
      </c>
      <c r="L99" s="100">
        <v>99</v>
      </c>
      <c r="M99" s="100"/>
      <c r="N99" s="70"/>
      <c r="O99" t="s">
        <v>152</v>
      </c>
      <c r="P99" s="50">
        <v>45177.00954861111</v>
      </c>
      <c r="Q99" t="s">
        <v>552</v>
      </c>
      <c r="R99" s="85" t="str">
        <f>HYPERLINK("https://bookstash.io/")</f>
        <v>https://bookstash.io/</v>
      </c>
      <c r="S99" t="s">
        <v>532</v>
      </c>
      <c r="T99" s="52" t="s">
        <v>533</v>
      </c>
      <c r="U99" s="50">
        <v>45177.00954861111</v>
      </c>
      <c r="V99" s="85" t="str">
        <f>HYPERLINK("https://twitter.com/jeremyl99313994/status/1699939041670762534")</f>
        <v>https://twitter.com/jeremyl99313994/status/1699939041670762534</v>
      </c>
      <c r="Y99" s="52" t="s">
        <v>553</v>
      </c>
      <c r="AA99" s="81">
        <v>9</v>
      </c>
      <c r="AB99" s="35"/>
      <c r="AC99" s="36"/>
      <c r="AD99" s="35"/>
      <c r="AE99" s="36"/>
      <c r="AF99" s="35"/>
      <c r="AG99" s="36"/>
      <c r="AH99" s="35">
        <v>12</v>
      </c>
      <c r="AI99" s="36">
        <v>92.3076923076923</v>
      </c>
      <c r="AJ99" s="35">
        <v>13</v>
      </c>
      <c r="AK99" s="82"/>
      <c r="AL99" s="85" t="str">
        <f t="shared" si="2"/>
        <v>https://pbs.twimg.com/profile_images/1223036536028925952/FSgIEXZc_normal.jpg</v>
      </c>
      <c r="AN99">
        <v>0</v>
      </c>
      <c r="AQ99" t="s">
        <v>193</v>
      </c>
      <c r="AR99" t="b">
        <v>0</v>
      </c>
      <c r="AS99" s="52" t="s">
        <v>143</v>
      </c>
      <c r="AU99">
        <v>265</v>
      </c>
      <c r="AV99" s="52" t="s">
        <v>508</v>
      </c>
      <c r="AW99" s="52" t="s">
        <v>157</v>
      </c>
      <c r="AY99" s="52" t="s">
        <v>508</v>
      </c>
      <c r="BK99" s="125" t="str">
        <f>REPLACE(INDEX(GroupVertices[Group],MATCH(Edges[[#This Row],[Vertex 1]],GroupVertices[Vertex],0)),1,1,"")</f>
        <v>1</v>
      </c>
      <c r="BL99" s="125" t="str">
        <f>REPLACE(INDEX(GroupVertices[Group],MATCH(Edges[[#This Row],[Vertex 2]],GroupVertices[Vertex],0)),1,1,"")</f>
        <v>1</v>
      </c>
      <c r="BM99" s="77">
        <v>45177</v>
      </c>
      <c r="BN99" s="98" t="s">
        <v>554</v>
      </c>
      <c r="BO99" s="35">
        <v>0</v>
      </c>
      <c r="BP99" s="36">
        <v>0</v>
      </c>
      <c r="BQ99" s="35">
        <v>0</v>
      </c>
      <c r="BR99" s="36">
        <v>0</v>
      </c>
      <c r="BS99" s="35">
        <v>0</v>
      </c>
      <c r="BT99" s="36">
        <v>0</v>
      </c>
      <c r="BU99" s="82">
        <v>0</v>
      </c>
      <c r="BV99">
        <v>0</v>
      </c>
      <c r="BX99" t="s">
        <v>530</v>
      </c>
      <c r="CK99" s="52" t="s">
        <v>553</v>
      </c>
      <c r="CM99" s="52" t="s">
        <v>143</v>
      </c>
      <c r="CN99" s="52" t="s">
        <v>416</v>
      </c>
    </row>
    <row r="100" spans="1:92" ht="15">
      <c r="A100" s="49" t="s">
        <v>412</v>
      </c>
      <c r="B100" s="49" t="s">
        <v>555</v>
      </c>
      <c r="C100" s="60" t="s">
        <v>135</v>
      </c>
      <c r="D100" s="66">
        <v>5</v>
      </c>
      <c r="E100" s="99" t="s">
        <v>136</v>
      </c>
      <c r="F100" s="67">
        <v>16</v>
      </c>
      <c r="G100" s="60"/>
      <c r="H100" s="54"/>
      <c r="I100" s="68"/>
      <c r="J100" s="68"/>
      <c r="K100" s="30" t="s">
        <v>137</v>
      </c>
      <c r="L100" s="100">
        <v>100</v>
      </c>
      <c r="M100" s="100"/>
      <c r="N100" s="70"/>
      <c r="O100" t="s">
        <v>152</v>
      </c>
      <c r="P100" s="50">
        <v>45177.186203703706</v>
      </c>
      <c r="Q100" t="s">
        <v>556</v>
      </c>
      <c r="R100" s="85" t="str">
        <f>HYPERLINK("https://huggingface.co/papers/2309.03241")</f>
        <v>https://huggingface.co/papers/2309.03241</v>
      </c>
      <c r="S100" t="s">
        <v>557</v>
      </c>
      <c r="U100" s="50">
        <v>45177.186203703706</v>
      </c>
      <c r="V100" s="85" t="str">
        <f>HYPERLINK("https://twitter.com/jeremyl99313994/status/1700003060523942055")</f>
        <v>https://twitter.com/jeremyl99313994/status/1700003060523942055</v>
      </c>
      <c r="Y100" s="52" t="s">
        <v>558</v>
      </c>
      <c r="AA100" s="81">
        <v>1</v>
      </c>
      <c r="AB100" s="35"/>
      <c r="AC100" s="36"/>
      <c r="AD100" s="35"/>
      <c r="AE100" s="36"/>
      <c r="AF100" s="35"/>
      <c r="AG100" s="36"/>
      <c r="AH100" s="35">
        <v>12</v>
      </c>
      <c r="AI100" s="36">
        <v>75</v>
      </c>
      <c r="AJ100" s="35">
        <v>16</v>
      </c>
      <c r="AK100" s="82"/>
      <c r="AL100" s="85" t="str">
        <f t="shared" si="2"/>
        <v>https://pbs.twimg.com/profile_images/1223036536028925952/FSgIEXZc_normal.jpg</v>
      </c>
      <c r="AN100">
        <v>0</v>
      </c>
      <c r="AQ100" t="s">
        <v>142</v>
      </c>
      <c r="AR100" t="b">
        <v>0</v>
      </c>
      <c r="AS100" s="52" t="s">
        <v>143</v>
      </c>
      <c r="AU100">
        <v>184</v>
      </c>
      <c r="AV100" s="52" t="s">
        <v>520</v>
      </c>
      <c r="AW100" s="52" t="s">
        <v>157</v>
      </c>
      <c r="AY100" s="52" t="s">
        <v>520</v>
      </c>
      <c r="BK100" s="125" t="str">
        <f>REPLACE(INDEX(GroupVertices[Group],MATCH(Edges[[#This Row],[Vertex 1]],GroupVertices[Vertex],0)),1,1,"")</f>
        <v>1</v>
      </c>
      <c r="BL100" s="125" t="str">
        <f>REPLACE(INDEX(GroupVertices[Group],MATCH(Edges[[#This Row],[Vertex 2]],GroupVertices[Vertex],0)),1,1,"")</f>
        <v>1</v>
      </c>
      <c r="BM100" s="77">
        <v>45177</v>
      </c>
      <c r="BN100" s="98" t="s">
        <v>559</v>
      </c>
      <c r="BO100" s="35">
        <v>0</v>
      </c>
      <c r="BP100" s="36">
        <v>0</v>
      </c>
      <c r="BQ100" s="35">
        <v>0</v>
      </c>
      <c r="BR100" s="36">
        <v>0</v>
      </c>
      <c r="BS100" s="35">
        <v>0</v>
      </c>
      <c r="BT100" s="36">
        <v>0</v>
      </c>
      <c r="BU100" s="82">
        <v>0</v>
      </c>
      <c r="BV100">
        <v>0</v>
      </c>
      <c r="BX100" t="s">
        <v>555</v>
      </c>
      <c r="CK100" s="52" t="s">
        <v>558</v>
      </c>
      <c r="CM100" s="52" t="s">
        <v>143</v>
      </c>
      <c r="CN100" s="52" t="s">
        <v>416</v>
      </c>
    </row>
    <row r="101" spans="1:92" ht="15">
      <c r="A101" s="49" t="s">
        <v>412</v>
      </c>
      <c r="B101" s="49" t="s">
        <v>560</v>
      </c>
      <c r="C101" s="60" t="s">
        <v>135</v>
      </c>
      <c r="D101" s="66">
        <v>5</v>
      </c>
      <c r="E101" s="99" t="s">
        <v>136</v>
      </c>
      <c r="F101" s="67">
        <v>16</v>
      </c>
      <c r="G101" s="60"/>
      <c r="H101" s="54"/>
      <c r="I101" s="68"/>
      <c r="J101" s="68"/>
      <c r="K101" s="30" t="s">
        <v>137</v>
      </c>
      <c r="L101" s="100">
        <v>101</v>
      </c>
      <c r="M101" s="100"/>
      <c r="N101" s="70"/>
      <c r="O101" t="s">
        <v>152</v>
      </c>
      <c r="P101" s="50">
        <v>45181.4628125</v>
      </c>
      <c r="Q101" t="s">
        <v>561</v>
      </c>
      <c r="R101" s="85" t="str">
        <f>HYPERLINK("https://plantegg.github.io/2017/01/01/top_linux_commands/")</f>
        <v>https://plantegg.github.io/2017/01/01/top_linux_commands/</v>
      </c>
      <c r="S101" t="s">
        <v>562</v>
      </c>
      <c r="U101" s="50">
        <v>45181.4628125</v>
      </c>
      <c r="V101" s="85" t="str">
        <f>HYPERLINK("https://twitter.com/jeremyl99313994/status/1701552851431096389")</f>
        <v>https://twitter.com/jeremyl99313994/status/1701552851431096389</v>
      </c>
      <c r="Y101" s="52" t="s">
        <v>563</v>
      </c>
      <c r="AA101" s="81">
        <v>1</v>
      </c>
      <c r="AB101" s="35"/>
      <c r="AC101" s="36"/>
      <c r="AD101" s="35"/>
      <c r="AE101" s="36"/>
      <c r="AF101" s="35"/>
      <c r="AG101" s="36"/>
      <c r="AH101" s="35">
        <v>4</v>
      </c>
      <c r="AI101" s="36">
        <v>80</v>
      </c>
      <c r="AJ101" s="35">
        <v>5</v>
      </c>
      <c r="AK101" s="82" t="s">
        <v>564</v>
      </c>
      <c r="AL101" s="85" t="str">
        <f>HYPERLINK("https://pbs.twimg.com/media/F5zPEdWakAA3C9C.jpg")</f>
        <v>https://pbs.twimg.com/media/F5zPEdWakAA3C9C.jpg</v>
      </c>
      <c r="AN101">
        <v>0</v>
      </c>
      <c r="AQ101" t="s">
        <v>193</v>
      </c>
      <c r="AR101" t="b">
        <v>0</v>
      </c>
      <c r="AS101" s="52" t="s">
        <v>565</v>
      </c>
      <c r="AU101">
        <v>46</v>
      </c>
      <c r="AV101" s="52" t="s">
        <v>526</v>
      </c>
      <c r="AW101" s="52" t="s">
        <v>157</v>
      </c>
      <c r="AY101" s="52" t="s">
        <v>526</v>
      </c>
      <c r="BK101" s="125" t="str">
        <f>REPLACE(INDEX(GroupVertices[Group],MATCH(Edges[[#This Row],[Vertex 1]],GroupVertices[Vertex],0)),1,1,"")</f>
        <v>1</v>
      </c>
      <c r="BL101" s="125" t="str">
        <f>REPLACE(INDEX(GroupVertices[Group],MATCH(Edges[[#This Row],[Vertex 2]],GroupVertices[Vertex],0)),1,1,"")</f>
        <v>1</v>
      </c>
      <c r="BM101" s="77">
        <v>45181</v>
      </c>
      <c r="BN101" s="98" t="s">
        <v>566</v>
      </c>
      <c r="BO101" s="35">
        <v>0</v>
      </c>
      <c r="BP101" s="36">
        <v>0</v>
      </c>
      <c r="BQ101" s="35">
        <v>0</v>
      </c>
      <c r="BR101" s="36">
        <v>0</v>
      </c>
      <c r="BS101" s="35">
        <v>0</v>
      </c>
      <c r="BT101" s="36">
        <v>0</v>
      </c>
      <c r="BU101" s="82">
        <v>0</v>
      </c>
      <c r="BV101">
        <v>0</v>
      </c>
      <c r="BX101" t="s">
        <v>560</v>
      </c>
      <c r="BZ101" t="s">
        <v>567</v>
      </c>
      <c r="CD101" t="s">
        <v>568</v>
      </c>
      <c r="CK101" s="52" t="s">
        <v>563</v>
      </c>
      <c r="CM101" s="52" t="s">
        <v>143</v>
      </c>
      <c r="CN101" s="52" t="s">
        <v>416</v>
      </c>
    </row>
    <row r="102" spans="1:92" ht="15">
      <c r="A102" s="49" t="s">
        <v>412</v>
      </c>
      <c r="B102" s="49" t="s">
        <v>555</v>
      </c>
      <c r="C102" s="60" t="s">
        <v>135</v>
      </c>
      <c r="D102" s="66">
        <v>5</v>
      </c>
      <c r="E102" s="99" t="s">
        <v>136</v>
      </c>
      <c r="F102" s="67">
        <v>16</v>
      </c>
      <c r="G102" s="60"/>
      <c r="H102" s="54"/>
      <c r="I102" s="68"/>
      <c r="J102" s="68"/>
      <c r="K102" s="30" t="s">
        <v>137</v>
      </c>
      <c r="L102" s="100">
        <v>102</v>
      </c>
      <c r="M102" s="100"/>
      <c r="N102" s="70"/>
      <c r="O102" t="s">
        <v>164</v>
      </c>
      <c r="P102" s="50">
        <v>45177.1862962963</v>
      </c>
      <c r="Q102" t="s">
        <v>518</v>
      </c>
      <c r="U102" s="50">
        <v>45177.1862962963</v>
      </c>
      <c r="V102" s="85" t="str">
        <f>HYPERLINK("https://twitter.com/jeremyl99313994/status/1700003093323386901")</f>
        <v>https://twitter.com/jeremyl99313994/status/1700003093323386901</v>
      </c>
      <c r="Y102" s="52" t="s">
        <v>519</v>
      </c>
      <c r="AA102" s="81">
        <v>1</v>
      </c>
      <c r="AB102" s="35"/>
      <c r="AC102" s="36"/>
      <c r="AD102" s="35"/>
      <c r="AE102" s="36"/>
      <c r="AF102" s="35"/>
      <c r="AG102" s="36"/>
      <c r="AH102" s="35">
        <v>4</v>
      </c>
      <c r="AI102" s="36">
        <v>100</v>
      </c>
      <c r="AJ102" s="35">
        <v>4</v>
      </c>
      <c r="AK102" s="82"/>
      <c r="AL102" s="85" t="str">
        <f>HYPERLINK("https://pbs.twimg.com/profile_images/1223036536028925952/FSgIEXZc_normal.jpg")</f>
        <v>https://pbs.twimg.com/profile_images/1223036536028925952/FSgIEXZc_normal.jpg</v>
      </c>
      <c r="AN102">
        <v>0</v>
      </c>
      <c r="AQ102" t="s">
        <v>142</v>
      </c>
      <c r="AS102" s="52" t="s">
        <v>143</v>
      </c>
      <c r="AU102">
        <v>0</v>
      </c>
      <c r="AV102" s="52" t="s">
        <v>143</v>
      </c>
      <c r="AW102" s="52" t="s">
        <v>157</v>
      </c>
      <c r="AY102" s="52" t="s">
        <v>520</v>
      </c>
      <c r="BK102" s="125" t="str">
        <f>REPLACE(INDEX(GroupVertices[Group],MATCH(Edges[[#This Row],[Vertex 1]],GroupVertices[Vertex],0)),1,1,"")</f>
        <v>1</v>
      </c>
      <c r="BL102" s="125" t="str">
        <f>REPLACE(INDEX(GroupVertices[Group],MATCH(Edges[[#This Row],[Vertex 2]],GroupVertices[Vertex],0)),1,1,"")</f>
        <v>1</v>
      </c>
      <c r="BM102" s="77">
        <v>45177</v>
      </c>
      <c r="BN102" s="98" t="s">
        <v>521</v>
      </c>
      <c r="BO102" s="35">
        <v>0</v>
      </c>
      <c r="BP102" s="36">
        <v>0</v>
      </c>
      <c r="BQ102" s="35">
        <v>0</v>
      </c>
      <c r="BR102" s="36">
        <v>0</v>
      </c>
      <c r="BS102" s="35">
        <v>0</v>
      </c>
      <c r="BT102" s="36">
        <v>0</v>
      </c>
      <c r="BU102" s="82">
        <v>1</v>
      </c>
      <c r="BV102">
        <v>0</v>
      </c>
      <c r="BW102">
        <v>2227</v>
      </c>
      <c r="BX102" t="s">
        <v>522</v>
      </c>
      <c r="CK102" s="52" t="s">
        <v>520</v>
      </c>
      <c r="CL102" s="52" t="s">
        <v>523</v>
      </c>
      <c r="CM102" s="52" t="s">
        <v>520</v>
      </c>
      <c r="CN102" s="52" t="s">
        <v>416</v>
      </c>
    </row>
    <row r="103" spans="1:92" ht="15">
      <c r="A103" s="49" t="s">
        <v>412</v>
      </c>
      <c r="B103" s="49" t="s">
        <v>560</v>
      </c>
      <c r="C103" s="60" t="s">
        <v>135</v>
      </c>
      <c r="D103" s="66">
        <v>5</v>
      </c>
      <c r="E103" s="99" t="s">
        <v>136</v>
      </c>
      <c r="F103" s="67">
        <v>16</v>
      </c>
      <c r="G103" s="60"/>
      <c r="H103" s="54"/>
      <c r="I103" s="68"/>
      <c r="J103" s="68"/>
      <c r="K103" s="30" t="s">
        <v>137</v>
      </c>
      <c r="L103" s="100">
        <v>103</v>
      </c>
      <c r="M103" s="100"/>
      <c r="N103" s="70"/>
      <c r="O103" t="s">
        <v>164</v>
      </c>
      <c r="P103" s="50">
        <v>45181.46287037037</v>
      </c>
      <c r="Q103" t="s">
        <v>524</v>
      </c>
      <c r="U103" s="50">
        <v>45181.46287037037</v>
      </c>
      <c r="V103" s="85" t="str">
        <f>HYPERLINK("https://twitter.com/jeremyl99313994/status/1701552870439698704")</f>
        <v>https://twitter.com/jeremyl99313994/status/1701552870439698704</v>
      </c>
      <c r="Y103" s="52" t="s">
        <v>525</v>
      </c>
      <c r="AA103" s="81">
        <v>1</v>
      </c>
      <c r="AB103" s="35"/>
      <c r="AC103" s="36"/>
      <c r="AD103" s="35"/>
      <c r="AE103" s="36"/>
      <c r="AF103" s="35"/>
      <c r="AG103" s="36"/>
      <c r="AH103" s="35">
        <v>4</v>
      </c>
      <c r="AI103" s="36">
        <v>100</v>
      </c>
      <c r="AJ103" s="35">
        <v>4</v>
      </c>
      <c r="AK103" s="82"/>
      <c r="AL103" s="85" t="str">
        <f>HYPERLINK("https://pbs.twimg.com/profile_images/1223036536028925952/FSgIEXZc_normal.jpg")</f>
        <v>https://pbs.twimg.com/profile_images/1223036536028925952/FSgIEXZc_normal.jpg</v>
      </c>
      <c r="AN103">
        <v>0</v>
      </c>
      <c r="AQ103" t="s">
        <v>142</v>
      </c>
      <c r="AS103" s="52" t="s">
        <v>143</v>
      </c>
      <c r="AU103">
        <v>0</v>
      </c>
      <c r="AV103" s="52" t="s">
        <v>143</v>
      </c>
      <c r="AW103" s="52" t="s">
        <v>157</v>
      </c>
      <c r="AY103" s="52" t="s">
        <v>526</v>
      </c>
      <c r="BK103" s="125" t="str">
        <f>REPLACE(INDEX(GroupVertices[Group],MATCH(Edges[[#This Row],[Vertex 1]],GroupVertices[Vertex],0)),1,1,"")</f>
        <v>1</v>
      </c>
      <c r="BL103" s="125" t="str">
        <f>REPLACE(INDEX(GroupVertices[Group],MATCH(Edges[[#This Row],[Vertex 2]],GroupVertices[Vertex],0)),1,1,"")</f>
        <v>1</v>
      </c>
      <c r="BM103" s="77">
        <v>45181</v>
      </c>
      <c r="BN103" s="98" t="s">
        <v>527</v>
      </c>
      <c r="BO103" s="35">
        <v>0</v>
      </c>
      <c r="BP103" s="36">
        <v>0</v>
      </c>
      <c r="BQ103" s="35">
        <v>0</v>
      </c>
      <c r="BR103" s="36">
        <v>0</v>
      </c>
      <c r="BS103" s="35">
        <v>0</v>
      </c>
      <c r="BT103" s="36">
        <v>0</v>
      </c>
      <c r="BU103" s="82">
        <v>0</v>
      </c>
      <c r="BV103">
        <v>0</v>
      </c>
      <c r="BW103">
        <v>278</v>
      </c>
      <c r="BX103" t="s">
        <v>528</v>
      </c>
      <c r="CK103" s="52" t="s">
        <v>526</v>
      </c>
      <c r="CL103" s="52" t="s">
        <v>529</v>
      </c>
      <c r="CM103" s="52" t="s">
        <v>526</v>
      </c>
      <c r="CN103" s="52" t="s">
        <v>416</v>
      </c>
    </row>
    <row r="104" spans="1:92" ht="15">
      <c r="A104" s="49" t="s">
        <v>397</v>
      </c>
      <c r="B104" s="49" t="s">
        <v>397</v>
      </c>
      <c r="C104" s="60" t="s">
        <v>135</v>
      </c>
      <c r="D104" s="66">
        <v>5</v>
      </c>
      <c r="E104" s="99" t="s">
        <v>136</v>
      </c>
      <c r="F104" s="67">
        <v>16</v>
      </c>
      <c r="G104" s="60"/>
      <c r="H104" s="54"/>
      <c r="I104" s="68"/>
      <c r="J104" s="68"/>
      <c r="K104" s="30" t="s">
        <v>137</v>
      </c>
      <c r="L104" s="100">
        <v>104</v>
      </c>
      <c r="M104" s="100"/>
      <c r="N104" s="70"/>
      <c r="O104" t="s">
        <v>21</v>
      </c>
      <c r="P104" s="50">
        <v>45181.62432870371</v>
      </c>
      <c r="Q104" t="s">
        <v>569</v>
      </c>
      <c r="U104" s="50">
        <v>45181.62432870371</v>
      </c>
      <c r="V104" s="85" t="str">
        <f>HYPERLINK("https://twitter.com/kieronfish/status/1701611380355539050")</f>
        <v>https://twitter.com/kieronfish/status/1701611380355539050</v>
      </c>
      <c r="Y104" s="52" t="s">
        <v>401</v>
      </c>
      <c r="AA104" s="81">
        <v>1</v>
      </c>
      <c r="AB104" s="35"/>
      <c r="AC104" s="36"/>
      <c r="AD104" s="35"/>
      <c r="AE104" s="36"/>
      <c r="AF104" s="35"/>
      <c r="AG104" s="36"/>
      <c r="AH104" s="35">
        <v>6</v>
      </c>
      <c r="AI104" s="36">
        <v>75</v>
      </c>
      <c r="AJ104" s="35">
        <v>8</v>
      </c>
      <c r="AK104" s="82" t="s">
        <v>400</v>
      </c>
      <c r="AL104" s="85" t="str">
        <f>HYPERLINK("https://pbs.twimg.com/ext_tw_video_thumb/1701611202005352448/pu/img/cBVLuEF44szBP0_Y.jpg")</f>
        <v>https://pbs.twimg.com/ext_tw_video_thumb/1701611202005352448/pu/img/cBVLuEF44szBP0_Y.jpg</v>
      </c>
      <c r="AN104">
        <v>28313</v>
      </c>
      <c r="AQ104" t="s">
        <v>142</v>
      </c>
      <c r="AR104" t="b">
        <v>0</v>
      </c>
      <c r="AS104" s="52" t="s">
        <v>143</v>
      </c>
      <c r="AU104">
        <v>7261</v>
      </c>
      <c r="AV104" s="52" t="s">
        <v>143</v>
      </c>
      <c r="AW104" s="52" t="s">
        <v>157</v>
      </c>
      <c r="AY104" s="52" t="s">
        <v>401</v>
      </c>
      <c r="BK104" s="125" t="str">
        <f>REPLACE(INDEX(GroupVertices[Group],MATCH(Edges[[#This Row],[Vertex 1]],GroupVertices[Vertex],0)),1,1,"")</f>
        <v>3</v>
      </c>
      <c r="BL104" s="125" t="str">
        <f>REPLACE(INDEX(GroupVertices[Group],MATCH(Edges[[#This Row],[Vertex 2]],GroupVertices[Vertex],0)),1,1,"")</f>
        <v>3</v>
      </c>
      <c r="BM104" s="77">
        <v>45181</v>
      </c>
      <c r="BN104" s="98" t="s">
        <v>570</v>
      </c>
      <c r="BO104" s="35">
        <v>0</v>
      </c>
      <c r="BP104" s="36">
        <v>0</v>
      </c>
      <c r="BQ104" s="35">
        <v>0</v>
      </c>
      <c r="BR104" s="36">
        <v>0</v>
      </c>
      <c r="BS104" s="35">
        <v>0</v>
      </c>
      <c r="BT104" s="36">
        <v>0</v>
      </c>
      <c r="BU104" s="82">
        <v>676</v>
      </c>
      <c r="BV104">
        <v>3572</v>
      </c>
      <c r="BW104">
        <v>4077020</v>
      </c>
      <c r="BZ104" t="s">
        <v>247</v>
      </c>
      <c r="CD104" t="s">
        <v>403</v>
      </c>
      <c r="CE104">
        <v>90091</v>
      </c>
      <c r="CH104">
        <v>842554</v>
      </c>
      <c r="CK104" s="52" t="s">
        <v>401</v>
      </c>
      <c r="CM104" s="52" t="s">
        <v>143</v>
      </c>
      <c r="CN104" s="52" t="s">
        <v>571</v>
      </c>
    </row>
    <row r="105" spans="1:92" ht="15">
      <c r="A105" s="49" t="s">
        <v>555</v>
      </c>
      <c r="B105" s="49" t="s">
        <v>555</v>
      </c>
      <c r="C105" s="60" t="s">
        <v>135</v>
      </c>
      <c r="D105" s="66">
        <v>5</v>
      </c>
      <c r="E105" s="99" t="s">
        <v>136</v>
      </c>
      <c r="F105" s="67">
        <v>16</v>
      </c>
      <c r="G105" s="60"/>
      <c r="H105" s="54"/>
      <c r="I105" s="68"/>
      <c r="J105" s="68"/>
      <c r="K105" s="30" t="s">
        <v>137</v>
      </c>
      <c r="L105" s="100">
        <v>105</v>
      </c>
      <c r="M105" s="100"/>
      <c r="N105" s="70"/>
      <c r="O105" t="s">
        <v>21</v>
      </c>
      <c r="P105" s="50">
        <v>45177.04283564815</v>
      </c>
      <c r="Q105" t="s">
        <v>572</v>
      </c>
      <c r="R105" s="85" t="str">
        <f>HYPERLINK("https://huggingface.co/papers/2309.03241")</f>
        <v>https://huggingface.co/papers/2309.03241</v>
      </c>
      <c r="S105" t="s">
        <v>557</v>
      </c>
      <c r="U105" s="50">
        <v>45177.04283564815</v>
      </c>
      <c r="V105" s="85" t="str">
        <f>HYPERLINK("https://twitter.com/_akhaliq/status/1699951105927512399")</f>
        <v>https://twitter.com/_akhaliq/status/1699951105927512399</v>
      </c>
      <c r="Y105" s="52" t="s">
        <v>520</v>
      </c>
      <c r="AA105" s="81">
        <v>1</v>
      </c>
      <c r="AB105" s="35"/>
      <c r="AC105" s="36"/>
      <c r="AD105" s="35"/>
      <c r="AE105" s="36"/>
      <c r="AF105" s="35"/>
      <c r="AG105" s="36"/>
      <c r="AH105" s="35">
        <v>26</v>
      </c>
      <c r="AI105" s="36">
        <v>76.47058823529412</v>
      </c>
      <c r="AJ105" s="35">
        <v>34</v>
      </c>
      <c r="AK105" s="82" t="s">
        <v>573</v>
      </c>
      <c r="AL105" s="85" t="str">
        <f>HYPERLINK("https://pbs.twimg.com/media/F5dwfAFWkAAHq_C.jpg")</f>
        <v>https://pbs.twimg.com/media/F5dwfAFWkAAHq_C.jpg</v>
      </c>
      <c r="AN105">
        <v>802</v>
      </c>
      <c r="AQ105" t="s">
        <v>142</v>
      </c>
      <c r="AR105" t="b">
        <v>0</v>
      </c>
      <c r="AS105" s="52" t="s">
        <v>143</v>
      </c>
      <c r="AU105">
        <v>184</v>
      </c>
      <c r="AV105" s="52" t="s">
        <v>143</v>
      </c>
      <c r="AW105" s="52" t="s">
        <v>144</v>
      </c>
      <c r="AY105" s="52" t="s">
        <v>520</v>
      </c>
      <c r="BK105" s="125" t="str">
        <f>REPLACE(INDEX(GroupVertices[Group],MATCH(Edges[[#This Row],[Vertex 1]],GroupVertices[Vertex],0)),1,1,"")</f>
        <v>1</v>
      </c>
      <c r="BL105" s="125" t="str">
        <f>REPLACE(INDEX(GroupVertices[Group],MATCH(Edges[[#This Row],[Vertex 2]],GroupVertices[Vertex],0)),1,1,"")</f>
        <v>1</v>
      </c>
      <c r="BM105" s="77">
        <v>45177</v>
      </c>
      <c r="BN105" s="98" t="s">
        <v>574</v>
      </c>
      <c r="BO105" s="35">
        <v>0</v>
      </c>
      <c r="BP105" s="36">
        <v>0</v>
      </c>
      <c r="BQ105" s="35">
        <v>0</v>
      </c>
      <c r="BR105" s="36">
        <v>0</v>
      </c>
      <c r="BS105" s="35">
        <v>0</v>
      </c>
      <c r="BT105" s="36">
        <v>0</v>
      </c>
      <c r="BU105" s="82">
        <v>28</v>
      </c>
      <c r="BV105">
        <v>41</v>
      </c>
      <c r="BW105">
        <v>296926</v>
      </c>
      <c r="BZ105" t="s">
        <v>159</v>
      </c>
      <c r="CD105" t="s">
        <v>575</v>
      </c>
      <c r="CK105" s="52" t="s">
        <v>520</v>
      </c>
      <c r="CM105" s="52" t="s">
        <v>143</v>
      </c>
      <c r="CN105">
        <v>2465283662</v>
      </c>
    </row>
    <row r="106" spans="1:92" ht="15">
      <c r="A106" s="49" t="s">
        <v>576</v>
      </c>
      <c r="B106" s="49" t="s">
        <v>576</v>
      </c>
      <c r="C106" s="60" t="s">
        <v>135</v>
      </c>
      <c r="D106" s="66">
        <v>5</v>
      </c>
      <c r="E106" s="99" t="s">
        <v>136</v>
      </c>
      <c r="F106" s="67">
        <v>16</v>
      </c>
      <c r="G106" s="60"/>
      <c r="H106" s="54"/>
      <c r="I106" s="68"/>
      <c r="J106" s="68"/>
      <c r="K106" s="30" t="s">
        <v>137</v>
      </c>
      <c r="L106" s="100">
        <v>106</v>
      </c>
      <c r="M106" s="100"/>
      <c r="N106" s="70"/>
      <c r="O106" t="s">
        <v>21</v>
      </c>
      <c r="P106" s="50">
        <v>45181.58857638889</v>
      </c>
      <c r="Q106" t="s">
        <v>577</v>
      </c>
      <c r="U106" s="50">
        <v>45181.58857638889</v>
      </c>
      <c r="V106" s="85" t="str">
        <f>HYPERLINK("https://twitter.com/instigator_h/status/1701598423596879977")</f>
        <v>https://twitter.com/instigator_h/status/1701598423596879977</v>
      </c>
      <c r="Y106" s="52" t="s">
        <v>394</v>
      </c>
      <c r="AA106" s="81">
        <v>1</v>
      </c>
      <c r="AB106" s="35"/>
      <c r="AC106" s="36"/>
      <c r="AD106" s="35"/>
      <c r="AE106" s="36"/>
      <c r="AF106" s="35"/>
      <c r="AG106" s="36"/>
      <c r="AH106" s="35">
        <v>3</v>
      </c>
      <c r="AI106" s="36">
        <v>42.857142857142854</v>
      </c>
      <c r="AJ106" s="35">
        <v>7</v>
      </c>
      <c r="AK106" s="82" t="s">
        <v>578</v>
      </c>
      <c r="AL106" s="85" t="str">
        <f>HYPERLINK("https://pbs.twimg.com/ext_tw_video_thumb/1701597764197699584/pu/img/6aFuGbTJU-ZLRVWJ.jpg")</f>
        <v>https://pbs.twimg.com/ext_tw_video_thumb/1701597764197699584/pu/img/6aFuGbTJU-ZLRVWJ.jpg</v>
      </c>
      <c r="AN106">
        <v>1896</v>
      </c>
      <c r="AQ106" t="s">
        <v>142</v>
      </c>
      <c r="AR106" t="b">
        <v>0</v>
      </c>
      <c r="AS106" s="52" t="s">
        <v>143</v>
      </c>
      <c r="AU106">
        <v>420</v>
      </c>
      <c r="AV106" s="52" t="s">
        <v>143</v>
      </c>
      <c r="AW106" s="52" t="s">
        <v>157</v>
      </c>
      <c r="AY106" s="52" t="s">
        <v>394</v>
      </c>
      <c r="BK106" s="125" t="str">
        <f>REPLACE(INDEX(GroupVertices[Group],MATCH(Edges[[#This Row],[Vertex 1]],GroupVertices[Vertex],0)),1,1,"")</f>
        <v>3</v>
      </c>
      <c r="BL106" s="125" t="str">
        <f>REPLACE(INDEX(GroupVertices[Group],MATCH(Edges[[#This Row],[Vertex 2]],GroupVertices[Vertex],0)),1,1,"")</f>
        <v>3</v>
      </c>
      <c r="BM106" s="77">
        <v>45181</v>
      </c>
      <c r="BN106" s="98" t="s">
        <v>579</v>
      </c>
      <c r="BO106" s="35">
        <v>0</v>
      </c>
      <c r="BP106" s="36">
        <v>0</v>
      </c>
      <c r="BQ106" s="35">
        <v>0</v>
      </c>
      <c r="BR106" s="36">
        <v>0</v>
      </c>
      <c r="BS106" s="35">
        <v>0</v>
      </c>
      <c r="BT106" s="36">
        <v>0</v>
      </c>
      <c r="BU106" s="82">
        <v>134</v>
      </c>
      <c r="BV106">
        <v>374</v>
      </c>
      <c r="BW106">
        <v>1999155</v>
      </c>
      <c r="BZ106" t="s">
        <v>247</v>
      </c>
      <c r="CD106" t="s">
        <v>580</v>
      </c>
      <c r="CE106">
        <v>15300</v>
      </c>
      <c r="CH106">
        <v>358998</v>
      </c>
      <c r="CK106" s="52" t="s">
        <v>394</v>
      </c>
      <c r="CM106" s="52" t="s">
        <v>143</v>
      </c>
      <c r="CN106" s="52" t="s">
        <v>581</v>
      </c>
    </row>
    <row r="107" spans="1:92" ht="15">
      <c r="A107" s="49" t="s">
        <v>387</v>
      </c>
      <c r="B107" s="49" t="s">
        <v>576</v>
      </c>
      <c r="C107" s="60" t="s">
        <v>135</v>
      </c>
      <c r="D107" s="66">
        <v>5</v>
      </c>
      <c r="E107" s="99" t="s">
        <v>136</v>
      </c>
      <c r="F107" s="67">
        <v>16</v>
      </c>
      <c r="G107" s="60"/>
      <c r="H107" s="54"/>
      <c r="I107" s="68"/>
      <c r="J107" s="68"/>
      <c r="K107" s="30" t="s">
        <v>137</v>
      </c>
      <c r="L107" s="100">
        <v>107</v>
      </c>
      <c r="M107" s="100"/>
      <c r="N107" s="70"/>
      <c r="O107" t="s">
        <v>251</v>
      </c>
      <c r="P107" s="50">
        <v>45181.62777777778</v>
      </c>
      <c r="Q107" t="s">
        <v>582</v>
      </c>
      <c r="U107" s="50">
        <v>45181.62777777778</v>
      </c>
      <c r="V107" s="85" t="str">
        <f>HYPERLINK("https://twitter.com/mimitheblogger/status/1701612631587725513")</f>
        <v>https://twitter.com/mimitheblogger/status/1701612631587725513</v>
      </c>
      <c r="Y107" s="52" t="s">
        <v>395</v>
      </c>
      <c r="AA107" s="81">
        <v>1</v>
      </c>
      <c r="AB107" s="35"/>
      <c r="AC107" s="36"/>
      <c r="AD107" s="35"/>
      <c r="AE107" s="36"/>
      <c r="AF107" s="35"/>
      <c r="AG107" s="36"/>
      <c r="AH107" s="35">
        <v>2</v>
      </c>
      <c r="AI107" s="36">
        <v>66.66666666666667</v>
      </c>
      <c r="AJ107" s="35">
        <v>3</v>
      </c>
      <c r="AK107" s="82"/>
      <c r="AL107" s="85" t="str">
        <f>HYPERLINK("https://pbs.twimg.com/profile_images/1686366753973219328/zmehMSmA_normal.jpg")</f>
        <v>https://pbs.twimg.com/profile_images/1686366753973219328/zmehMSmA_normal.jpg</v>
      </c>
      <c r="AN107">
        <v>7491</v>
      </c>
      <c r="AQ107" t="s">
        <v>142</v>
      </c>
      <c r="AS107" s="52" t="s">
        <v>394</v>
      </c>
      <c r="AU107">
        <v>834</v>
      </c>
      <c r="AV107" s="52" t="s">
        <v>143</v>
      </c>
      <c r="AW107" s="52" t="s">
        <v>157</v>
      </c>
      <c r="AY107" s="52" t="s">
        <v>394</v>
      </c>
      <c r="BK107" s="125" t="str">
        <f>REPLACE(INDEX(GroupVertices[Group],MATCH(Edges[[#This Row],[Vertex 1]],GroupVertices[Vertex],0)),1,1,"")</f>
        <v>3</v>
      </c>
      <c r="BL107" s="125" t="str">
        <f>REPLACE(INDEX(GroupVertices[Group],MATCH(Edges[[#This Row],[Vertex 2]],GroupVertices[Vertex],0)),1,1,"")</f>
        <v>3</v>
      </c>
      <c r="BM107" s="77">
        <v>45181</v>
      </c>
      <c r="BN107" s="98" t="s">
        <v>583</v>
      </c>
      <c r="BO107" s="35">
        <v>0</v>
      </c>
      <c r="BP107" s="36">
        <v>0</v>
      </c>
      <c r="BQ107" s="35">
        <v>0</v>
      </c>
      <c r="BR107" s="36">
        <v>0</v>
      </c>
      <c r="BS107" s="35">
        <v>0</v>
      </c>
      <c r="BT107" s="36">
        <v>0</v>
      </c>
      <c r="BU107" s="82">
        <v>44</v>
      </c>
      <c r="BV107">
        <v>49</v>
      </c>
      <c r="BW107">
        <v>811608</v>
      </c>
      <c r="CK107" s="52" t="s">
        <v>395</v>
      </c>
      <c r="CM107" s="52" t="s">
        <v>143</v>
      </c>
      <c r="CN107" s="52" t="s">
        <v>584</v>
      </c>
    </row>
    <row r="108" spans="1:92" ht="15">
      <c r="A108" s="49" t="s">
        <v>387</v>
      </c>
      <c r="B108" s="49" t="s">
        <v>387</v>
      </c>
      <c r="C108" s="60" t="s">
        <v>135</v>
      </c>
      <c r="D108" s="66">
        <v>5</v>
      </c>
      <c r="E108" s="99" t="s">
        <v>136</v>
      </c>
      <c r="F108" s="67">
        <v>16</v>
      </c>
      <c r="G108" s="60"/>
      <c r="H108" s="54"/>
      <c r="I108" s="68"/>
      <c r="J108" s="68"/>
      <c r="K108" s="30" t="s">
        <v>137</v>
      </c>
      <c r="L108" s="100">
        <v>108</v>
      </c>
      <c r="M108" s="100"/>
      <c r="N108" s="70"/>
      <c r="O108" t="s">
        <v>21</v>
      </c>
      <c r="P108" s="50">
        <v>45180.473969907405</v>
      </c>
      <c r="Q108" t="s">
        <v>585</v>
      </c>
      <c r="U108" s="50">
        <v>45180.473969907405</v>
      </c>
      <c r="V108" s="85" t="str">
        <f>HYPERLINK("https://twitter.com/mimitheblogger/status/1701194505582411961")</f>
        <v>https://twitter.com/mimitheblogger/status/1701194505582411961</v>
      </c>
      <c r="Y108" s="52" t="s">
        <v>390</v>
      </c>
      <c r="AA108" s="81">
        <v>1</v>
      </c>
      <c r="AB108" s="35"/>
      <c r="AC108" s="36"/>
      <c r="AD108" s="35"/>
      <c r="AE108" s="36"/>
      <c r="AF108" s="35"/>
      <c r="AG108" s="36"/>
      <c r="AH108" s="35">
        <v>9</v>
      </c>
      <c r="AI108" s="36">
        <v>81.81818181818181</v>
      </c>
      <c r="AJ108" s="35">
        <v>11</v>
      </c>
      <c r="AK108" s="82"/>
      <c r="AL108" s="85" t="str">
        <f>HYPERLINK("https://pbs.twimg.com/profile_images/1686366753973219328/zmehMSmA_normal.jpg")</f>
        <v>https://pbs.twimg.com/profile_images/1686366753973219328/zmehMSmA_normal.jpg</v>
      </c>
      <c r="AN108">
        <v>65</v>
      </c>
      <c r="AQ108" t="s">
        <v>142</v>
      </c>
      <c r="AS108" s="52" t="s">
        <v>143</v>
      </c>
      <c r="AU108">
        <v>5</v>
      </c>
      <c r="AV108" s="52" t="s">
        <v>143</v>
      </c>
      <c r="AW108" s="52" t="s">
        <v>157</v>
      </c>
      <c r="AY108" s="52" t="s">
        <v>390</v>
      </c>
      <c r="BK108" s="125" t="str">
        <f>REPLACE(INDEX(GroupVertices[Group],MATCH(Edges[[#This Row],[Vertex 1]],GroupVertices[Vertex],0)),1,1,"")</f>
        <v>3</v>
      </c>
      <c r="BL108" s="125" t="str">
        <f>REPLACE(INDEX(GroupVertices[Group],MATCH(Edges[[#This Row],[Vertex 2]],GroupVertices[Vertex],0)),1,1,"")</f>
        <v>3</v>
      </c>
      <c r="BM108" s="77">
        <v>45180</v>
      </c>
      <c r="BN108" s="98" t="s">
        <v>586</v>
      </c>
      <c r="BO108" s="35">
        <v>0</v>
      </c>
      <c r="BP108" s="36">
        <v>0</v>
      </c>
      <c r="BQ108" s="35">
        <v>0</v>
      </c>
      <c r="BR108" s="36">
        <v>0</v>
      </c>
      <c r="BS108" s="35">
        <v>0</v>
      </c>
      <c r="BT108" s="36">
        <v>0</v>
      </c>
      <c r="BU108" s="82">
        <v>1</v>
      </c>
      <c r="BV108">
        <v>0</v>
      </c>
      <c r="BW108">
        <v>15196</v>
      </c>
      <c r="CK108" s="52" t="s">
        <v>390</v>
      </c>
      <c r="CM108" s="52" t="s">
        <v>143</v>
      </c>
      <c r="CN108" s="52" t="s">
        <v>584</v>
      </c>
    </row>
    <row r="109" spans="1:92" ht="15">
      <c r="A109" s="49" t="s">
        <v>560</v>
      </c>
      <c r="B109" s="49" t="s">
        <v>587</v>
      </c>
      <c r="C109" s="60" t="s">
        <v>135</v>
      </c>
      <c r="D109" s="66">
        <v>5</v>
      </c>
      <c r="E109" s="99" t="s">
        <v>136</v>
      </c>
      <c r="F109" s="67">
        <v>16</v>
      </c>
      <c r="G109" s="60"/>
      <c r="H109" s="54"/>
      <c r="I109" s="68"/>
      <c r="J109" s="68"/>
      <c r="K109" s="30" t="s">
        <v>588</v>
      </c>
      <c r="L109" s="100">
        <v>109</v>
      </c>
      <c r="M109" s="100"/>
      <c r="N109" s="70"/>
      <c r="O109" t="s">
        <v>251</v>
      </c>
      <c r="P109" s="50">
        <v>45181.21418981482</v>
      </c>
      <c r="Q109" t="s">
        <v>589</v>
      </c>
      <c r="R109" s="85" t="str">
        <f>HYPERLINK("https://plantegg.github.io/2017/01/01/top_linux_commands/")</f>
        <v>https://plantegg.github.io/2017/01/01/top_linux_commands/</v>
      </c>
      <c r="S109" t="s">
        <v>562</v>
      </c>
      <c r="U109" s="50">
        <v>45181.21418981482</v>
      </c>
      <c r="V109" s="85" t="str">
        <f>HYPERLINK("https://twitter.com/plantegg/status/1701462752257343943")</f>
        <v>https://twitter.com/plantegg/status/1701462752257343943</v>
      </c>
      <c r="Y109" s="52" t="s">
        <v>526</v>
      </c>
      <c r="AA109" s="81">
        <v>1</v>
      </c>
      <c r="AB109" s="35"/>
      <c r="AC109" s="36"/>
      <c r="AD109" s="35"/>
      <c r="AE109" s="36"/>
      <c r="AF109" s="35"/>
      <c r="AG109" s="36"/>
      <c r="AH109" s="35">
        <v>3</v>
      </c>
      <c r="AI109" s="36">
        <v>100</v>
      </c>
      <c r="AJ109" s="35">
        <v>3</v>
      </c>
      <c r="AK109" s="82" t="s">
        <v>564</v>
      </c>
      <c r="AL109" s="85" t="str">
        <f>HYPERLINK("https://pbs.twimg.com/media/F5zPEdWakAA3C9C.jpg")</f>
        <v>https://pbs.twimg.com/media/F5zPEdWakAA3C9C.jpg</v>
      </c>
      <c r="AN109">
        <v>211</v>
      </c>
      <c r="AQ109" t="s">
        <v>193</v>
      </c>
      <c r="AR109" t="b">
        <v>0</v>
      </c>
      <c r="AS109" s="52" t="s">
        <v>565</v>
      </c>
      <c r="AU109">
        <v>46</v>
      </c>
      <c r="AV109" s="52" t="s">
        <v>143</v>
      </c>
      <c r="AW109" s="52" t="s">
        <v>144</v>
      </c>
      <c r="AY109" s="52" t="s">
        <v>565</v>
      </c>
      <c r="BK109" s="125" t="str">
        <f>REPLACE(INDEX(GroupVertices[Group],MATCH(Edges[[#This Row],[Vertex 1]],GroupVertices[Vertex],0)),1,1,"")</f>
        <v>1</v>
      </c>
      <c r="BL109" s="125" t="str">
        <f>REPLACE(INDEX(GroupVertices[Group],MATCH(Edges[[#This Row],[Vertex 2]],GroupVertices[Vertex],0)),1,1,"")</f>
        <v>1</v>
      </c>
      <c r="BM109" s="77">
        <v>45181</v>
      </c>
      <c r="BN109" s="98" t="s">
        <v>590</v>
      </c>
      <c r="BO109" s="35">
        <v>0</v>
      </c>
      <c r="BP109" s="36">
        <v>0</v>
      </c>
      <c r="BQ109" s="35">
        <v>0</v>
      </c>
      <c r="BR109" s="36">
        <v>0</v>
      </c>
      <c r="BS109" s="35">
        <v>0</v>
      </c>
      <c r="BT109" s="36">
        <v>0</v>
      </c>
      <c r="BU109" s="82">
        <v>4</v>
      </c>
      <c r="BV109">
        <v>3</v>
      </c>
      <c r="BW109">
        <v>41193</v>
      </c>
      <c r="BZ109" t="s">
        <v>567</v>
      </c>
      <c r="CD109" t="s">
        <v>568</v>
      </c>
      <c r="CK109" s="52" t="s">
        <v>526</v>
      </c>
      <c r="CM109" s="52" t="s">
        <v>143</v>
      </c>
      <c r="CN109">
        <v>39716430</v>
      </c>
    </row>
    <row r="110" spans="1:92" ht="15">
      <c r="A110" s="49" t="s">
        <v>587</v>
      </c>
      <c r="B110" s="49" t="s">
        <v>560</v>
      </c>
      <c r="C110" s="60" t="s">
        <v>135</v>
      </c>
      <c r="D110" s="66">
        <v>5</v>
      </c>
      <c r="E110" s="99" t="s">
        <v>136</v>
      </c>
      <c r="F110" s="67">
        <v>16</v>
      </c>
      <c r="G110" s="60"/>
      <c r="H110" s="54"/>
      <c r="I110" s="68"/>
      <c r="J110" s="68"/>
      <c r="K110" s="30" t="s">
        <v>588</v>
      </c>
      <c r="L110" s="100">
        <v>110</v>
      </c>
      <c r="M110" s="100"/>
      <c r="N110" s="70"/>
      <c r="O110" t="s">
        <v>164</v>
      </c>
      <c r="P110" s="50">
        <v>45181.200578703705</v>
      </c>
      <c r="Q110" t="s">
        <v>591</v>
      </c>
      <c r="U110" s="50">
        <v>45181.200578703705</v>
      </c>
      <c r="V110" s="85" t="str">
        <f>HYPERLINK("https://twitter.com/csyangchsh/status/1701457822033268958")</f>
        <v>https://twitter.com/csyangchsh/status/1701457822033268958</v>
      </c>
      <c r="Y110" s="52" t="s">
        <v>565</v>
      </c>
      <c r="AA110" s="81">
        <v>1</v>
      </c>
      <c r="AB110" s="35"/>
      <c r="AC110" s="36"/>
      <c r="AD110" s="35"/>
      <c r="AE110" s="36"/>
      <c r="AF110" s="35"/>
      <c r="AG110" s="36"/>
      <c r="AH110" s="35">
        <v>5</v>
      </c>
      <c r="AI110" s="36">
        <v>100</v>
      </c>
      <c r="AJ110" s="35">
        <v>5</v>
      </c>
      <c r="AK110" s="82"/>
      <c r="AL110" s="85" t="str">
        <f>HYPERLINK("https://pbs.twimg.com/profile_images/925687120244723712/gT7H83cM_normal.jpg")</f>
        <v>https://pbs.twimg.com/profile_images/925687120244723712/gT7H83cM_normal.jpg</v>
      </c>
      <c r="AN110">
        <v>0</v>
      </c>
      <c r="AQ110" t="s">
        <v>193</v>
      </c>
      <c r="AS110" s="52" t="s">
        <v>143</v>
      </c>
      <c r="AU110">
        <v>0</v>
      </c>
      <c r="AV110" s="52" t="s">
        <v>143</v>
      </c>
      <c r="AW110" s="52" t="s">
        <v>144</v>
      </c>
      <c r="AY110" s="52" t="s">
        <v>592</v>
      </c>
      <c r="BK110" s="125" t="str">
        <f>REPLACE(INDEX(GroupVertices[Group],MATCH(Edges[[#This Row],[Vertex 1]],GroupVertices[Vertex],0)),1,1,"")</f>
        <v>1</v>
      </c>
      <c r="BL110" s="125" t="str">
        <f>REPLACE(INDEX(GroupVertices[Group],MATCH(Edges[[#This Row],[Vertex 2]],GroupVertices[Vertex],0)),1,1,"")</f>
        <v>1</v>
      </c>
      <c r="BM110" s="77">
        <v>45181</v>
      </c>
      <c r="BN110" s="98" t="s">
        <v>593</v>
      </c>
      <c r="BO110" s="35">
        <v>0</v>
      </c>
      <c r="BP110" s="36">
        <v>0</v>
      </c>
      <c r="BQ110" s="35">
        <v>0</v>
      </c>
      <c r="BR110" s="36">
        <v>0</v>
      </c>
      <c r="BS110" s="35">
        <v>0</v>
      </c>
      <c r="BT110" s="36">
        <v>0</v>
      </c>
      <c r="BU110" s="82">
        <v>0</v>
      </c>
      <c r="BV110">
        <v>1</v>
      </c>
      <c r="BW110">
        <v>41479</v>
      </c>
      <c r="BX110" t="s">
        <v>560</v>
      </c>
      <c r="CK110" s="52" t="s">
        <v>594</v>
      </c>
      <c r="CL110" s="52" t="s">
        <v>529</v>
      </c>
      <c r="CM110" s="52" t="s">
        <v>592</v>
      </c>
      <c r="CN110">
        <v>227588754</v>
      </c>
    </row>
    <row r="111" spans="1:92" ht="15">
      <c r="A111" s="49" t="s">
        <v>595</v>
      </c>
      <c r="B111" s="49" t="s">
        <v>184</v>
      </c>
      <c r="C111" s="60" t="s">
        <v>135</v>
      </c>
      <c r="D111" s="66">
        <v>5</v>
      </c>
      <c r="E111" s="99" t="s">
        <v>136</v>
      </c>
      <c r="F111" s="67">
        <v>16</v>
      </c>
      <c r="G111" s="60"/>
      <c r="H111" s="54"/>
      <c r="I111" s="68"/>
      <c r="J111" s="68"/>
      <c r="K111" s="30" t="s">
        <v>137</v>
      </c>
      <c r="L111" s="100">
        <v>111</v>
      </c>
      <c r="M111" s="100"/>
      <c r="N111" s="70"/>
      <c r="O111" t="s">
        <v>152</v>
      </c>
      <c r="P111" s="50">
        <v>45181.50915509259</v>
      </c>
      <c r="Q111" t="s">
        <v>596</v>
      </c>
      <c r="U111" s="50">
        <v>45181.50915509259</v>
      </c>
      <c r="V111" s="85" t="str">
        <f>HYPERLINK("https://twitter.com/jeremyl51357386/status/1701569642844574200")</f>
        <v>https://twitter.com/jeremyl51357386/status/1701569642844574200</v>
      </c>
      <c r="Y111" s="52" t="s">
        <v>597</v>
      </c>
      <c r="AA111" s="81">
        <v>1</v>
      </c>
      <c r="AB111" s="35"/>
      <c r="AC111" s="36"/>
      <c r="AD111" s="35"/>
      <c r="AE111" s="36"/>
      <c r="AF111" s="35"/>
      <c r="AG111" s="36"/>
      <c r="AH111" s="35">
        <v>12</v>
      </c>
      <c r="AI111" s="36">
        <v>63.1578947368421</v>
      </c>
      <c r="AJ111" s="35">
        <v>19</v>
      </c>
      <c r="AK111" s="82"/>
      <c r="AL111" s="85" t="str">
        <f>HYPERLINK("https://pbs.twimg.com/profile_images/1698702382836641792/tdhTCKDs_normal.jpg")</f>
        <v>https://pbs.twimg.com/profile_images/1698702382836641792/tdhTCKDs_normal.jpg</v>
      </c>
      <c r="AN111">
        <v>0</v>
      </c>
      <c r="AQ111" t="s">
        <v>142</v>
      </c>
      <c r="AS111" s="52" t="s">
        <v>143</v>
      </c>
      <c r="AU111">
        <v>2</v>
      </c>
      <c r="AV111" s="52" t="s">
        <v>187</v>
      </c>
      <c r="AW111" s="52" t="s">
        <v>144</v>
      </c>
      <c r="AY111" s="52" t="s">
        <v>187</v>
      </c>
      <c r="BK111" s="125" t="str">
        <f>REPLACE(INDEX(GroupVertices[Group],MATCH(Edges[[#This Row],[Vertex 1]],GroupVertices[Vertex],0)),1,1,"")</f>
        <v>8</v>
      </c>
      <c r="BL111" s="125" t="str">
        <f>REPLACE(INDEX(GroupVertices[Group],MATCH(Edges[[#This Row],[Vertex 2]],GroupVertices[Vertex],0)),1,1,"")</f>
        <v>8</v>
      </c>
      <c r="BM111" s="77">
        <v>45181</v>
      </c>
      <c r="BN111" s="98" t="s">
        <v>598</v>
      </c>
      <c r="BO111" s="35">
        <v>0</v>
      </c>
      <c r="BP111" s="36">
        <v>0</v>
      </c>
      <c r="BQ111" s="35">
        <v>0</v>
      </c>
      <c r="BR111" s="36">
        <v>0</v>
      </c>
      <c r="BS111" s="35">
        <v>0</v>
      </c>
      <c r="BT111" s="36">
        <v>0</v>
      </c>
      <c r="BU111" s="82">
        <v>0</v>
      </c>
      <c r="BV111">
        <v>0</v>
      </c>
      <c r="BX111" t="s">
        <v>184</v>
      </c>
      <c r="CK111" s="52" t="s">
        <v>597</v>
      </c>
      <c r="CM111" s="52" t="s">
        <v>143</v>
      </c>
      <c r="CN111" s="52" t="s">
        <v>599</v>
      </c>
    </row>
    <row r="112" spans="1:92" ht="15">
      <c r="A112" s="49" t="s">
        <v>183</v>
      </c>
      <c r="B112" s="49" t="s">
        <v>600</v>
      </c>
      <c r="C112" s="60" t="s">
        <v>135</v>
      </c>
      <c r="D112" s="66">
        <v>5</v>
      </c>
      <c r="E112" s="99" t="s">
        <v>136</v>
      </c>
      <c r="F112" s="67">
        <v>16</v>
      </c>
      <c r="G112" s="60"/>
      <c r="H112" s="54"/>
      <c r="I112" s="68"/>
      <c r="J112" s="68"/>
      <c r="K112" s="30" t="s">
        <v>137</v>
      </c>
      <c r="L112" s="100">
        <v>112</v>
      </c>
      <c r="M112" s="100"/>
      <c r="N112" s="70"/>
      <c r="O112" t="s">
        <v>138</v>
      </c>
      <c r="P112" s="50">
        <v>45176.60953703704</v>
      </c>
      <c r="Q112" t="s">
        <v>601</v>
      </c>
      <c r="R112" s="85" t="str">
        <f>HYPERLINK("https://www.cjr.org/the_media_today/elon_musk_adl_antisemitism.php")</f>
        <v>https://www.cjr.org/the_media_today/elon_musk_adl_antisemitism.php</v>
      </c>
      <c r="S112" t="s">
        <v>602</v>
      </c>
      <c r="U112" s="50">
        <v>45176.60953703704</v>
      </c>
      <c r="V112" s="85" t="str">
        <f>HYPERLINK("https://twitter.com/jeremyhl/status/1699794080363057525")</f>
        <v>https://twitter.com/jeremyhl/status/1699794080363057525</v>
      </c>
      <c r="Y112" s="52" t="s">
        <v>603</v>
      </c>
      <c r="AA112" s="81">
        <v>1</v>
      </c>
      <c r="AB112" s="35"/>
      <c r="AC112" s="36"/>
      <c r="AD112" s="35"/>
      <c r="AE112" s="36"/>
      <c r="AF112" s="35"/>
      <c r="AG112" s="36"/>
      <c r="AH112" s="35">
        <v>9</v>
      </c>
      <c r="AI112" s="36">
        <v>56.25</v>
      </c>
      <c r="AJ112" s="35">
        <v>16</v>
      </c>
      <c r="AK112" s="82"/>
      <c r="AL112" s="85" t="str">
        <f>HYPERLINK("https://pbs.twimg.com/profile_images/912667889395798022/pMoB2qc8_normal.jpg")</f>
        <v>https://pbs.twimg.com/profile_images/912667889395798022/pMoB2qc8_normal.jpg</v>
      </c>
      <c r="AN112">
        <v>0</v>
      </c>
      <c r="AQ112" t="s">
        <v>142</v>
      </c>
      <c r="AR112" t="b">
        <v>0</v>
      </c>
      <c r="AS112" s="52" t="s">
        <v>143</v>
      </c>
      <c r="AU112">
        <v>0</v>
      </c>
      <c r="AV112" s="52" t="s">
        <v>143</v>
      </c>
      <c r="AW112" s="52" t="s">
        <v>157</v>
      </c>
      <c r="AY112" s="52" t="s">
        <v>603</v>
      </c>
      <c r="BK112" s="125" t="str">
        <f>REPLACE(INDEX(GroupVertices[Group],MATCH(Edges[[#This Row],[Vertex 1]],GroupVertices[Vertex],0)),1,1,"")</f>
        <v>2</v>
      </c>
      <c r="BL112" s="125" t="str">
        <f>REPLACE(INDEX(GroupVertices[Group],MATCH(Edges[[#This Row],[Vertex 2]],GroupVertices[Vertex],0)),1,1,"")</f>
        <v>2</v>
      </c>
      <c r="BM112" s="77">
        <v>45176</v>
      </c>
      <c r="BN112" s="98" t="s">
        <v>604</v>
      </c>
      <c r="BO112" s="35">
        <v>0</v>
      </c>
      <c r="BP112" s="36">
        <v>0</v>
      </c>
      <c r="BQ112" s="35">
        <v>0</v>
      </c>
      <c r="BR112" s="36">
        <v>0</v>
      </c>
      <c r="BS112" s="35">
        <v>0</v>
      </c>
      <c r="BT112" s="36">
        <v>0</v>
      </c>
      <c r="BU112" s="82">
        <v>0</v>
      </c>
      <c r="BV112">
        <v>0</v>
      </c>
      <c r="BW112">
        <v>47</v>
      </c>
      <c r="BX112" t="s">
        <v>600</v>
      </c>
      <c r="CK112" s="52" t="s">
        <v>603</v>
      </c>
      <c r="CM112" s="52" t="s">
        <v>143</v>
      </c>
      <c r="CN112">
        <v>12006842</v>
      </c>
    </row>
    <row r="113" spans="1:92" ht="15">
      <c r="A113" s="49" t="s">
        <v>183</v>
      </c>
      <c r="B113" s="49" t="s">
        <v>605</v>
      </c>
      <c r="C113" s="60" t="s">
        <v>135</v>
      </c>
      <c r="D113" s="66">
        <v>5</v>
      </c>
      <c r="E113" s="99" t="s">
        <v>136</v>
      </c>
      <c r="F113" s="67">
        <v>16</v>
      </c>
      <c r="G113" s="60"/>
      <c r="H113" s="54"/>
      <c r="I113" s="68"/>
      <c r="J113" s="68"/>
      <c r="K113" s="30" t="s">
        <v>137</v>
      </c>
      <c r="L113" s="100">
        <v>113</v>
      </c>
      <c r="M113" s="100"/>
      <c r="N113" s="70"/>
      <c r="O113" t="s">
        <v>138</v>
      </c>
      <c r="P113" s="50">
        <v>45180.586851851855</v>
      </c>
      <c r="Q113" t="s">
        <v>606</v>
      </c>
      <c r="R113" s="85" t="str">
        <f>HYPERLINK("https://www.insidehighered.com/news/diversity/socioeconomics/2023/09/11/progress-backsliding-economic-diversity-selective-colleges")</f>
        <v>https://www.insidehighered.com/news/diversity/socioeconomics/2023/09/11/progress-backsliding-economic-diversity-selective-colleges</v>
      </c>
      <c r="S113" t="s">
        <v>607</v>
      </c>
      <c r="T113" s="52" t="s">
        <v>608</v>
      </c>
      <c r="U113" s="50">
        <v>45180.586851851855</v>
      </c>
      <c r="V113" s="85" t="str">
        <f>HYPERLINK("https://twitter.com/jeremyhl/status/1701235412415520897")</f>
        <v>https://twitter.com/jeremyhl/status/1701235412415520897</v>
      </c>
      <c r="Y113" s="52" t="s">
        <v>609</v>
      </c>
      <c r="AA113" s="81">
        <v>1</v>
      </c>
      <c r="AB113" s="35"/>
      <c r="AC113" s="36"/>
      <c r="AD113" s="35"/>
      <c r="AE113" s="36"/>
      <c r="AF113" s="35"/>
      <c r="AG113" s="36"/>
      <c r="AH113" s="35">
        <v>14</v>
      </c>
      <c r="AI113" s="36">
        <v>66.66666666666667</v>
      </c>
      <c r="AJ113" s="35">
        <v>21</v>
      </c>
      <c r="AK113" s="82"/>
      <c r="AL113" s="85" t="str">
        <f>HYPERLINK("https://pbs.twimg.com/profile_images/912667889395798022/pMoB2qc8_normal.jpg")</f>
        <v>https://pbs.twimg.com/profile_images/912667889395798022/pMoB2qc8_normal.jpg</v>
      </c>
      <c r="AN113">
        <v>0</v>
      </c>
      <c r="AQ113" t="s">
        <v>142</v>
      </c>
      <c r="AR113" t="b">
        <v>0</v>
      </c>
      <c r="AS113" s="52" t="s">
        <v>143</v>
      </c>
      <c r="AU113">
        <v>0</v>
      </c>
      <c r="AV113" s="52" t="s">
        <v>143</v>
      </c>
      <c r="AW113" s="52" t="s">
        <v>157</v>
      </c>
      <c r="AY113" s="52" t="s">
        <v>609</v>
      </c>
      <c r="BK113" s="125" t="str">
        <f>REPLACE(INDEX(GroupVertices[Group],MATCH(Edges[[#This Row],[Vertex 1]],GroupVertices[Vertex],0)),1,1,"")</f>
        <v>2</v>
      </c>
      <c r="BL113" s="125" t="str">
        <f>REPLACE(INDEX(GroupVertices[Group],MATCH(Edges[[#This Row],[Vertex 2]],GroupVertices[Vertex],0)),1,1,"")</f>
        <v>2</v>
      </c>
      <c r="BM113" s="77">
        <v>45180</v>
      </c>
      <c r="BN113" s="98" t="s">
        <v>610</v>
      </c>
      <c r="BO113" s="35">
        <v>0</v>
      </c>
      <c r="BP113" s="36">
        <v>0</v>
      </c>
      <c r="BQ113" s="35">
        <v>0</v>
      </c>
      <c r="BR113" s="36">
        <v>0</v>
      </c>
      <c r="BS113" s="35">
        <v>0</v>
      </c>
      <c r="BT113" s="36">
        <v>0</v>
      </c>
      <c r="BU113" s="82">
        <v>0</v>
      </c>
      <c r="BV113">
        <v>0</v>
      </c>
      <c r="BW113">
        <v>54</v>
      </c>
      <c r="BX113" t="s">
        <v>605</v>
      </c>
      <c r="CK113" s="52" t="s">
        <v>609</v>
      </c>
      <c r="CM113" s="52" t="s">
        <v>143</v>
      </c>
      <c r="CN113">
        <v>12006842</v>
      </c>
    </row>
    <row r="114" spans="1:92" ht="15">
      <c r="A114" s="49" t="s">
        <v>183</v>
      </c>
      <c r="B114" s="49" t="s">
        <v>611</v>
      </c>
      <c r="C114" s="60" t="s">
        <v>135</v>
      </c>
      <c r="D114" s="66">
        <v>5</v>
      </c>
      <c r="E114" s="99" t="s">
        <v>136</v>
      </c>
      <c r="F114" s="67">
        <v>16</v>
      </c>
      <c r="G114" s="60"/>
      <c r="H114" s="54"/>
      <c r="I114" s="68"/>
      <c r="J114" s="68"/>
      <c r="K114" s="30" t="s">
        <v>137</v>
      </c>
      <c r="L114" s="100">
        <v>114</v>
      </c>
      <c r="M114" s="100"/>
      <c r="N114" s="70"/>
      <c r="O114" t="s">
        <v>138</v>
      </c>
      <c r="P114" s="50">
        <v>45177.18861111111</v>
      </c>
      <c r="Q114" t="s">
        <v>612</v>
      </c>
      <c r="R114" s="85" t="str">
        <f>HYPERLINK("https://www.nytimes.com/2023/09/07/technology/artificial-intelligence-framework-senate.html?smid=nytcore-ios-share&amp;referringSource=articleShare")</f>
        <v>https://www.nytimes.com/2023/09/07/technology/artificial-intelligence-framework-senate.html?smid=nytcore-ios-share&amp;referringSource=articleShare</v>
      </c>
      <c r="S114" t="s">
        <v>147</v>
      </c>
      <c r="T114" s="52" t="s">
        <v>613</v>
      </c>
      <c r="U114" s="50">
        <v>45177.18861111111</v>
      </c>
      <c r="V114" s="85" t="str">
        <f>HYPERLINK("https://twitter.com/jeremyhl/status/1700003930984402987")</f>
        <v>https://twitter.com/jeremyhl/status/1700003930984402987</v>
      </c>
      <c r="Y114" s="52" t="s">
        <v>614</v>
      </c>
      <c r="AA114" s="81">
        <v>1</v>
      </c>
      <c r="AB114" s="35"/>
      <c r="AC114" s="36"/>
      <c r="AD114" s="35"/>
      <c r="AE114" s="36"/>
      <c r="AF114" s="35"/>
      <c r="AG114" s="36"/>
      <c r="AH114" s="35">
        <v>17</v>
      </c>
      <c r="AI114" s="36">
        <v>65.38461538461539</v>
      </c>
      <c r="AJ114" s="35">
        <v>26</v>
      </c>
      <c r="AK114" s="82"/>
      <c r="AL114" s="85" t="str">
        <f>HYPERLINK("https://pbs.twimg.com/profile_images/912667889395798022/pMoB2qc8_normal.jpg")</f>
        <v>https://pbs.twimg.com/profile_images/912667889395798022/pMoB2qc8_normal.jpg</v>
      </c>
      <c r="AN114">
        <v>0</v>
      </c>
      <c r="AQ114" t="s">
        <v>142</v>
      </c>
      <c r="AR114" t="b">
        <v>0</v>
      </c>
      <c r="AS114" s="52" t="s">
        <v>143</v>
      </c>
      <c r="AU114">
        <v>0</v>
      </c>
      <c r="AV114" s="52" t="s">
        <v>143</v>
      </c>
      <c r="AW114" s="52" t="s">
        <v>157</v>
      </c>
      <c r="AY114" s="52" t="s">
        <v>614</v>
      </c>
      <c r="BK114" s="125" t="str">
        <f>REPLACE(INDEX(GroupVertices[Group],MATCH(Edges[[#This Row],[Vertex 1]],GroupVertices[Vertex],0)),1,1,"")</f>
        <v>2</v>
      </c>
      <c r="BL114" s="125" t="str">
        <f>REPLACE(INDEX(GroupVertices[Group],MATCH(Edges[[#This Row],[Vertex 2]],GroupVertices[Vertex],0)),1,1,"")</f>
        <v>2</v>
      </c>
      <c r="BM114" s="77">
        <v>45177</v>
      </c>
      <c r="BN114" s="98" t="s">
        <v>615</v>
      </c>
      <c r="BO114" s="35">
        <v>0</v>
      </c>
      <c r="BP114" s="36">
        <v>0</v>
      </c>
      <c r="BQ114" s="35">
        <v>0</v>
      </c>
      <c r="BR114" s="36">
        <v>0</v>
      </c>
      <c r="BS114" s="35">
        <v>0</v>
      </c>
      <c r="BT114" s="36">
        <v>0</v>
      </c>
      <c r="BU114" s="82">
        <v>0</v>
      </c>
      <c r="BV114">
        <v>0</v>
      </c>
      <c r="BW114">
        <v>48</v>
      </c>
      <c r="BX114" t="s">
        <v>611</v>
      </c>
      <c r="CK114" s="52" t="s">
        <v>614</v>
      </c>
      <c r="CM114" s="52" t="s">
        <v>143</v>
      </c>
      <c r="CN114">
        <v>12006842</v>
      </c>
    </row>
    <row r="115" spans="1:92" ht="15">
      <c r="A115" s="49" t="s">
        <v>183</v>
      </c>
      <c r="B115" s="49" t="s">
        <v>616</v>
      </c>
      <c r="C115" s="60" t="s">
        <v>135</v>
      </c>
      <c r="D115" s="66">
        <v>5</v>
      </c>
      <c r="E115" s="99" t="s">
        <v>136</v>
      </c>
      <c r="F115" s="67">
        <v>16</v>
      </c>
      <c r="G115" s="60"/>
      <c r="H115" s="54"/>
      <c r="I115" s="68"/>
      <c r="J115" s="68"/>
      <c r="K115" s="30" t="s">
        <v>137</v>
      </c>
      <c r="L115" s="100">
        <v>115</v>
      </c>
      <c r="M115" s="100"/>
      <c r="N115" s="70"/>
      <c r="O115" t="s">
        <v>138</v>
      </c>
      <c r="P115" s="50">
        <v>45178.74748842593</v>
      </c>
      <c r="Q115" t="s">
        <v>617</v>
      </c>
      <c r="U115" s="50">
        <v>45178.74748842593</v>
      </c>
      <c r="V115" s="85" t="str">
        <f>HYPERLINK("https://twitter.com/jeremyhl/status/1700568851082006845")</f>
        <v>https://twitter.com/jeremyhl/status/1700568851082006845</v>
      </c>
      <c r="Y115" s="52" t="s">
        <v>618</v>
      </c>
      <c r="AA115" s="81">
        <v>1</v>
      </c>
      <c r="AB115" s="35"/>
      <c r="AC115" s="36"/>
      <c r="AD115" s="35"/>
      <c r="AE115" s="36"/>
      <c r="AF115" s="35"/>
      <c r="AG115" s="36"/>
      <c r="AH115" s="35">
        <v>4</v>
      </c>
      <c r="AI115" s="36">
        <v>66.66666666666667</v>
      </c>
      <c r="AJ115" s="35">
        <v>6</v>
      </c>
      <c r="AK115" s="82" t="s">
        <v>619</v>
      </c>
      <c r="AL115" s="85" t="str">
        <f>HYPERLINK("https://pbs.twimg.com/media/F5miWzlXAAEU-WV.jpg")</f>
        <v>https://pbs.twimg.com/media/F5miWzlXAAEU-WV.jpg</v>
      </c>
      <c r="AN115">
        <v>0</v>
      </c>
      <c r="AQ115" t="s">
        <v>142</v>
      </c>
      <c r="AR115" t="b">
        <v>0</v>
      </c>
      <c r="AS115" s="52" t="s">
        <v>143</v>
      </c>
      <c r="AU115">
        <v>0</v>
      </c>
      <c r="AV115" s="52" t="s">
        <v>143</v>
      </c>
      <c r="AW115" s="52" t="s">
        <v>157</v>
      </c>
      <c r="AY115" s="52" t="s">
        <v>618</v>
      </c>
      <c r="BK115" s="125" t="str">
        <f>REPLACE(INDEX(GroupVertices[Group],MATCH(Edges[[#This Row],[Vertex 1]],GroupVertices[Vertex],0)),1,1,"")</f>
        <v>2</v>
      </c>
      <c r="BL115" s="125" t="str">
        <f>REPLACE(INDEX(GroupVertices[Group],MATCH(Edges[[#This Row],[Vertex 2]],GroupVertices[Vertex],0)),1,1,"")</f>
        <v>2</v>
      </c>
      <c r="BM115" s="77">
        <v>45178</v>
      </c>
      <c r="BN115" s="98" t="s">
        <v>620</v>
      </c>
      <c r="BO115" s="35">
        <v>0</v>
      </c>
      <c r="BP115" s="36">
        <v>0</v>
      </c>
      <c r="BQ115" s="35">
        <v>0</v>
      </c>
      <c r="BR115" s="36">
        <v>0</v>
      </c>
      <c r="BS115" s="35">
        <v>0</v>
      </c>
      <c r="BT115" s="36">
        <v>0</v>
      </c>
      <c r="BU115" s="82">
        <v>0</v>
      </c>
      <c r="BV115">
        <v>0</v>
      </c>
      <c r="BW115">
        <v>31</v>
      </c>
      <c r="BX115" t="s">
        <v>616</v>
      </c>
      <c r="BZ115" t="s">
        <v>159</v>
      </c>
      <c r="CD115" t="s">
        <v>621</v>
      </c>
      <c r="CK115" s="52" t="s">
        <v>618</v>
      </c>
      <c r="CL115" s="52" t="s">
        <v>622</v>
      </c>
      <c r="CM115" s="52" t="s">
        <v>143</v>
      </c>
      <c r="CN115">
        <v>12006842</v>
      </c>
    </row>
    <row r="116" spans="1:92" ht="15">
      <c r="A116" s="49" t="s">
        <v>183</v>
      </c>
      <c r="B116" s="49" t="s">
        <v>623</v>
      </c>
      <c r="C116" s="60" t="s">
        <v>2250</v>
      </c>
      <c r="D116" s="66">
        <v>10</v>
      </c>
      <c r="E116" s="99" t="s">
        <v>180</v>
      </c>
      <c r="F116" s="67">
        <v>9.846153846153847</v>
      </c>
      <c r="G116" s="60"/>
      <c r="H116" s="54"/>
      <c r="I116" s="68"/>
      <c r="J116" s="68"/>
      <c r="K116" s="30" t="s">
        <v>137</v>
      </c>
      <c r="L116" s="100">
        <v>116</v>
      </c>
      <c r="M116" s="100"/>
      <c r="N116" s="70"/>
      <c r="O116" t="s">
        <v>138</v>
      </c>
      <c r="P116" s="50">
        <v>45176.54498842593</v>
      </c>
      <c r="Q116" t="s">
        <v>624</v>
      </c>
      <c r="R116" s="85" t="str">
        <f>HYPERLINK("https://apnews.com/article/44850c92a3d9480cc067474490140d88")</f>
        <v>https://apnews.com/article/44850c92a3d9480cc067474490140d88</v>
      </c>
      <c r="S116" t="s">
        <v>625</v>
      </c>
      <c r="T116" s="52" t="s">
        <v>626</v>
      </c>
      <c r="U116" s="50">
        <v>45176.54498842593</v>
      </c>
      <c r="V116" s="85" t="str">
        <f>HYPERLINK("https://twitter.com/jeremyhl/status/1699770689467654396")</f>
        <v>https://twitter.com/jeremyhl/status/1699770689467654396</v>
      </c>
      <c r="Y116" s="52" t="s">
        <v>627</v>
      </c>
      <c r="AA116" s="81">
        <v>121</v>
      </c>
      <c r="AB116" s="35"/>
      <c r="AC116" s="36"/>
      <c r="AD116" s="35"/>
      <c r="AE116" s="36"/>
      <c r="AF116" s="35"/>
      <c r="AG116" s="36"/>
      <c r="AH116" s="35">
        <v>24</v>
      </c>
      <c r="AI116" s="36">
        <v>60</v>
      </c>
      <c r="AJ116" s="35">
        <v>40</v>
      </c>
      <c r="AK116" s="82"/>
      <c r="AL116" s="85" t="str">
        <f aca="true" t="shared" si="3" ref="AL116:AL127">HYPERLINK("https://pbs.twimg.com/profile_images/912667889395798022/pMoB2qc8_normal.jpg")</f>
        <v>https://pbs.twimg.com/profile_images/912667889395798022/pMoB2qc8_normal.jpg</v>
      </c>
      <c r="AN116">
        <v>0</v>
      </c>
      <c r="AQ116" t="s">
        <v>142</v>
      </c>
      <c r="AR116" t="b">
        <v>0</v>
      </c>
      <c r="AS116" s="52" t="s">
        <v>143</v>
      </c>
      <c r="AU116">
        <v>0</v>
      </c>
      <c r="AV116" s="52" t="s">
        <v>143</v>
      </c>
      <c r="AW116" s="52" t="s">
        <v>157</v>
      </c>
      <c r="AY116" s="52" t="s">
        <v>627</v>
      </c>
      <c r="BK116" s="125" t="str">
        <f>REPLACE(INDEX(GroupVertices[Group],MATCH(Edges[[#This Row],[Vertex 1]],GroupVertices[Vertex],0)),1,1,"")</f>
        <v>2</v>
      </c>
      <c r="BL116" s="125" t="str">
        <f>REPLACE(INDEX(GroupVertices[Group],MATCH(Edges[[#This Row],[Vertex 2]],GroupVertices[Vertex],0)),1,1,"")</f>
        <v>2</v>
      </c>
      <c r="BM116" s="77">
        <v>45176</v>
      </c>
      <c r="BN116" s="98" t="s">
        <v>628</v>
      </c>
      <c r="BO116" s="35">
        <v>0</v>
      </c>
      <c r="BP116" s="36">
        <v>0</v>
      </c>
      <c r="BQ116" s="35">
        <v>0</v>
      </c>
      <c r="BR116" s="36">
        <v>0</v>
      </c>
      <c r="BS116" s="35">
        <v>0</v>
      </c>
      <c r="BT116" s="36">
        <v>0</v>
      </c>
      <c r="BU116" s="82">
        <v>0</v>
      </c>
      <c r="BV116">
        <v>0</v>
      </c>
      <c r="BW116">
        <v>39</v>
      </c>
      <c r="BX116" t="s">
        <v>623</v>
      </c>
      <c r="CK116" s="52" t="s">
        <v>627</v>
      </c>
      <c r="CM116" s="52" t="s">
        <v>143</v>
      </c>
      <c r="CN116">
        <v>12006842</v>
      </c>
    </row>
    <row r="117" spans="1:92" ht="15">
      <c r="A117" s="49" t="s">
        <v>183</v>
      </c>
      <c r="B117" s="49" t="s">
        <v>623</v>
      </c>
      <c r="C117" s="60" t="s">
        <v>2250</v>
      </c>
      <c r="D117" s="66">
        <v>10</v>
      </c>
      <c r="E117" s="99" t="s">
        <v>180</v>
      </c>
      <c r="F117" s="67">
        <v>9.846153846153847</v>
      </c>
      <c r="G117" s="60"/>
      <c r="H117" s="54"/>
      <c r="I117" s="68"/>
      <c r="J117" s="68"/>
      <c r="K117" s="30" t="s">
        <v>137</v>
      </c>
      <c r="L117" s="100">
        <v>117</v>
      </c>
      <c r="M117" s="100"/>
      <c r="N117" s="70"/>
      <c r="O117" t="s">
        <v>138</v>
      </c>
      <c r="P117" s="50">
        <v>45181.68199074074</v>
      </c>
      <c r="Q117" t="s">
        <v>629</v>
      </c>
      <c r="R117" s="85" t="str">
        <f>HYPERLINK("https://apnews.com/article/687b9a5b90ec18f207d36df3ba11aebd")</f>
        <v>https://apnews.com/article/687b9a5b90ec18f207d36df3ba11aebd</v>
      </c>
      <c r="S117" t="s">
        <v>625</v>
      </c>
      <c r="T117" s="52" t="s">
        <v>613</v>
      </c>
      <c r="U117" s="50">
        <v>45181.68199074074</v>
      </c>
      <c r="V117" s="85" t="str">
        <f>HYPERLINK("https://twitter.com/jeremyhl/status/1701632276033892828")</f>
        <v>https://twitter.com/jeremyhl/status/1701632276033892828</v>
      </c>
      <c r="Y117" s="52" t="s">
        <v>630</v>
      </c>
      <c r="AA117" s="81">
        <v>121</v>
      </c>
      <c r="AB117" s="35"/>
      <c r="AC117" s="36"/>
      <c r="AD117" s="35"/>
      <c r="AE117" s="36"/>
      <c r="AF117" s="35"/>
      <c r="AG117" s="36"/>
      <c r="AH117" s="35">
        <v>26</v>
      </c>
      <c r="AI117" s="36">
        <v>65</v>
      </c>
      <c r="AJ117" s="35">
        <v>40</v>
      </c>
      <c r="AK117" s="82"/>
      <c r="AL117" s="85" t="str">
        <f t="shared" si="3"/>
        <v>https://pbs.twimg.com/profile_images/912667889395798022/pMoB2qc8_normal.jpg</v>
      </c>
      <c r="AN117">
        <v>0</v>
      </c>
      <c r="AQ117" t="s">
        <v>142</v>
      </c>
      <c r="AR117" t="b">
        <v>0</v>
      </c>
      <c r="AS117" s="52" t="s">
        <v>143</v>
      </c>
      <c r="AU117">
        <v>0</v>
      </c>
      <c r="AV117" s="52" t="s">
        <v>143</v>
      </c>
      <c r="AW117" s="52" t="s">
        <v>157</v>
      </c>
      <c r="AY117" s="52" t="s">
        <v>630</v>
      </c>
      <c r="BK117" s="125" t="str">
        <f>REPLACE(INDEX(GroupVertices[Group],MATCH(Edges[[#This Row],[Vertex 1]],GroupVertices[Vertex],0)),1,1,"")</f>
        <v>2</v>
      </c>
      <c r="BL117" s="125" t="str">
        <f>REPLACE(INDEX(GroupVertices[Group],MATCH(Edges[[#This Row],[Vertex 2]],GroupVertices[Vertex],0)),1,1,"")</f>
        <v>2</v>
      </c>
      <c r="BM117" s="77">
        <v>45181</v>
      </c>
      <c r="BN117" s="98" t="s">
        <v>631</v>
      </c>
      <c r="BO117" s="35">
        <v>0</v>
      </c>
      <c r="BP117" s="36">
        <v>0</v>
      </c>
      <c r="BQ117" s="35">
        <v>0</v>
      </c>
      <c r="BR117" s="36">
        <v>0</v>
      </c>
      <c r="BS117" s="35">
        <v>0</v>
      </c>
      <c r="BT117" s="36">
        <v>0</v>
      </c>
      <c r="BU117" s="82">
        <v>0</v>
      </c>
      <c r="BV117">
        <v>0</v>
      </c>
      <c r="BW117">
        <v>51</v>
      </c>
      <c r="BX117" t="s">
        <v>623</v>
      </c>
      <c r="CK117" s="52" t="s">
        <v>630</v>
      </c>
      <c r="CM117" s="52" t="s">
        <v>143</v>
      </c>
      <c r="CN117">
        <v>12006842</v>
      </c>
    </row>
    <row r="118" spans="1:92" ht="15">
      <c r="A118" s="49" t="s">
        <v>183</v>
      </c>
      <c r="B118" s="49" t="s">
        <v>623</v>
      </c>
      <c r="C118" s="60" t="s">
        <v>2250</v>
      </c>
      <c r="D118" s="66">
        <v>10</v>
      </c>
      <c r="E118" s="99" t="s">
        <v>180</v>
      </c>
      <c r="F118" s="67">
        <v>9.846153846153847</v>
      </c>
      <c r="G118" s="60"/>
      <c r="H118" s="54"/>
      <c r="I118" s="68"/>
      <c r="J118" s="68"/>
      <c r="K118" s="30" t="s">
        <v>137</v>
      </c>
      <c r="L118" s="100">
        <v>118</v>
      </c>
      <c r="M118" s="100"/>
      <c r="N118" s="70"/>
      <c r="O118" t="s">
        <v>138</v>
      </c>
      <c r="P118" s="50">
        <v>45176.219375</v>
      </c>
      <c r="Q118" t="s">
        <v>632</v>
      </c>
      <c r="R118" s="85" t="str">
        <f>HYPERLINK("https://apnews.com/article/23a770d706f3d8a1d7b1a3e4fc8529e3")</f>
        <v>https://apnews.com/article/23a770d706f3d8a1d7b1a3e4fc8529e3</v>
      </c>
      <c r="S118" t="s">
        <v>625</v>
      </c>
      <c r="U118" s="50">
        <v>45176.219375</v>
      </c>
      <c r="V118" s="85" t="str">
        <f>HYPERLINK("https://twitter.com/jeremyhl/status/1699652692694442265")</f>
        <v>https://twitter.com/jeremyhl/status/1699652692694442265</v>
      </c>
      <c r="Y118" s="52" t="s">
        <v>633</v>
      </c>
      <c r="AA118" s="81">
        <v>121</v>
      </c>
      <c r="AB118" s="35"/>
      <c r="AC118" s="36"/>
      <c r="AD118" s="35"/>
      <c r="AE118" s="36"/>
      <c r="AF118" s="35"/>
      <c r="AG118" s="36"/>
      <c r="AH118" s="35">
        <v>11</v>
      </c>
      <c r="AI118" s="36">
        <v>68.75</v>
      </c>
      <c r="AJ118" s="35">
        <v>16</v>
      </c>
      <c r="AK118" s="82"/>
      <c r="AL118" s="85" t="str">
        <f t="shared" si="3"/>
        <v>https://pbs.twimg.com/profile_images/912667889395798022/pMoB2qc8_normal.jpg</v>
      </c>
      <c r="AN118">
        <v>0</v>
      </c>
      <c r="AQ118" t="s">
        <v>142</v>
      </c>
      <c r="AR118" t="b">
        <v>0</v>
      </c>
      <c r="AS118" s="52" t="s">
        <v>143</v>
      </c>
      <c r="AU118">
        <v>0</v>
      </c>
      <c r="AV118" s="52" t="s">
        <v>143</v>
      </c>
      <c r="AW118" s="52" t="s">
        <v>157</v>
      </c>
      <c r="AY118" s="52" t="s">
        <v>633</v>
      </c>
      <c r="BK118" s="125" t="str">
        <f>REPLACE(INDEX(GroupVertices[Group],MATCH(Edges[[#This Row],[Vertex 1]],GroupVertices[Vertex],0)),1,1,"")</f>
        <v>2</v>
      </c>
      <c r="BL118" s="125" t="str">
        <f>REPLACE(INDEX(GroupVertices[Group],MATCH(Edges[[#This Row],[Vertex 2]],GroupVertices[Vertex],0)),1,1,"")</f>
        <v>2</v>
      </c>
      <c r="BM118" s="77">
        <v>45176</v>
      </c>
      <c r="BN118" s="98" t="s">
        <v>634</v>
      </c>
      <c r="BO118" s="35">
        <v>0</v>
      </c>
      <c r="BP118" s="36">
        <v>0</v>
      </c>
      <c r="BQ118" s="35">
        <v>0</v>
      </c>
      <c r="BR118" s="36">
        <v>0</v>
      </c>
      <c r="BS118" s="35">
        <v>0</v>
      </c>
      <c r="BT118" s="36">
        <v>0</v>
      </c>
      <c r="BU118" s="82">
        <v>0</v>
      </c>
      <c r="BV118">
        <v>0</v>
      </c>
      <c r="BW118">
        <v>46</v>
      </c>
      <c r="BX118" t="s">
        <v>623</v>
      </c>
      <c r="CK118" s="52" t="s">
        <v>633</v>
      </c>
      <c r="CM118" s="52" t="s">
        <v>143</v>
      </c>
      <c r="CN118">
        <v>12006842</v>
      </c>
    </row>
    <row r="119" spans="1:92" ht="15">
      <c r="A119" s="49" t="s">
        <v>183</v>
      </c>
      <c r="B119" s="49" t="s">
        <v>623</v>
      </c>
      <c r="C119" s="60" t="s">
        <v>2250</v>
      </c>
      <c r="D119" s="66">
        <v>10</v>
      </c>
      <c r="E119" s="99" t="s">
        <v>180</v>
      </c>
      <c r="F119" s="67">
        <v>9.846153846153847</v>
      </c>
      <c r="G119" s="60"/>
      <c r="H119" s="54"/>
      <c r="I119" s="68"/>
      <c r="J119" s="68"/>
      <c r="K119" s="30" t="s">
        <v>137</v>
      </c>
      <c r="L119" s="100">
        <v>119</v>
      </c>
      <c r="M119" s="100"/>
      <c r="N119" s="70"/>
      <c r="O119" t="s">
        <v>138</v>
      </c>
      <c r="P119" s="50">
        <v>45178.52875</v>
      </c>
      <c r="Q119" t="s">
        <v>635</v>
      </c>
      <c r="R119" s="85" t="str">
        <f>HYPERLINK("https://apnews.com/article/7f4a503009dede0dec0208c08d6b100b")</f>
        <v>https://apnews.com/article/7f4a503009dede0dec0208c08d6b100b</v>
      </c>
      <c r="S119" t="s">
        <v>625</v>
      </c>
      <c r="T119" s="52" t="s">
        <v>636</v>
      </c>
      <c r="U119" s="50">
        <v>45178.52875</v>
      </c>
      <c r="V119" s="85" t="str">
        <f>HYPERLINK("https://twitter.com/jeremyhl/status/1700489580317749264")</f>
        <v>https://twitter.com/jeremyhl/status/1700489580317749264</v>
      </c>
      <c r="Y119" s="52" t="s">
        <v>637</v>
      </c>
      <c r="AA119" s="81">
        <v>121</v>
      </c>
      <c r="AB119" s="35"/>
      <c r="AC119" s="36"/>
      <c r="AD119" s="35"/>
      <c r="AE119" s="36"/>
      <c r="AF119" s="35"/>
      <c r="AG119" s="36"/>
      <c r="AH119" s="35">
        <v>23</v>
      </c>
      <c r="AI119" s="36">
        <v>71.875</v>
      </c>
      <c r="AJ119" s="35">
        <v>32</v>
      </c>
      <c r="AK119" s="82"/>
      <c r="AL119" s="85" t="str">
        <f t="shared" si="3"/>
        <v>https://pbs.twimg.com/profile_images/912667889395798022/pMoB2qc8_normal.jpg</v>
      </c>
      <c r="AN119">
        <v>0</v>
      </c>
      <c r="AQ119" t="s">
        <v>142</v>
      </c>
      <c r="AR119" t="b">
        <v>0</v>
      </c>
      <c r="AS119" s="52" t="s">
        <v>143</v>
      </c>
      <c r="AU119">
        <v>0</v>
      </c>
      <c r="AV119" s="52" t="s">
        <v>143</v>
      </c>
      <c r="AW119" s="52" t="s">
        <v>157</v>
      </c>
      <c r="AY119" s="52" t="s">
        <v>637</v>
      </c>
      <c r="BK119" s="125" t="str">
        <f>REPLACE(INDEX(GroupVertices[Group],MATCH(Edges[[#This Row],[Vertex 1]],GroupVertices[Vertex],0)),1,1,"")</f>
        <v>2</v>
      </c>
      <c r="BL119" s="125" t="str">
        <f>REPLACE(INDEX(GroupVertices[Group],MATCH(Edges[[#This Row],[Vertex 2]],GroupVertices[Vertex],0)),1,1,"")</f>
        <v>2</v>
      </c>
      <c r="BM119" s="77">
        <v>45178</v>
      </c>
      <c r="BN119" s="98" t="s">
        <v>638</v>
      </c>
      <c r="BO119" s="35">
        <v>0</v>
      </c>
      <c r="BP119" s="36">
        <v>0</v>
      </c>
      <c r="BQ119" s="35">
        <v>0</v>
      </c>
      <c r="BR119" s="36">
        <v>0</v>
      </c>
      <c r="BS119" s="35">
        <v>0</v>
      </c>
      <c r="BT119" s="36">
        <v>0</v>
      </c>
      <c r="BU119" s="82">
        <v>0</v>
      </c>
      <c r="BV119">
        <v>0</v>
      </c>
      <c r="BW119">
        <v>172</v>
      </c>
      <c r="BX119" t="s">
        <v>623</v>
      </c>
      <c r="CK119" s="52" t="s">
        <v>637</v>
      </c>
      <c r="CM119" s="52" t="s">
        <v>143</v>
      </c>
      <c r="CN119">
        <v>12006842</v>
      </c>
    </row>
    <row r="120" spans="1:92" ht="15">
      <c r="A120" s="49" t="s">
        <v>183</v>
      </c>
      <c r="B120" s="49" t="s">
        <v>623</v>
      </c>
      <c r="C120" s="60" t="s">
        <v>2250</v>
      </c>
      <c r="D120" s="66">
        <v>10</v>
      </c>
      <c r="E120" s="99" t="s">
        <v>180</v>
      </c>
      <c r="F120" s="67">
        <v>9.846153846153847</v>
      </c>
      <c r="G120" s="60"/>
      <c r="H120" s="54"/>
      <c r="I120" s="68"/>
      <c r="J120" s="68"/>
      <c r="K120" s="30" t="s">
        <v>137</v>
      </c>
      <c r="L120" s="100">
        <v>120</v>
      </c>
      <c r="M120" s="100"/>
      <c r="N120" s="70"/>
      <c r="O120" t="s">
        <v>138</v>
      </c>
      <c r="P120" s="50">
        <v>45180.54850694445</v>
      </c>
      <c r="Q120" t="s">
        <v>639</v>
      </c>
      <c r="R120" s="85" t="str">
        <f>HYPERLINK("https://apnews.com/article/962edb0f437fe93a28724a5339176daf")</f>
        <v>https://apnews.com/article/962edb0f437fe93a28724a5339176daf</v>
      </c>
      <c r="S120" t="s">
        <v>625</v>
      </c>
      <c r="T120" s="52" t="s">
        <v>640</v>
      </c>
      <c r="U120" s="50">
        <v>45180.54850694445</v>
      </c>
      <c r="V120" s="85" t="str">
        <f>HYPERLINK("https://twitter.com/jeremyhl/status/1701221517789384718")</f>
        <v>https://twitter.com/jeremyhl/status/1701221517789384718</v>
      </c>
      <c r="Y120" s="52" t="s">
        <v>641</v>
      </c>
      <c r="AA120" s="81">
        <v>121</v>
      </c>
      <c r="AB120" s="35"/>
      <c r="AC120" s="36"/>
      <c r="AD120" s="35"/>
      <c r="AE120" s="36"/>
      <c r="AF120" s="35"/>
      <c r="AG120" s="36"/>
      <c r="AH120" s="35">
        <v>14</v>
      </c>
      <c r="AI120" s="36">
        <v>46.666666666666664</v>
      </c>
      <c r="AJ120" s="35">
        <v>30</v>
      </c>
      <c r="AK120" s="82"/>
      <c r="AL120" s="85" t="str">
        <f t="shared" si="3"/>
        <v>https://pbs.twimg.com/profile_images/912667889395798022/pMoB2qc8_normal.jpg</v>
      </c>
      <c r="AN120">
        <v>0</v>
      </c>
      <c r="AQ120" t="s">
        <v>142</v>
      </c>
      <c r="AR120" t="b">
        <v>0</v>
      </c>
      <c r="AS120" s="52" t="s">
        <v>143</v>
      </c>
      <c r="AU120">
        <v>0</v>
      </c>
      <c r="AV120" s="52" t="s">
        <v>143</v>
      </c>
      <c r="AW120" s="52" t="s">
        <v>157</v>
      </c>
      <c r="AY120" s="52" t="s">
        <v>641</v>
      </c>
      <c r="BK120" s="125" t="str">
        <f>REPLACE(INDEX(GroupVertices[Group],MATCH(Edges[[#This Row],[Vertex 1]],GroupVertices[Vertex],0)),1,1,"")</f>
        <v>2</v>
      </c>
      <c r="BL120" s="125" t="str">
        <f>REPLACE(INDEX(GroupVertices[Group],MATCH(Edges[[#This Row],[Vertex 2]],GroupVertices[Vertex],0)),1,1,"")</f>
        <v>2</v>
      </c>
      <c r="BM120" s="77">
        <v>45180</v>
      </c>
      <c r="BN120" s="98" t="s">
        <v>642</v>
      </c>
      <c r="BO120" s="35">
        <v>0</v>
      </c>
      <c r="BP120" s="36">
        <v>0</v>
      </c>
      <c r="BQ120" s="35">
        <v>0</v>
      </c>
      <c r="BR120" s="36">
        <v>0</v>
      </c>
      <c r="BS120" s="35">
        <v>0</v>
      </c>
      <c r="BT120" s="36">
        <v>0</v>
      </c>
      <c r="BU120" s="82">
        <v>0</v>
      </c>
      <c r="BV120">
        <v>0</v>
      </c>
      <c r="BW120">
        <v>63</v>
      </c>
      <c r="BX120" t="s">
        <v>623</v>
      </c>
      <c r="CK120" s="52" t="s">
        <v>641</v>
      </c>
      <c r="CM120" s="52" t="s">
        <v>143</v>
      </c>
      <c r="CN120">
        <v>12006842</v>
      </c>
    </row>
    <row r="121" spans="1:92" ht="15">
      <c r="A121" s="49" t="s">
        <v>183</v>
      </c>
      <c r="B121" s="49" t="s">
        <v>623</v>
      </c>
      <c r="C121" s="60" t="s">
        <v>2250</v>
      </c>
      <c r="D121" s="66">
        <v>10</v>
      </c>
      <c r="E121" s="99" t="s">
        <v>180</v>
      </c>
      <c r="F121" s="67">
        <v>9.846153846153847</v>
      </c>
      <c r="G121" s="60"/>
      <c r="H121" s="54"/>
      <c r="I121" s="68"/>
      <c r="J121" s="68"/>
      <c r="K121" s="30" t="s">
        <v>137</v>
      </c>
      <c r="L121" s="100">
        <v>121</v>
      </c>
      <c r="M121" s="100"/>
      <c r="N121" s="70"/>
      <c r="O121" t="s">
        <v>138</v>
      </c>
      <c r="P121" s="50">
        <v>45179.52755787037</v>
      </c>
      <c r="Q121" t="s">
        <v>643</v>
      </c>
      <c r="R121" s="85" t="str">
        <f>HYPERLINK("https://apnews.com/article/f551fde98083d17a7e8d904f8be822c4")</f>
        <v>https://apnews.com/article/f551fde98083d17a7e8d904f8be822c4</v>
      </c>
      <c r="S121" t="s">
        <v>625</v>
      </c>
      <c r="T121" s="52" t="s">
        <v>644</v>
      </c>
      <c r="U121" s="50">
        <v>45179.52755787037</v>
      </c>
      <c r="V121" s="85" t="str">
        <f>HYPERLINK("https://twitter.com/jeremyhl/status/1700851536769716690")</f>
        <v>https://twitter.com/jeremyhl/status/1700851536769716690</v>
      </c>
      <c r="Y121" s="52" t="s">
        <v>645</v>
      </c>
      <c r="AA121" s="81">
        <v>121</v>
      </c>
      <c r="AB121" s="35"/>
      <c r="AC121" s="36"/>
      <c r="AD121" s="35"/>
      <c r="AE121" s="36"/>
      <c r="AF121" s="35"/>
      <c r="AG121" s="36"/>
      <c r="AH121" s="35">
        <v>29</v>
      </c>
      <c r="AI121" s="36">
        <v>65.9090909090909</v>
      </c>
      <c r="AJ121" s="35">
        <v>44</v>
      </c>
      <c r="AK121" s="82"/>
      <c r="AL121" s="85" t="str">
        <f t="shared" si="3"/>
        <v>https://pbs.twimg.com/profile_images/912667889395798022/pMoB2qc8_normal.jpg</v>
      </c>
      <c r="AN121">
        <v>2</v>
      </c>
      <c r="AQ121" t="s">
        <v>142</v>
      </c>
      <c r="AR121" t="b">
        <v>0</v>
      </c>
      <c r="AS121" s="52" t="s">
        <v>143</v>
      </c>
      <c r="AU121">
        <v>0</v>
      </c>
      <c r="AV121" s="52" t="s">
        <v>143</v>
      </c>
      <c r="AW121" s="52" t="s">
        <v>157</v>
      </c>
      <c r="AY121" s="52" t="s">
        <v>645</v>
      </c>
      <c r="BK121" s="125" t="str">
        <f>REPLACE(INDEX(GroupVertices[Group],MATCH(Edges[[#This Row],[Vertex 1]],GroupVertices[Vertex],0)),1,1,"")</f>
        <v>2</v>
      </c>
      <c r="BL121" s="125" t="str">
        <f>REPLACE(INDEX(GroupVertices[Group],MATCH(Edges[[#This Row],[Vertex 2]],GroupVertices[Vertex],0)),1,1,"")</f>
        <v>2</v>
      </c>
      <c r="BM121" s="77">
        <v>45179</v>
      </c>
      <c r="BN121" s="98" t="s">
        <v>646</v>
      </c>
      <c r="BO121" s="35">
        <v>0</v>
      </c>
      <c r="BP121" s="36">
        <v>0</v>
      </c>
      <c r="BQ121" s="35">
        <v>0</v>
      </c>
      <c r="BR121" s="36">
        <v>0</v>
      </c>
      <c r="BS121" s="35">
        <v>0</v>
      </c>
      <c r="BT121" s="36">
        <v>0</v>
      </c>
      <c r="BU121" s="82">
        <v>0</v>
      </c>
      <c r="BV121">
        <v>0</v>
      </c>
      <c r="BW121">
        <v>74</v>
      </c>
      <c r="BX121" t="s">
        <v>623</v>
      </c>
      <c r="CK121" s="52" t="s">
        <v>645</v>
      </c>
      <c r="CM121" s="52" t="s">
        <v>143</v>
      </c>
      <c r="CN121">
        <v>12006842</v>
      </c>
    </row>
    <row r="122" spans="1:92" ht="15">
      <c r="A122" s="49" t="s">
        <v>183</v>
      </c>
      <c r="B122" s="49" t="s">
        <v>623</v>
      </c>
      <c r="C122" s="60" t="s">
        <v>2250</v>
      </c>
      <c r="D122" s="66">
        <v>10</v>
      </c>
      <c r="E122" s="99" t="s">
        <v>180</v>
      </c>
      <c r="F122" s="67">
        <v>9.846153846153847</v>
      </c>
      <c r="G122" s="60"/>
      <c r="H122" s="54"/>
      <c r="I122" s="68"/>
      <c r="J122" s="68"/>
      <c r="K122" s="30" t="s">
        <v>137</v>
      </c>
      <c r="L122" s="100">
        <v>122</v>
      </c>
      <c r="M122" s="100"/>
      <c r="N122" s="70"/>
      <c r="O122" t="s">
        <v>138</v>
      </c>
      <c r="P122" s="50">
        <v>45177.07571759259</v>
      </c>
      <c r="Q122" t="s">
        <v>647</v>
      </c>
      <c r="R122" s="85" t="str">
        <f>HYPERLINK("https://apnews.com/article/fd7a10eda44d0e3ddde582d4c7053eb6")</f>
        <v>https://apnews.com/article/fd7a10eda44d0e3ddde582d4c7053eb6</v>
      </c>
      <c r="S122" t="s">
        <v>625</v>
      </c>
      <c r="U122" s="50">
        <v>45177.07571759259</v>
      </c>
      <c r="V122" s="85" t="str">
        <f>HYPERLINK("https://twitter.com/jeremyhl/status/1699963020158369823")</f>
        <v>https://twitter.com/jeremyhl/status/1699963020158369823</v>
      </c>
      <c r="Y122" s="52" t="s">
        <v>648</v>
      </c>
      <c r="AA122" s="81">
        <v>121</v>
      </c>
      <c r="AB122" s="35"/>
      <c r="AC122" s="36"/>
      <c r="AD122" s="35"/>
      <c r="AE122" s="36"/>
      <c r="AF122" s="35"/>
      <c r="AG122" s="36"/>
      <c r="AH122" s="35">
        <v>23</v>
      </c>
      <c r="AI122" s="36">
        <v>71.875</v>
      </c>
      <c r="AJ122" s="35">
        <v>32</v>
      </c>
      <c r="AK122" s="82"/>
      <c r="AL122" s="85" t="str">
        <f t="shared" si="3"/>
        <v>https://pbs.twimg.com/profile_images/912667889395798022/pMoB2qc8_normal.jpg</v>
      </c>
      <c r="AN122">
        <v>0</v>
      </c>
      <c r="AQ122" t="s">
        <v>142</v>
      </c>
      <c r="AR122" t="b">
        <v>0</v>
      </c>
      <c r="AS122" s="52" t="s">
        <v>143</v>
      </c>
      <c r="AU122">
        <v>0</v>
      </c>
      <c r="AV122" s="52" t="s">
        <v>143</v>
      </c>
      <c r="AW122" s="52" t="s">
        <v>157</v>
      </c>
      <c r="AY122" s="52" t="s">
        <v>648</v>
      </c>
      <c r="BK122" s="125" t="str">
        <f>REPLACE(INDEX(GroupVertices[Group],MATCH(Edges[[#This Row],[Vertex 1]],GroupVertices[Vertex],0)),1,1,"")</f>
        <v>2</v>
      </c>
      <c r="BL122" s="125" t="str">
        <f>REPLACE(INDEX(GroupVertices[Group],MATCH(Edges[[#This Row],[Vertex 2]],GroupVertices[Vertex],0)),1,1,"")</f>
        <v>2</v>
      </c>
      <c r="BM122" s="77">
        <v>45177</v>
      </c>
      <c r="BN122" s="98" t="s">
        <v>649</v>
      </c>
      <c r="BO122" s="35">
        <v>0</v>
      </c>
      <c r="BP122" s="36">
        <v>0</v>
      </c>
      <c r="BQ122" s="35">
        <v>0</v>
      </c>
      <c r="BR122" s="36">
        <v>0</v>
      </c>
      <c r="BS122" s="35">
        <v>0</v>
      </c>
      <c r="BT122" s="36">
        <v>0</v>
      </c>
      <c r="BU122" s="82">
        <v>0</v>
      </c>
      <c r="BV122">
        <v>0</v>
      </c>
      <c r="BW122">
        <v>87</v>
      </c>
      <c r="BX122" t="s">
        <v>623</v>
      </c>
      <c r="CK122" s="52" t="s">
        <v>648</v>
      </c>
      <c r="CM122" s="52" t="s">
        <v>143</v>
      </c>
      <c r="CN122">
        <v>12006842</v>
      </c>
    </row>
    <row r="123" spans="1:92" ht="15">
      <c r="A123" s="49" t="s">
        <v>183</v>
      </c>
      <c r="B123" s="49" t="s">
        <v>623</v>
      </c>
      <c r="C123" s="60" t="s">
        <v>2250</v>
      </c>
      <c r="D123" s="66">
        <v>10</v>
      </c>
      <c r="E123" s="99" t="s">
        <v>180</v>
      </c>
      <c r="F123" s="67">
        <v>9.846153846153847</v>
      </c>
      <c r="G123" s="60"/>
      <c r="H123" s="54"/>
      <c r="I123" s="68"/>
      <c r="J123" s="68"/>
      <c r="K123" s="30" t="s">
        <v>137</v>
      </c>
      <c r="L123" s="100">
        <v>123</v>
      </c>
      <c r="M123" s="100"/>
      <c r="N123" s="70"/>
      <c r="O123" t="s">
        <v>138</v>
      </c>
      <c r="P123" s="50">
        <v>45182.55731481482</v>
      </c>
      <c r="Q123" t="s">
        <v>650</v>
      </c>
      <c r="R123" s="85" t="str">
        <f>HYPERLINK("https://apnews.com/article/b51b82309100f959c83a2a19536dc934")</f>
        <v>https://apnews.com/article/b51b82309100f959c83a2a19536dc934</v>
      </c>
      <c r="S123" t="s">
        <v>625</v>
      </c>
      <c r="T123" s="52" t="s">
        <v>651</v>
      </c>
      <c r="U123" s="50">
        <v>45182.55731481482</v>
      </c>
      <c r="V123" s="85" t="str">
        <f>HYPERLINK("https://twitter.com/jeremyhl/status/1701949485838897595")</f>
        <v>https://twitter.com/jeremyhl/status/1701949485838897595</v>
      </c>
      <c r="Y123" s="52" t="s">
        <v>652</v>
      </c>
      <c r="AA123" s="81">
        <v>121</v>
      </c>
      <c r="AB123" s="35"/>
      <c r="AC123" s="36"/>
      <c r="AD123" s="35"/>
      <c r="AE123" s="36"/>
      <c r="AF123" s="35"/>
      <c r="AG123" s="36"/>
      <c r="AH123" s="35">
        <v>20</v>
      </c>
      <c r="AI123" s="36">
        <v>62.5</v>
      </c>
      <c r="AJ123" s="35">
        <v>32</v>
      </c>
      <c r="AK123" s="82"/>
      <c r="AL123" s="85" t="str">
        <f t="shared" si="3"/>
        <v>https://pbs.twimg.com/profile_images/912667889395798022/pMoB2qc8_normal.jpg</v>
      </c>
      <c r="AN123">
        <v>0</v>
      </c>
      <c r="AQ123" t="s">
        <v>142</v>
      </c>
      <c r="AR123" t="b">
        <v>0</v>
      </c>
      <c r="AS123" s="52" t="s">
        <v>143</v>
      </c>
      <c r="AU123">
        <v>0</v>
      </c>
      <c r="AV123" s="52" t="s">
        <v>143</v>
      </c>
      <c r="AW123" s="52" t="s">
        <v>157</v>
      </c>
      <c r="AY123" s="52" t="s">
        <v>652</v>
      </c>
      <c r="BK123" s="125" t="str">
        <f>REPLACE(INDEX(GroupVertices[Group],MATCH(Edges[[#This Row],[Vertex 1]],GroupVertices[Vertex],0)),1,1,"")</f>
        <v>2</v>
      </c>
      <c r="BL123" s="125" t="str">
        <f>REPLACE(INDEX(GroupVertices[Group],MATCH(Edges[[#This Row],[Vertex 2]],GroupVertices[Vertex],0)),1,1,"")</f>
        <v>2</v>
      </c>
      <c r="BM123" s="77">
        <v>45182</v>
      </c>
      <c r="BN123" s="98" t="s">
        <v>653</v>
      </c>
      <c r="BO123" s="35">
        <v>0</v>
      </c>
      <c r="BP123" s="36">
        <v>0</v>
      </c>
      <c r="BQ123" s="35">
        <v>0</v>
      </c>
      <c r="BR123" s="36">
        <v>0</v>
      </c>
      <c r="BS123" s="35">
        <v>0</v>
      </c>
      <c r="BT123" s="36">
        <v>0</v>
      </c>
      <c r="BU123" s="82">
        <v>0</v>
      </c>
      <c r="BV123">
        <v>0</v>
      </c>
      <c r="BW123">
        <v>55</v>
      </c>
      <c r="BX123" t="s">
        <v>623</v>
      </c>
      <c r="CK123" s="52" t="s">
        <v>652</v>
      </c>
      <c r="CM123" s="52" t="s">
        <v>143</v>
      </c>
      <c r="CN123">
        <v>12006842</v>
      </c>
    </row>
    <row r="124" spans="1:92" ht="15">
      <c r="A124" s="49" t="s">
        <v>183</v>
      </c>
      <c r="B124" s="49" t="s">
        <v>623</v>
      </c>
      <c r="C124" s="60" t="s">
        <v>2250</v>
      </c>
      <c r="D124" s="66">
        <v>10</v>
      </c>
      <c r="E124" s="99" t="s">
        <v>180</v>
      </c>
      <c r="F124" s="67">
        <v>9.846153846153847</v>
      </c>
      <c r="G124" s="60"/>
      <c r="H124" s="54"/>
      <c r="I124" s="68"/>
      <c r="J124" s="68"/>
      <c r="K124" s="30" t="s">
        <v>137</v>
      </c>
      <c r="L124" s="100">
        <v>124</v>
      </c>
      <c r="M124" s="100"/>
      <c r="N124" s="70"/>
      <c r="O124" t="s">
        <v>138</v>
      </c>
      <c r="P124" s="50">
        <v>45177.54353009259</v>
      </c>
      <c r="Q124" t="s">
        <v>654</v>
      </c>
      <c r="R124" s="85" t="str">
        <f>HYPERLINK("https://apnews.com/article/7382397136a285fd780f25f2fed16b9d")</f>
        <v>https://apnews.com/article/7382397136a285fd780f25f2fed16b9d</v>
      </c>
      <c r="S124" t="s">
        <v>625</v>
      </c>
      <c r="T124" s="52" t="s">
        <v>655</v>
      </c>
      <c r="U124" s="50">
        <v>45177.54353009259</v>
      </c>
      <c r="V124" s="85" t="str">
        <f>HYPERLINK("https://twitter.com/jeremyhl/status/1700132550557958526")</f>
        <v>https://twitter.com/jeremyhl/status/1700132550557958526</v>
      </c>
      <c r="Y124" s="52" t="s">
        <v>656</v>
      </c>
      <c r="AA124" s="81">
        <v>121</v>
      </c>
      <c r="AB124" s="35"/>
      <c r="AC124" s="36"/>
      <c r="AD124" s="35"/>
      <c r="AE124" s="36"/>
      <c r="AF124" s="35"/>
      <c r="AG124" s="36"/>
      <c r="AH124" s="35">
        <v>24</v>
      </c>
      <c r="AI124" s="36">
        <v>57.142857142857146</v>
      </c>
      <c r="AJ124" s="35">
        <v>42</v>
      </c>
      <c r="AK124" s="82"/>
      <c r="AL124" s="85" t="str">
        <f t="shared" si="3"/>
        <v>https://pbs.twimg.com/profile_images/912667889395798022/pMoB2qc8_normal.jpg</v>
      </c>
      <c r="AN124">
        <v>0</v>
      </c>
      <c r="AQ124" t="s">
        <v>142</v>
      </c>
      <c r="AR124" t="b">
        <v>0</v>
      </c>
      <c r="AS124" s="52" t="s">
        <v>143</v>
      </c>
      <c r="AU124">
        <v>1</v>
      </c>
      <c r="AV124" s="52" t="s">
        <v>143</v>
      </c>
      <c r="AW124" s="52" t="s">
        <v>157</v>
      </c>
      <c r="AY124" s="52" t="s">
        <v>656</v>
      </c>
      <c r="BK124" s="125" t="str">
        <f>REPLACE(INDEX(GroupVertices[Group],MATCH(Edges[[#This Row],[Vertex 1]],GroupVertices[Vertex],0)),1,1,"")</f>
        <v>2</v>
      </c>
      <c r="BL124" s="125" t="str">
        <f>REPLACE(INDEX(GroupVertices[Group],MATCH(Edges[[#This Row],[Vertex 2]],GroupVertices[Vertex],0)),1,1,"")</f>
        <v>2</v>
      </c>
      <c r="BM124" s="77">
        <v>45177</v>
      </c>
      <c r="BN124" s="98" t="s">
        <v>657</v>
      </c>
      <c r="BO124" s="35">
        <v>0</v>
      </c>
      <c r="BP124" s="36">
        <v>0</v>
      </c>
      <c r="BQ124" s="35">
        <v>0</v>
      </c>
      <c r="BR124" s="36">
        <v>0</v>
      </c>
      <c r="BS124" s="35">
        <v>0</v>
      </c>
      <c r="BT124" s="36">
        <v>0</v>
      </c>
      <c r="BU124" s="82">
        <v>0</v>
      </c>
      <c r="BV124">
        <v>0</v>
      </c>
      <c r="BW124">
        <v>45</v>
      </c>
      <c r="BX124" t="s">
        <v>623</v>
      </c>
      <c r="CK124" s="52" t="s">
        <v>656</v>
      </c>
      <c r="CM124" s="52" t="s">
        <v>143</v>
      </c>
      <c r="CN124">
        <v>12006842</v>
      </c>
    </row>
    <row r="125" spans="1:92" ht="15">
      <c r="A125" s="49" t="s">
        <v>183</v>
      </c>
      <c r="B125" s="49" t="s">
        <v>623</v>
      </c>
      <c r="C125" s="60" t="s">
        <v>2250</v>
      </c>
      <c r="D125" s="66">
        <v>10</v>
      </c>
      <c r="E125" s="99" t="s">
        <v>180</v>
      </c>
      <c r="F125" s="67">
        <v>9.846153846153847</v>
      </c>
      <c r="G125" s="60"/>
      <c r="H125" s="54"/>
      <c r="I125" s="68"/>
      <c r="J125" s="68"/>
      <c r="K125" s="30" t="s">
        <v>137</v>
      </c>
      <c r="L125" s="100">
        <v>125</v>
      </c>
      <c r="M125" s="100"/>
      <c r="N125" s="70"/>
      <c r="O125" t="s">
        <v>138</v>
      </c>
      <c r="P125" s="50">
        <v>45177.54177083333</v>
      </c>
      <c r="Q125" t="s">
        <v>658</v>
      </c>
      <c r="R125" s="85" t="str">
        <f>HYPERLINK("https://apnews.com/article/792cbae3e651d31028ae2c64f65f112c")</f>
        <v>https://apnews.com/article/792cbae3e651d31028ae2c64f65f112c</v>
      </c>
      <c r="S125" t="s">
        <v>625</v>
      </c>
      <c r="T125" s="52" t="s">
        <v>659</v>
      </c>
      <c r="U125" s="50">
        <v>45177.54177083333</v>
      </c>
      <c r="V125" s="85" t="str">
        <f>HYPERLINK("https://twitter.com/jeremyhl/status/1700131911056699586")</f>
        <v>https://twitter.com/jeremyhl/status/1700131911056699586</v>
      </c>
      <c r="Y125" s="52" t="s">
        <v>660</v>
      </c>
      <c r="AA125" s="81">
        <v>121</v>
      </c>
      <c r="AB125" s="35"/>
      <c r="AC125" s="36"/>
      <c r="AD125" s="35"/>
      <c r="AE125" s="36"/>
      <c r="AF125" s="35"/>
      <c r="AG125" s="36"/>
      <c r="AH125" s="35">
        <v>24</v>
      </c>
      <c r="AI125" s="36">
        <v>60</v>
      </c>
      <c r="AJ125" s="35">
        <v>40</v>
      </c>
      <c r="AK125" s="82"/>
      <c r="AL125" s="85" t="str">
        <f t="shared" si="3"/>
        <v>https://pbs.twimg.com/profile_images/912667889395798022/pMoB2qc8_normal.jpg</v>
      </c>
      <c r="AN125">
        <v>0</v>
      </c>
      <c r="AQ125" t="s">
        <v>142</v>
      </c>
      <c r="AR125" t="b">
        <v>0</v>
      </c>
      <c r="AS125" s="52" t="s">
        <v>143</v>
      </c>
      <c r="AU125">
        <v>1</v>
      </c>
      <c r="AV125" s="52" t="s">
        <v>143</v>
      </c>
      <c r="AW125" s="52" t="s">
        <v>157</v>
      </c>
      <c r="AY125" s="52" t="s">
        <v>660</v>
      </c>
      <c r="BK125" s="125" t="str">
        <f>REPLACE(INDEX(GroupVertices[Group],MATCH(Edges[[#This Row],[Vertex 1]],GroupVertices[Vertex],0)),1,1,"")</f>
        <v>2</v>
      </c>
      <c r="BL125" s="125" t="str">
        <f>REPLACE(INDEX(GroupVertices[Group],MATCH(Edges[[#This Row],[Vertex 2]],GroupVertices[Vertex],0)),1,1,"")</f>
        <v>2</v>
      </c>
      <c r="BM125" s="77">
        <v>45177</v>
      </c>
      <c r="BN125" s="98" t="s">
        <v>661</v>
      </c>
      <c r="BO125" s="35">
        <v>0</v>
      </c>
      <c r="BP125" s="36">
        <v>0</v>
      </c>
      <c r="BQ125" s="35">
        <v>0</v>
      </c>
      <c r="BR125" s="36">
        <v>0</v>
      </c>
      <c r="BS125" s="35">
        <v>0</v>
      </c>
      <c r="BT125" s="36">
        <v>0</v>
      </c>
      <c r="BU125" s="82">
        <v>0</v>
      </c>
      <c r="BV125">
        <v>0</v>
      </c>
      <c r="BW125">
        <v>43</v>
      </c>
      <c r="BX125" t="s">
        <v>623</v>
      </c>
      <c r="CK125" s="52" t="s">
        <v>660</v>
      </c>
      <c r="CM125" s="52" t="s">
        <v>143</v>
      </c>
      <c r="CN125">
        <v>12006842</v>
      </c>
    </row>
    <row r="126" spans="1:92" ht="15">
      <c r="A126" s="49" t="s">
        <v>183</v>
      </c>
      <c r="B126" s="49" t="s">
        <v>623</v>
      </c>
      <c r="C126" s="60" t="s">
        <v>2250</v>
      </c>
      <c r="D126" s="66">
        <v>10</v>
      </c>
      <c r="E126" s="99" t="s">
        <v>180</v>
      </c>
      <c r="F126" s="67">
        <v>9.846153846153847</v>
      </c>
      <c r="G126" s="60"/>
      <c r="H126" s="54"/>
      <c r="I126" s="68"/>
      <c r="J126" s="68"/>
      <c r="K126" s="30" t="s">
        <v>137</v>
      </c>
      <c r="L126" s="100">
        <v>126</v>
      </c>
      <c r="M126" s="100"/>
      <c r="N126" s="70"/>
      <c r="O126" t="s">
        <v>138</v>
      </c>
      <c r="P126" s="50">
        <v>45178.5303587963</v>
      </c>
      <c r="Q126" t="s">
        <v>662</v>
      </c>
      <c r="R126" s="85" t="str">
        <f>HYPERLINK("https://apnews.com/article/6322aae981bdc5c9009babde4b31ab60")</f>
        <v>https://apnews.com/article/6322aae981bdc5c9009babde4b31ab60</v>
      </c>
      <c r="S126" t="s">
        <v>625</v>
      </c>
      <c r="T126" s="52" t="s">
        <v>613</v>
      </c>
      <c r="U126" s="50">
        <v>45178.5303587963</v>
      </c>
      <c r="V126" s="85" t="str">
        <f>HYPERLINK("https://twitter.com/jeremyhl/status/1700490163137233267")</f>
        <v>https://twitter.com/jeremyhl/status/1700490163137233267</v>
      </c>
      <c r="Y126" s="52" t="s">
        <v>663</v>
      </c>
      <c r="AA126" s="81">
        <v>121</v>
      </c>
      <c r="AB126" s="35"/>
      <c r="AC126" s="36"/>
      <c r="AD126" s="35"/>
      <c r="AE126" s="36"/>
      <c r="AF126" s="35"/>
      <c r="AG126" s="36"/>
      <c r="AH126" s="35">
        <v>27</v>
      </c>
      <c r="AI126" s="36">
        <v>81.81818181818181</v>
      </c>
      <c r="AJ126" s="35">
        <v>33</v>
      </c>
      <c r="AK126" s="82"/>
      <c r="AL126" s="85" t="str">
        <f t="shared" si="3"/>
        <v>https://pbs.twimg.com/profile_images/912667889395798022/pMoB2qc8_normal.jpg</v>
      </c>
      <c r="AN126">
        <v>1</v>
      </c>
      <c r="AQ126" t="s">
        <v>142</v>
      </c>
      <c r="AR126" t="b">
        <v>0</v>
      </c>
      <c r="AS126" s="52" t="s">
        <v>143</v>
      </c>
      <c r="AU126">
        <v>0</v>
      </c>
      <c r="AV126" s="52" t="s">
        <v>143</v>
      </c>
      <c r="AW126" s="52" t="s">
        <v>157</v>
      </c>
      <c r="AY126" s="52" t="s">
        <v>663</v>
      </c>
      <c r="BK126" s="125" t="str">
        <f>REPLACE(INDEX(GroupVertices[Group],MATCH(Edges[[#This Row],[Vertex 1]],GroupVertices[Vertex],0)),1,1,"")</f>
        <v>2</v>
      </c>
      <c r="BL126" s="125" t="str">
        <f>REPLACE(INDEX(GroupVertices[Group],MATCH(Edges[[#This Row],[Vertex 2]],GroupVertices[Vertex],0)),1,1,"")</f>
        <v>2</v>
      </c>
      <c r="BM126" s="77">
        <v>45178</v>
      </c>
      <c r="BN126" s="98" t="s">
        <v>664</v>
      </c>
      <c r="BO126" s="35">
        <v>0</v>
      </c>
      <c r="BP126" s="36">
        <v>0</v>
      </c>
      <c r="BQ126" s="35">
        <v>0</v>
      </c>
      <c r="BR126" s="36">
        <v>0</v>
      </c>
      <c r="BS126" s="35">
        <v>0</v>
      </c>
      <c r="BT126" s="36">
        <v>0</v>
      </c>
      <c r="BU126" s="82">
        <v>0</v>
      </c>
      <c r="BV126">
        <v>0</v>
      </c>
      <c r="BW126">
        <v>52</v>
      </c>
      <c r="BX126" t="s">
        <v>623</v>
      </c>
      <c r="CK126" s="52" t="s">
        <v>663</v>
      </c>
      <c r="CM126" s="52" t="s">
        <v>143</v>
      </c>
      <c r="CN126">
        <v>12006842</v>
      </c>
    </row>
    <row r="127" spans="1:92" ht="15">
      <c r="A127" s="49" t="s">
        <v>183</v>
      </c>
      <c r="B127" s="49" t="s">
        <v>183</v>
      </c>
      <c r="C127" s="60" t="s">
        <v>135</v>
      </c>
      <c r="D127" s="66">
        <v>6.875</v>
      </c>
      <c r="E127" s="99" t="s">
        <v>180</v>
      </c>
      <c r="F127" s="67">
        <v>15.846153846153847</v>
      </c>
      <c r="G127" s="60"/>
      <c r="H127" s="54"/>
      <c r="I127" s="68"/>
      <c r="J127" s="68"/>
      <c r="K127" s="30" t="s">
        <v>137</v>
      </c>
      <c r="L127" s="100">
        <v>127</v>
      </c>
      <c r="M127" s="100"/>
      <c r="N127" s="70"/>
      <c r="O127" t="s">
        <v>21</v>
      </c>
      <c r="P127" s="50">
        <v>45182.51373842593</v>
      </c>
      <c r="Q127" t="s">
        <v>665</v>
      </c>
      <c r="R127" s="85" t="str">
        <f>HYPERLINK("https://nebraskaexaminer.com/2023/09/13/it-ended-up-being-racist-teacher-describes-resignation-from-crete-public-schools/")</f>
        <v>https://nebraskaexaminer.com/2023/09/13/it-ended-up-being-racist-teacher-describes-resignation-from-crete-public-schools/</v>
      </c>
      <c r="S127" t="s">
        <v>666</v>
      </c>
      <c r="U127" s="50">
        <v>45182.51373842593</v>
      </c>
      <c r="V127" s="85" t="str">
        <f>HYPERLINK("https://twitter.com/jeremyhl/status/1701933692657061980")</f>
        <v>https://twitter.com/jeremyhl/status/1701933692657061980</v>
      </c>
      <c r="Y127" s="52" t="s">
        <v>667</v>
      </c>
      <c r="AA127" s="81">
        <v>4</v>
      </c>
      <c r="AB127" s="35"/>
      <c r="AC127" s="36"/>
      <c r="AD127" s="35"/>
      <c r="AE127" s="36"/>
      <c r="AF127" s="35"/>
      <c r="AG127" s="36"/>
      <c r="AH127" s="35">
        <v>17</v>
      </c>
      <c r="AI127" s="36">
        <v>60.714285714285715</v>
      </c>
      <c r="AJ127" s="35">
        <v>28</v>
      </c>
      <c r="AK127" s="82"/>
      <c r="AL127" s="85" t="str">
        <f t="shared" si="3"/>
        <v>https://pbs.twimg.com/profile_images/912667889395798022/pMoB2qc8_normal.jpg</v>
      </c>
      <c r="AN127">
        <v>0</v>
      </c>
      <c r="AQ127" t="s">
        <v>142</v>
      </c>
      <c r="AR127" t="b">
        <v>0</v>
      </c>
      <c r="AS127" s="52" t="s">
        <v>143</v>
      </c>
      <c r="AU127">
        <v>1</v>
      </c>
      <c r="AV127" s="52" t="s">
        <v>143</v>
      </c>
      <c r="AW127" s="52" t="s">
        <v>157</v>
      </c>
      <c r="AY127" s="52" t="s">
        <v>667</v>
      </c>
      <c r="BK127" s="125" t="str">
        <f>REPLACE(INDEX(GroupVertices[Group],MATCH(Edges[[#This Row],[Vertex 1]],GroupVertices[Vertex],0)),1,1,"")</f>
        <v>2</v>
      </c>
      <c r="BL127" s="125" t="str">
        <f>REPLACE(INDEX(GroupVertices[Group],MATCH(Edges[[#This Row],[Vertex 2]],GroupVertices[Vertex],0)),1,1,"")</f>
        <v>2</v>
      </c>
      <c r="BM127" s="77">
        <v>45182</v>
      </c>
      <c r="BN127" s="98" t="s">
        <v>668</v>
      </c>
      <c r="BO127" s="35">
        <v>0</v>
      </c>
      <c r="BP127" s="36">
        <v>0</v>
      </c>
      <c r="BQ127" s="35">
        <v>0</v>
      </c>
      <c r="BR127" s="36">
        <v>0</v>
      </c>
      <c r="BS127" s="35">
        <v>0</v>
      </c>
      <c r="BT127" s="36">
        <v>0</v>
      </c>
      <c r="BU127" s="82">
        <v>0</v>
      </c>
      <c r="BV127">
        <v>0</v>
      </c>
      <c r="BW127">
        <v>53</v>
      </c>
      <c r="CK127" s="52" t="s">
        <v>667</v>
      </c>
      <c r="CM127" s="52" t="s">
        <v>143</v>
      </c>
      <c r="CN127">
        <v>12006842</v>
      </c>
    </row>
    <row r="128" spans="1:92" ht="15">
      <c r="A128" s="49" t="s">
        <v>183</v>
      </c>
      <c r="B128" s="49" t="s">
        <v>183</v>
      </c>
      <c r="C128" s="60" t="s">
        <v>135</v>
      </c>
      <c r="D128" s="66">
        <v>6.875</v>
      </c>
      <c r="E128" s="99" t="s">
        <v>180</v>
      </c>
      <c r="F128" s="67">
        <v>15.846153846153847</v>
      </c>
      <c r="G128" s="60"/>
      <c r="H128" s="54"/>
      <c r="I128" s="68"/>
      <c r="J128" s="68"/>
      <c r="K128" s="30" t="s">
        <v>137</v>
      </c>
      <c r="L128" s="100">
        <v>128</v>
      </c>
      <c r="M128" s="100"/>
      <c r="N128" s="70"/>
      <c r="O128" t="s">
        <v>21</v>
      </c>
      <c r="P128" s="50">
        <v>45181.062893518516</v>
      </c>
      <c r="Q128" t="s">
        <v>669</v>
      </c>
      <c r="R128" s="85" t="str">
        <f>HYPERLINK("https://www.linkedin.com/pulse/beth-trejo-social-media-search-jeremy-harris-lipschultz")</f>
        <v>https://www.linkedin.com/pulse/beth-trejo-social-media-search-jeremy-harris-lipschultz</v>
      </c>
      <c r="S128" t="s">
        <v>670</v>
      </c>
      <c r="T128" s="52" t="s">
        <v>613</v>
      </c>
      <c r="U128" s="50">
        <v>45181.062893518516</v>
      </c>
      <c r="V128" s="85" t="str">
        <f>HYPERLINK("https://twitter.com/jeremyhl/status/1701407923035947298")</f>
        <v>https://twitter.com/jeremyhl/status/1701407923035947298</v>
      </c>
      <c r="Y128" s="52" t="s">
        <v>671</v>
      </c>
      <c r="AA128" s="81">
        <v>4</v>
      </c>
      <c r="AB128" s="35"/>
      <c r="AC128" s="36"/>
      <c r="AD128" s="35"/>
      <c r="AE128" s="36"/>
      <c r="AF128" s="35"/>
      <c r="AG128" s="36"/>
      <c r="AH128" s="35">
        <v>7</v>
      </c>
      <c r="AI128" s="36">
        <v>87.5</v>
      </c>
      <c r="AJ128" s="35">
        <v>8</v>
      </c>
      <c r="AK128" s="82" t="s">
        <v>672</v>
      </c>
      <c r="AL128" s="85" t="str">
        <f>HYPERLINK("https://pbs.twimg.com/media/F5ydfMwXYAAjcbv.jpg")</f>
        <v>https://pbs.twimg.com/media/F5ydfMwXYAAjcbv.jpg</v>
      </c>
      <c r="AN128">
        <v>0</v>
      </c>
      <c r="AQ128" t="s">
        <v>142</v>
      </c>
      <c r="AR128" t="b">
        <v>0</v>
      </c>
      <c r="AS128" s="52" t="s">
        <v>143</v>
      </c>
      <c r="AU128">
        <v>0</v>
      </c>
      <c r="AV128" s="52" t="s">
        <v>143</v>
      </c>
      <c r="AW128" s="52" t="s">
        <v>157</v>
      </c>
      <c r="AY128" s="52" t="s">
        <v>671</v>
      </c>
      <c r="BK128" s="125" t="str">
        <f>REPLACE(INDEX(GroupVertices[Group],MATCH(Edges[[#This Row],[Vertex 1]],GroupVertices[Vertex],0)),1,1,"")</f>
        <v>2</v>
      </c>
      <c r="BL128" s="125" t="str">
        <f>REPLACE(INDEX(GroupVertices[Group],MATCH(Edges[[#This Row],[Vertex 2]],GroupVertices[Vertex],0)),1,1,"")</f>
        <v>2</v>
      </c>
      <c r="BM128" s="77">
        <v>45181</v>
      </c>
      <c r="BN128" s="98" t="s">
        <v>673</v>
      </c>
      <c r="BO128" s="35">
        <v>0</v>
      </c>
      <c r="BP128" s="36">
        <v>0</v>
      </c>
      <c r="BQ128" s="35">
        <v>0</v>
      </c>
      <c r="BR128" s="36">
        <v>0</v>
      </c>
      <c r="BS128" s="35">
        <v>0</v>
      </c>
      <c r="BT128" s="36">
        <v>0</v>
      </c>
      <c r="BU128" s="82">
        <v>0</v>
      </c>
      <c r="BV128">
        <v>0</v>
      </c>
      <c r="BW128">
        <v>71</v>
      </c>
      <c r="BZ128" t="s">
        <v>159</v>
      </c>
      <c r="CD128" t="s">
        <v>674</v>
      </c>
      <c r="CK128" s="52" t="s">
        <v>671</v>
      </c>
      <c r="CM128" s="52" t="s">
        <v>143</v>
      </c>
      <c r="CN128">
        <v>12006842</v>
      </c>
    </row>
    <row r="129" spans="1:92" ht="15">
      <c r="A129" s="49" t="s">
        <v>307</v>
      </c>
      <c r="B129" s="49" t="s">
        <v>307</v>
      </c>
      <c r="C129" s="60" t="s">
        <v>135</v>
      </c>
      <c r="D129" s="66">
        <v>5</v>
      </c>
      <c r="E129" s="99" t="s">
        <v>136</v>
      </c>
      <c r="F129" s="67">
        <v>16</v>
      </c>
      <c r="G129" s="60"/>
      <c r="H129" s="54"/>
      <c r="I129" s="68"/>
      <c r="J129" s="68"/>
      <c r="K129" s="30" t="s">
        <v>137</v>
      </c>
      <c r="L129" s="100">
        <v>129</v>
      </c>
      <c r="M129" s="100"/>
      <c r="N129" s="70"/>
      <c r="O129" t="s">
        <v>21</v>
      </c>
      <c r="P129" s="50">
        <v>45179.81994212963</v>
      </c>
      <c r="Q129" t="s">
        <v>675</v>
      </c>
      <c r="U129" s="50">
        <v>45179.81994212963</v>
      </c>
      <c r="V129" s="85" t="str">
        <f>HYPERLINK("https://twitter.com/jl_chapman/status/1700957494732849260")</f>
        <v>https://twitter.com/jl_chapman/status/1700957494732849260</v>
      </c>
      <c r="Y129" s="52" t="s">
        <v>311</v>
      </c>
      <c r="AA129" s="81">
        <v>1</v>
      </c>
      <c r="AB129" s="35"/>
      <c r="AC129" s="36"/>
      <c r="AD129" s="35"/>
      <c r="AE129" s="36"/>
      <c r="AF129" s="35"/>
      <c r="AG129" s="36"/>
      <c r="AH129" s="35">
        <v>8</v>
      </c>
      <c r="AI129" s="36">
        <v>72.72727272727273</v>
      </c>
      <c r="AJ129" s="35">
        <v>11</v>
      </c>
      <c r="AK129" s="82" t="s">
        <v>310</v>
      </c>
      <c r="AL129" s="85" t="str">
        <f>HYPERLINK("https://pbs.twimg.com/media/F5rsW9zWkAA3rjG.jpg")</f>
        <v>https://pbs.twimg.com/media/F5rsW9zWkAA3rjG.jpg</v>
      </c>
      <c r="AN129">
        <v>7968</v>
      </c>
      <c r="AQ129" t="s">
        <v>142</v>
      </c>
      <c r="AR129" t="b">
        <v>0</v>
      </c>
      <c r="AS129" s="52" t="s">
        <v>143</v>
      </c>
      <c r="AU129">
        <v>1183</v>
      </c>
      <c r="AV129" s="52" t="s">
        <v>143</v>
      </c>
      <c r="AW129" s="52" t="s">
        <v>157</v>
      </c>
      <c r="AY129" s="52" t="s">
        <v>311</v>
      </c>
      <c r="BK129" s="125" t="str">
        <f>REPLACE(INDEX(GroupVertices[Group],MATCH(Edges[[#This Row],[Vertex 1]],GroupVertices[Vertex],0)),1,1,"")</f>
        <v>4</v>
      </c>
      <c r="BL129" s="125" t="str">
        <f>REPLACE(INDEX(GroupVertices[Group],MATCH(Edges[[#This Row],[Vertex 2]],GroupVertices[Vertex],0)),1,1,"")</f>
        <v>4</v>
      </c>
      <c r="BM129" s="77">
        <v>45179</v>
      </c>
      <c r="BN129" s="98" t="s">
        <v>676</v>
      </c>
      <c r="BO129" s="35">
        <v>0</v>
      </c>
      <c r="BP129" s="36">
        <v>0</v>
      </c>
      <c r="BQ129" s="35">
        <v>0</v>
      </c>
      <c r="BR129" s="36">
        <v>0</v>
      </c>
      <c r="BS129" s="35">
        <v>0</v>
      </c>
      <c r="BT129" s="36">
        <v>0</v>
      </c>
      <c r="BU129" s="82">
        <v>134</v>
      </c>
      <c r="BV129">
        <v>148</v>
      </c>
      <c r="BW129">
        <v>352555</v>
      </c>
      <c r="BZ129" t="s">
        <v>247</v>
      </c>
      <c r="CD129" t="s">
        <v>313</v>
      </c>
      <c r="CE129">
        <v>10347</v>
      </c>
      <c r="CH129">
        <v>255026</v>
      </c>
      <c r="CK129" s="52" t="s">
        <v>311</v>
      </c>
      <c r="CM129" s="52" t="s">
        <v>143</v>
      </c>
      <c r="CN129">
        <v>226221523</v>
      </c>
    </row>
    <row r="130" spans="1:92" ht="15">
      <c r="A130" s="49" t="s">
        <v>151</v>
      </c>
      <c r="B130" s="49" t="s">
        <v>151</v>
      </c>
      <c r="C130" s="60" t="s">
        <v>135</v>
      </c>
      <c r="D130" s="66">
        <v>5</v>
      </c>
      <c r="E130" s="99" t="s">
        <v>136</v>
      </c>
      <c r="F130" s="67">
        <v>16</v>
      </c>
      <c r="G130" s="60"/>
      <c r="H130" s="54"/>
      <c r="I130" s="68"/>
      <c r="J130" s="68"/>
      <c r="K130" s="30" t="s">
        <v>137</v>
      </c>
      <c r="L130" s="100">
        <v>130</v>
      </c>
      <c r="M130" s="100"/>
      <c r="N130" s="70"/>
      <c r="O130" t="s">
        <v>21</v>
      </c>
      <c r="P130" s="50">
        <v>45180.62337962963</v>
      </c>
      <c r="Q130" t="s">
        <v>677</v>
      </c>
      <c r="U130" s="50">
        <v>45180.62337962963</v>
      </c>
      <c r="V130" s="85" t="str">
        <f>HYPERLINK("https://twitter.com/popculture2000s/status/1701248650020532481")</f>
        <v>https://twitter.com/popculture2000s/status/1701248650020532481</v>
      </c>
      <c r="Y130" s="52" t="s">
        <v>156</v>
      </c>
      <c r="AA130" s="81">
        <v>1</v>
      </c>
      <c r="AB130" s="35"/>
      <c r="AC130" s="36"/>
      <c r="AD130" s="35"/>
      <c r="AE130" s="36"/>
      <c r="AF130" s="35"/>
      <c r="AG130" s="36"/>
      <c r="AH130" s="35">
        <v>4</v>
      </c>
      <c r="AI130" s="36">
        <v>100</v>
      </c>
      <c r="AJ130" s="35">
        <v>4</v>
      </c>
      <c r="AK130" s="82" t="s">
        <v>155</v>
      </c>
      <c r="AL130" s="85" t="str">
        <f>HYPERLINK("https://pbs.twimg.com/media/F5wMoS_WgAAwk_H.jpg")</f>
        <v>https://pbs.twimg.com/media/F5wMoS_WgAAwk_H.jpg</v>
      </c>
      <c r="AN130">
        <v>157314</v>
      </c>
      <c r="AQ130" t="s">
        <v>142</v>
      </c>
      <c r="AR130" t="b">
        <v>0</v>
      </c>
      <c r="AS130" s="52" t="s">
        <v>143</v>
      </c>
      <c r="AU130">
        <v>44874</v>
      </c>
      <c r="AV130" s="52" t="s">
        <v>143</v>
      </c>
      <c r="AW130" s="52" t="s">
        <v>157</v>
      </c>
      <c r="AY130" s="52" t="s">
        <v>156</v>
      </c>
      <c r="BK130" s="125" t="str">
        <f>REPLACE(INDEX(GroupVertices[Group],MATCH(Edges[[#This Row],[Vertex 1]],GroupVertices[Vertex],0)),1,1,"")</f>
        <v>12</v>
      </c>
      <c r="BL130" s="125" t="str">
        <f>REPLACE(INDEX(GroupVertices[Group],MATCH(Edges[[#This Row],[Vertex 2]],GroupVertices[Vertex],0)),1,1,"")</f>
        <v>12</v>
      </c>
      <c r="BM130" s="77">
        <v>45180</v>
      </c>
      <c r="BN130" s="98" t="s">
        <v>678</v>
      </c>
      <c r="BO130" s="35">
        <v>0</v>
      </c>
      <c r="BP130" s="36">
        <v>0</v>
      </c>
      <c r="BQ130" s="35">
        <v>0</v>
      </c>
      <c r="BR130" s="36">
        <v>0</v>
      </c>
      <c r="BS130" s="35">
        <v>0</v>
      </c>
      <c r="BT130" s="36">
        <v>0</v>
      </c>
      <c r="BU130" s="82">
        <v>150</v>
      </c>
      <c r="BV130">
        <v>1235</v>
      </c>
      <c r="BW130">
        <v>6007039</v>
      </c>
      <c r="BZ130" t="s">
        <v>159</v>
      </c>
      <c r="CD130" t="s">
        <v>160</v>
      </c>
      <c r="CK130" s="52" t="s">
        <v>156</v>
      </c>
      <c r="CM130" s="52" t="s">
        <v>143</v>
      </c>
      <c r="CN130">
        <v>2276698777</v>
      </c>
    </row>
    <row r="131" spans="1:92" ht="15">
      <c r="A131" s="49" t="s">
        <v>367</v>
      </c>
      <c r="B131" s="49" t="s">
        <v>367</v>
      </c>
      <c r="C131" s="60" t="s">
        <v>135</v>
      </c>
      <c r="D131" s="66">
        <v>5</v>
      </c>
      <c r="E131" s="99" t="s">
        <v>136</v>
      </c>
      <c r="F131" s="67">
        <v>16</v>
      </c>
      <c r="G131" s="60"/>
      <c r="H131" s="54"/>
      <c r="I131" s="68"/>
      <c r="J131" s="68"/>
      <c r="K131" s="30" t="s">
        <v>137</v>
      </c>
      <c r="L131" s="100">
        <v>131</v>
      </c>
      <c r="M131" s="100"/>
      <c r="N131" s="70"/>
      <c r="O131" t="s">
        <v>21</v>
      </c>
      <c r="P131" s="50">
        <v>45167.63297453704</v>
      </c>
      <c r="Q131" t="s">
        <v>679</v>
      </c>
      <c r="U131" s="50">
        <v>45167.63297453704</v>
      </c>
      <c r="V131" s="85" t="str">
        <f>HYPERLINK("https://twitter.com/business/status/1696541083809837196")</f>
        <v>https://twitter.com/business/status/1696541083809837196</v>
      </c>
      <c r="Y131" s="52" t="s">
        <v>370</v>
      </c>
      <c r="AA131" s="81">
        <v>1</v>
      </c>
      <c r="AB131" s="35"/>
      <c r="AC131" s="36"/>
      <c r="AD131" s="35"/>
      <c r="AE131" s="36"/>
      <c r="AF131" s="35"/>
      <c r="AG131" s="36"/>
      <c r="AH131" s="35">
        <v>12</v>
      </c>
      <c r="AI131" s="36">
        <v>70.58823529411765</v>
      </c>
      <c r="AJ131" s="35">
        <v>17</v>
      </c>
      <c r="AK131" s="82"/>
      <c r="AL131" s="85" t="str">
        <f>HYPERLINK("https://pbs.twimg.com/profile_images/1631723279676317709/-fjgaR2p_normal.jpg")</f>
        <v>https://pbs.twimg.com/profile_images/1631723279676317709/-fjgaR2p_normal.jpg</v>
      </c>
      <c r="AN131">
        <v>1725</v>
      </c>
      <c r="AQ131" t="s">
        <v>142</v>
      </c>
      <c r="AR131" t="b">
        <v>0</v>
      </c>
      <c r="AS131" s="52" t="s">
        <v>143</v>
      </c>
      <c r="AU131">
        <v>318</v>
      </c>
      <c r="AV131" s="52" t="s">
        <v>143</v>
      </c>
      <c r="AW131" s="52" t="s">
        <v>680</v>
      </c>
      <c r="AY131" s="52" t="s">
        <v>370</v>
      </c>
      <c r="BK131" s="125" t="str">
        <f>REPLACE(INDEX(GroupVertices[Group],MATCH(Edges[[#This Row],[Vertex 1]],GroupVertices[Vertex],0)),1,1,"")</f>
        <v>7</v>
      </c>
      <c r="BL131" s="125" t="str">
        <f>REPLACE(INDEX(GroupVertices[Group],MATCH(Edges[[#This Row],[Vertex 2]],GroupVertices[Vertex],0)),1,1,"")</f>
        <v>7</v>
      </c>
      <c r="BM131" s="77">
        <v>45167</v>
      </c>
      <c r="BN131" s="98" t="s">
        <v>681</v>
      </c>
      <c r="BO131" s="35">
        <v>0</v>
      </c>
      <c r="BP131" s="36">
        <v>0</v>
      </c>
      <c r="BQ131" s="35">
        <v>0</v>
      </c>
      <c r="BR131" s="36">
        <v>0</v>
      </c>
      <c r="BS131" s="35">
        <v>0</v>
      </c>
      <c r="BT131" s="36">
        <v>0</v>
      </c>
      <c r="BU131" s="82">
        <v>103</v>
      </c>
      <c r="BV131">
        <v>11</v>
      </c>
      <c r="BW131">
        <v>12082460</v>
      </c>
      <c r="CK131" s="52" t="s">
        <v>370</v>
      </c>
      <c r="CM131" s="52" t="s">
        <v>143</v>
      </c>
      <c r="CN131">
        <v>34713362</v>
      </c>
    </row>
    <row r="132" spans="1:8" ht="15">
      <c r="A132"/>
      <c r="B132"/>
      <c r="D132"/>
      <c r="E132"/>
      <c r="F132"/>
      <c r="H132"/>
    </row>
    <row r="133" spans="1:8" ht="15">
      <c r="A133"/>
      <c r="B133"/>
      <c r="D133"/>
      <c r="E133"/>
      <c r="F133"/>
      <c r="H133"/>
    </row>
    <row r="134" spans="1:8" ht="15">
      <c r="A134"/>
      <c r="B134"/>
      <c r="D134"/>
      <c r="E134"/>
      <c r="F134"/>
      <c r="H134"/>
    </row>
    <row r="135" spans="1:8" ht="15">
      <c r="A135"/>
      <c r="B135"/>
      <c r="D135"/>
      <c r="E135"/>
      <c r="F135"/>
      <c r="H135"/>
    </row>
    <row r="136" spans="1:8" ht="15">
      <c r="A136"/>
      <c r="B136"/>
      <c r="D136"/>
      <c r="E136"/>
      <c r="F136"/>
      <c r="H136"/>
    </row>
    <row r="137" spans="1:8" ht="15">
      <c r="A137"/>
      <c r="B137"/>
      <c r="D137"/>
      <c r="E137"/>
      <c r="F137"/>
      <c r="H137"/>
    </row>
    <row r="138" spans="1:8" ht="15">
      <c r="A138"/>
      <c r="B138"/>
      <c r="D138"/>
      <c r="E138"/>
      <c r="F138"/>
      <c r="H138"/>
    </row>
    <row r="139" spans="1:8" ht="15">
      <c r="A139"/>
      <c r="B139"/>
      <c r="D139"/>
      <c r="E139"/>
      <c r="F139"/>
      <c r="H139"/>
    </row>
    <row r="140" spans="1:8" ht="15">
      <c r="A140"/>
      <c r="B140"/>
      <c r="D140"/>
      <c r="E140"/>
      <c r="F140"/>
      <c r="H140"/>
    </row>
    <row r="141" spans="1:8" ht="15">
      <c r="A141"/>
      <c r="B141"/>
      <c r="D141"/>
      <c r="E141"/>
      <c r="F141"/>
      <c r="H141"/>
    </row>
    <row r="142" spans="1:8" ht="15">
      <c r="A142"/>
      <c r="B142"/>
      <c r="D142"/>
      <c r="E142"/>
      <c r="F142"/>
      <c r="H142"/>
    </row>
    <row r="143" spans="1:8" ht="15">
      <c r="A143"/>
      <c r="B143"/>
      <c r="D143"/>
      <c r="E143"/>
      <c r="F143"/>
      <c r="H143"/>
    </row>
    <row r="144" spans="1:8" ht="15">
      <c r="A144"/>
      <c r="B144"/>
      <c r="D144"/>
      <c r="E144"/>
      <c r="F144"/>
      <c r="H144"/>
    </row>
    <row r="145" spans="1:8" ht="15">
      <c r="A145"/>
      <c r="B145"/>
      <c r="D145"/>
      <c r="E145"/>
      <c r="F145"/>
      <c r="H145"/>
    </row>
    <row r="146" spans="1:8" ht="15">
      <c r="A146"/>
      <c r="B146"/>
      <c r="D146"/>
      <c r="E146"/>
      <c r="F146"/>
      <c r="H146"/>
    </row>
    <row r="147" spans="1:8" ht="15">
      <c r="A147"/>
      <c r="B147"/>
      <c r="D147"/>
      <c r="E147"/>
      <c r="F147"/>
      <c r="H147"/>
    </row>
    <row r="148" spans="1:8" ht="15">
      <c r="A148"/>
      <c r="B148"/>
      <c r="D148"/>
      <c r="E148"/>
      <c r="F148"/>
      <c r="H148"/>
    </row>
    <row r="149" spans="1:8" ht="15">
      <c r="A149"/>
      <c r="B149"/>
      <c r="D149"/>
      <c r="E149"/>
      <c r="F149"/>
      <c r="H149"/>
    </row>
    <row r="150" spans="1:8" ht="15">
      <c r="A150"/>
      <c r="B150"/>
      <c r="D150"/>
      <c r="E150"/>
      <c r="F150"/>
      <c r="H150"/>
    </row>
    <row r="151" spans="1:8" ht="15">
      <c r="A151"/>
      <c r="B151"/>
      <c r="D151"/>
      <c r="E151"/>
      <c r="F151"/>
      <c r="H151"/>
    </row>
    <row r="152" spans="1:8" ht="15">
      <c r="A152"/>
      <c r="B152"/>
      <c r="D152"/>
      <c r="E152"/>
      <c r="F152"/>
      <c r="H152"/>
    </row>
    <row r="153" spans="1:8" ht="15">
      <c r="A153"/>
      <c r="B153"/>
      <c r="D153"/>
      <c r="E153"/>
      <c r="F153"/>
      <c r="H153"/>
    </row>
    <row r="154" spans="1:8" ht="15">
      <c r="A154"/>
      <c r="B154"/>
      <c r="D154"/>
      <c r="E154"/>
      <c r="F154"/>
      <c r="H154"/>
    </row>
    <row r="155" spans="1:8" ht="15">
      <c r="A155"/>
      <c r="B155"/>
      <c r="D155"/>
      <c r="E155"/>
      <c r="F155"/>
      <c r="H155"/>
    </row>
    <row r="156" spans="1:8" ht="15">
      <c r="A156"/>
      <c r="B156"/>
      <c r="D156"/>
      <c r="E156"/>
      <c r="F156"/>
      <c r="H156"/>
    </row>
    <row r="157" spans="1:8" ht="15">
      <c r="A157"/>
      <c r="B157"/>
      <c r="D157"/>
      <c r="E157"/>
      <c r="F157"/>
      <c r="H157"/>
    </row>
    <row r="158" spans="1:8" ht="15">
      <c r="A158"/>
      <c r="B158"/>
      <c r="D158"/>
      <c r="E158"/>
      <c r="F158"/>
      <c r="H158"/>
    </row>
    <row r="159" spans="1:8" ht="15">
      <c r="A159"/>
      <c r="B159"/>
      <c r="D159"/>
      <c r="E159"/>
      <c r="F159"/>
      <c r="H159"/>
    </row>
    <row r="160" spans="1:8" ht="15">
      <c r="A160"/>
      <c r="B160"/>
      <c r="D160"/>
      <c r="E160"/>
      <c r="F160"/>
      <c r="H160"/>
    </row>
    <row r="161" spans="1:8" ht="15">
      <c r="A161"/>
      <c r="B161"/>
      <c r="D161"/>
      <c r="E161"/>
      <c r="F161"/>
      <c r="H161"/>
    </row>
    <row r="162" spans="1:8" ht="15">
      <c r="A162"/>
      <c r="B162"/>
      <c r="D162"/>
      <c r="E162"/>
      <c r="F162"/>
      <c r="H162"/>
    </row>
    <row r="163" spans="1:8" ht="15">
      <c r="A163"/>
      <c r="B163"/>
      <c r="D163"/>
      <c r="E163"/>
      <c r="F163"/>
      <c r="H163"/>
    </row>
    <row r="164" spans="1:8" ht="15">
      <c r="A164"/>
      <c r="B164"/>
      <c r="D164"/>
      <c r="E164"/>
      <c r="F164"/>
      <c r="H164"/>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spans="1:8" ht="15">
      <c r="A177"/>
      <c r="B177"/>
      <c r="D177"/>
      <c r="E177"/>
      <c r="F177"/>
      <c r="H177"/>
    </row>
    <row r="178" spans="1:8" ht="15">
      <c r="A178"/>
      <c r="B178"/>
      <c r="D178"/>
      <c r="E178"/>
      <c r="F178"/>
      <c r="H178"/>
    </row>
    <row r="179" spans="1:8" ht="15">
      <c r="A179"/>
      <c r="B179"/>
      <c r="D179"/>
      <c r="E179"/>
      <c r="F179"/>
      <c r="H179"/>
    </row>
    <row r="180" spans="1:8" ht="15">
      <c r="A180"/>
      <c r="B180"/>
      <c r="D180"/>
      <c r="E180"/>
      <c r="F180"/>
      <c r="H180"/>
    </row>
    <row r="181" spans="1:8" ht="15">
      <c r="A181"/>
      <c r="B181"/>
      <c r="D181"/>
      <c r="E181"/>
      <c r="F181"/>
      <c r="H181"/>
    </row>
    <row r="182" spans="1:8" ht="15">
      <c r="A182"/>
      <c r="B182"/>
      <c r="D182"/>
      <c r="E182"/>
      <c r="F182"/>
      <c r="H182"/>
    </row>
    <row r="183" spans="1:8" ht="15">
      <c r="A183"/>
      <c r="B183"/>
      <c r="D183"/>
      <c r="E183"/>
      <c r="F183"/>
      <c r="H183"/>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spans="1:8" ht="15">
      <c r="A193"/>
      <c r="B193"/>
      <c r="D193"/>
      <c r="E193"/>
      <c r="F193"/>
      <c r="H193"/>
    </row>
    <row r="194" spans="1:8" ht="15">
      <c r="A194"/>
      <c r="B194"/>
      <c r="D194"/>
      <c r="E194"/>
      <c r="F194"/>
      <c r="H194"/>
    </row>
    <row r="195" spans="1:8" ht="15">
      <c r="A195"/>
      <c r="B195"/>
      <c r="D195"/>
      <c r="E195"/>
      <c r="F195"/>
      <c r="H195"/>
    </row>
    <row r="196" spans="1:8" ht="15">
      <c r="A196"/>
      <c r="B196"/>
      <c r="D196"/>
      <c r="E196"/>
      <c r="F196"/>
      <c r="H196"/>
    </row>
    <row r="197" spans="1:8" ht="15">
      <c r="A197"/>
      <c r="B197"/>
      <c r="D197"/>
      <c r="E197"/>
      <c r="F197"/>
      <c r="H197"/>
    </row>
    <row r="198" spans="1:8" ht="15">
      <c r="A198"/>
      <c r="B198"/>
      <c r="D198"/>
      <c r="E198"/>
      <c r="F198"/>
      <c r="H198"/>
    </row>
    <row r="199" spans="1:8" ht="15">
      <c r="A199"/>
      <c r="B199"/>
      <c r="D199"/>
      <c r="E199"/>
      <c r="F199"/>
      <c r="H199"/>
    </row>
    <row r="200" spans="1:8" ht="15">
      <c r="A200"/>
      <c r="B200"/>
      <c r="D200"/>
      <c r="E200"/>
      <c r="F200"/>
      <c r="H200"/>
    </row>
    <row r="201" spans="1:8" ht="15">
      <c r="A201"/>
      <c r="B201"/>
      <c r="D201"/>
      <c r="E201"/>
      <c r="F201"/>
      <c r="H201"/>
    </row>
    <row r="202" spans="1:8" ht="15">
      <c r="A202"/>
      <c r="B202"/>
      <c r="D202"/>
      <c r="E202"/>
      <c r="F202"/>
      <c r="H202"/>
    </row>
    <row r="203" spans="1:8" ht="15">
      <c r="A203"/>
      <c r="B203"/>
      <c r="D203"/>
      <c r="E203"/>
      <c r="F203"/>
      <c r="H203"/>
    </row>
    <row r="204" spans="1:8" ht="15">
      <c r="A204"/>
      <c r="B204"/>
      <c r="D204"/>
      <c r="E204"/>
      <c r="F204"/>
      <c r="H204"/>
    </row>
    <row r="205" spans="1:8" ht="15">
      <c r="A205"/>
      <c r="B205"/>
      <c r="D205"/>
      <c r="E205"/>
      <c r="F205"/>
      <c r="H205"/>
    </row>
    <row r="206" spans="1:8" ht="15">
      <c r="A206"/>
      <c r="B206"/>
      <c r="D206"/>
      <c r="E206"/>
      <c r="F206"/>
      <c r="H206"/>
    </row>
    <row r="207" spans="1:8" ht="15">
      <c r="A207"/>
      <c r="B207"/>
      <c r="D207"/>
      <c r="E207"/>
      <c r="F207"/>
      <c r="H207"/>
    </row>
    <row r="208" spans="1:8" ht="15">
      <c r="A208"/>
      <c r="B208"/>
      <c r="D208"/>
      <c r="E208"/>
      <c r="F208"/>
      <c r="H208"/>
    </row>
    <row r="209" spans="1:8" ht="15">
      <c r="A209"/>
      <c r="B209"/>
      <c r="D209"/>
      <c r="E209"/>
      <c r="F209"/>
      <c r="H209"/>
    </row>
    <row r="210" spans="1:8" ht="15">
      <c r="A210"/>
      <c r="B210"/>
      <c r="D210"/>
      <c r="E210"/>
      <c r="F210"/>
      <c r="H210"/>
    </row>
    <row r="211" spans="1:8" ht="15">
      <c r="A211"/>
      <c r="B211"/>
      <c r="D211"/>
      <c r="E211"/>
      <c r="F211"/>
      <c r="H211"/>
    </row>
    <row r="212" spans="1:8" ht="15">
      <c r="A212"/>
      <c r="B212"/>
      <c r="D212"/>
      <c r="E212"/>
      <c r="F212"/>
      <c r="H212"/>
    </row>
    <row r="213" spans="1:8" ht="15">
      <c r="A213"/>
      <c r="B213"/>
      <c r="D213"/>
      <c r="E213"/>
      <c r="F213"/>
      <c r="H213"/>
    </row>
    <row r="214" spans="1:8" ht="15">
      <c r="A214"/>
      <c r="B214"/>
      <c r="D214"/>
      <c r="E214"/>
      <c r="F214"/>
      <c r="H214"/>
    </row>
    <row r="215" spans="1:8" ht="15">
      <c r="A215"/>
      <c r="B215"/>
      <c r="D215"/>
      <c r="E215"/>
      <c r="F215"/>
      <c r="H215"/>
    </row>
    <row r="216" spans="1:8" ht="15">
      <c r="A216"/>
      <c r="B216"/>
      <c r="D216"/>
      <c r="E216"/>
      <c r="F216"/>
      <c r="H216"/>
    </row>
    <row r="217" spans="1:8" ht="15">
      <c r="A217"/>
      <c r="B217"/>
      <c r="D217"/>
      <c r="E217"/>
      <c r="F217"/>
      <c r="H217"/>
    </row>
    <row r="218" spans="1:8" ht="15">
      <c r="A218"/>
      <c r="B218"/>
      <c r="D218"/>
      <c r="E218"/>
      <c r="F218"/>
      <c r="H218"/>
    </row>
    <row r="219" spans="1:8" ht="15">
      <c r="A219"/>
      <c r="B219"/>
      <c r="D219"/>
      <c r="E219"/>
      <c r="F219"/>
      <c r="H219"/>
    </row>
    <row r="220" spans="1:8" ht="15">
      <c r="A220"/>
      <c r="B220"/>
      <c r="D220"/>
      <c r="E220"/>
      <c r="F220"/>
      <c r="H220"/>
    </row>
    <row r="221" spans="1:8" ht="15">
      <c r="A221"/>
      <c r="B221"/>
      <c r="D221"/>
      <c r="E221"/>
      <c r="F221"/>
      <c r="H221"/>
    </row>
    <row r="222" spans="1:8" ht="15">
      <c r="A222"/>
      <c r="B222"/>
      <c r="D222"/>
      <c r="E222"/>
      <c r="F222"/>
      <c r="H222"/>
    </row>
    <row r="223" spans="1:8" ht="15">
      <c r="A223"/>
      <c r="B223"/>
      <c r="D223"/>
      <c r="E223"/>
      <c r="F223"/>
      <c r="H223"/>
    </row>
    <row r="224" spans="1:8" ht="15">
      <c r="A224"/>
      <c r="B224"/>
      <c r="D224"/>
      <c r="E224"/>
      <c r="F224"/>
      <c r="H224"/>
    </row>
    <row r="225" spans="1:8" ht="15">
      <c r="A225"/>
      <c r="B225"/>
      <c r="D225"/>
      <c r="E225"/>
      <c r="F225"/>
      <c r="H225"/>
    </row>
    <row r="226" spans="1:8" ht="15">
      <c r="A226"/>
      <c r="B226"/>
      <c r="D226"/>
      <c r="E226"/>
      <c r="F226"/>
      <c r="H226"/>
    </row>
    <row r="227" spans="1:8" ht="15">
      <c r="A227"/>
      <c r="B227"/>
      <c r="D227"/>
      <c r="E227"/>
      <c r="F227"/>
      <c r="H227"/>
    </row>
    <row r="228" spans="1:8" ht="15">
      <c r="A228"/>
      <c r="B228"/>
      <c r="D228"/>
      <c r="E228"/>
      <c r="F228"/>
      <c r="H228"/>
    </row>
    <row r="229" spans="1:8" ht="15">
      <c r="A229"/>
      <c r="B229"/>
      <c r="D229"/>
      <c r="E229"/>
      <c r="F229"/>
      <c r="H229"/>
    </row>
    <row r="230" spans="1:8" ht="15">
      <c r="A230"/>
      <c r="B230"/>
      <c r="D230"/>
      <c r="E230"/>
      <c r="F230"/>
      <c r="H230"/>
    </row>
    <row r="231" spans="1:8" ht="15">
      <c r="A231"/>
      <c r="B231"/>
      <c r="D231"/>
      <c r="E231"/>
      <c r="F231"/>
      <c r="H231"/>
    </row>
    <row r="232" spans="1:8" ht="15">
      <c r="A232"/>
      <c r="B232"/>
      <c r="D232"/>
      <c r="E232"/>
      <c r="F232"/>
      <c r="H232"/>
    </row>
    <row r="233" spans="1:8" ht="15">
      <c r="A233"/>
      <c r="B233"/>
      <c r="D233"/>
      <c r="E233"/>
      <c r="F233"/>
      <c r="H233"/>
    </row>
    <row r="234" spans="1:8" ht="15">
      <c r="A234"/>
      <c r="B234"/>
      <c r="D234"/>
      <c r="E234"/>
      <c r="F234"/>
      <c r="H234"/>
    </row>
    <row r="235" spans="1:8" ht="15">
      <c r="A235"/>
      <c r="B235"/>
      <c r="D235"/>
      <c r="E235"/>
      <c r="F235"/>
      <c r="H235"/>
    </row>
    <row r="236" spans="1:8" ht="15">
      <c r="A236"/>
      <c r="B236"/>
      <c r="D236"/>
      <c r="E236"/>
      <c r="F236"/>
      <c r="H236"/>
    </row>
    <row r="237" spans="1:8" ht="15">
      <c r="A237"/>
      <c r="B237"/>
      <c r="D237"/>
      <c r="E237"/>
      <c r="F237"/>
      <c r="H237"/>
    </row>
    <row r="238" spans="1:8" ht="15">
      <c r="A238"/>
      <c r="B238"/>
      <c r="D238"/>
      <c r="E238"/>
      <c r="F238"/>
      <c r="H238"/>
    </row>
    <row r="239" spans="1:8" ht="15">
      <c r="A239"/>
      <c r="B239"/>
      <c r="D239"/>
      <c r="E239"/>
      <c r="F239"/>
      <c r="H239"/>
    </row>
    <row r="240" spans="1:8" ht="15">
      <c r="A240"/>
      <c r="B240"/>
      <c r="D240"/>
      <c r="E240"/>
      <c r="F240"/>
      <c r="H240"/>
    </row>
    <row r="241" spans="1:8" ht="15">
      <c r="A241"/>
      <c r="B241"/>
      <c r="D241"/>
      <c r="E241"/>
      <c r="F241"/>
      <c r="H241"/>
    </row>
    <row r="242" spans="1:8" ht="15">
      <c r="A242"/>
      <c r="B242"/>
      <c r="D242"/>
      <c r="E242"/>
      <c r="F242"/>
      <c r="H242"/>
    </row>
    <row r="243" spans="1:8" ht="15">
      <c r="A243"/>
      <c r="B243"/>
      <c r="D243"/>
      <c r="E243"/>
      <c r="F243"/>
      <c r="H243"/>
    </row>
    <row r="244" spans="1:8" ht="15">
      <c r="A244"/>
      <c r="B244"/>
      <c r="D244"/>
      <c r="E244"/>
      <c r="F244"/>
      <c r="H244"/>
    </row>
    <row r="245" spans="1:8" ht="15">
      <c r="A245"/>
      <c r="B245"/>
      <c r="D245"/>
      <c r="E245"/>
      <c r="F245"/>
      <c r="H245"/>
    </row>
    <row r="246" spans="1:8" ht="15">
      <c r="A246"/>
      <c r="B246"/>
      <c r="D246"/>
      <c r="E246"/>
      <c r="F246"/>
      <c r="H246"/>
    </row>
    <row r="247" spans="1:8" ht="15">
      <c r="A247"/>
      <c r="B247"/>
      <c r="D247"/>
      <c r="E247"/>
      <c r="F247"/>
      <c r="H247"/>
    </row>
    <row r="248" spans="1:8" ht="15">
      <c r="A248"/>
      <c r="B248"/>
      <c r="D248"/>
      <c r="E248"/>
      <c r="F248"/>
      <c r="H248"/>
    </row>
    <row r="249" spans="1:8" ht="15">
      <c r="A249"/>
      <c r="B249"/>
      <c r="D249"/>
      <c r="E249"/>
      <c r="F249"/>
      <c r="H249"/>
    </row>
    <row r="250" spans="1:8" ht="15">
      <c r="A250"/>
      <c r="B250"/>
      <c r="D250"/>
      <c r="E250"/>
      <c r="F250"/>
      <c r="H250"/>
    </row>
    <row r="251" spans="1:8" ht="15">
      <c r="A251"/>
      <c r="B251"/>
      <c r="D251"/>
      <c r="E251"/>
      <c r="F251"/>
      <c r="H251"/>
    </row>
    <row r="252" spans="1:8" ht="15">
      <c r="A252"/>
      <c r="B252"/>
      <c r="D252"/>
      <c r="E252"/>
      <c r="F252"/>
      <c r="H252"/>
    </row>
    <row r="253" spans="1:8" ht="15">
      <c r="A253"/>
      <c r="B253"/>
      <c r="D253"/>
      <c r="E253"/>
      <c r="F253"/>
      <c r="H253"/>
    </row>
    <row r="254" spans="1:8" ht="15">
      <c r="A254"/>
      <c r="B254"/>
      <c r="D254"/>
      <c r="E254"/>
      <c r="F254"/>
      <c r="H254"/>
    </row>
    <row r="255" spans="1:8" ht="15">
      <c r="A255"/>
      <c r="B255"/>
      <c r="D255"/>
      <c r="E255"/>
      <c r="F255"/>
      <c r="H255"/>
    </row>
    <row r="256" spans="1:8" ht="15">
      <c r="A256"/>
      <c r="B256"/>
      <c r="D256"/>
      <c r="E256"/>
      <c r="F256"/>
      <c r="H256"/>
    </row>
    <row r="257" spans="1:8" ht="15">
      <c r="A257"/>
      <c r="B257"/>
      <c r="D257"/>
      <c r="E257"/>
      <c r="F257"/>
      <c r="H257"/>
    </row>
    <row r="258" spans="1:8" ht="15">
      <c r="A258"/>
      <c r="B258"/>
      <c r="D258"/>
      <c r="E258"/>
      <c r="F258"/>
      <c r="H258"/>
    </row>
    <row r="259" spans="1:8" ht="15">
      <c r="A259"/>
      <c r="B259"/>
      <c r="D259"/>
      <c r="E259"/>
      <c r="F259"/>
      <c r="H259"/>
    </row>
    <row r="260" spans="1:8" ht="15">
      <c r="A260"/>
      <c r="B260"/>
      <c r="D260"/>
      <c r="E260"/>
      <c r="F260"/>
      <c r="H260"/>
    </row>
    <row r="261" spans="1:8" ht="15">
      <c r="A261"/>
      <c r="B261"/>
      <c r="D261"/>
      <c r="E261"/>
      <c r="F261"/>
      <c r="H261"/>
    </row>
    <row r="262" spans="1:8" ht="15">
      <c r="A262"/>
      <c r="B262"/>
      <c r="D262"/>
      <c r="E262"/>
      <c r="F262"/>
      <c r="H262"/>
    </row>
    <row r="263" spans="1:8" ht="15">
      <c r="A263"/>
      <c r="B263"/>
      <c r="D263"/>
      <c r="E263"/>
      <c r="F263"/>
      <c r="H263"/>
    </row>
    <row r="264" spans="1:8" ht="15">
      <c r="A264"/>
      <c r="B264"/>
      <c r="D264"/>
      <c r="E264"/>
      <c r="F264"/>
      <c r="H264"/>
    </row>
    <row r="265" spans="1:8" ht="15">
      <c r="A265"/>
      <c r="B265"/>
      <c r="D265"/>
      <c r="E265"/>
      <c r="F265"/>
      <c r="H265"/>
    </row>
    <row r="266" spans="1:8" ht="15">
      <c r="A266"/>
      <c r="B266"/>
      <c r="D266"/>
      <c r="E266"/>
      <c r="F266"/>
      <c r="H266"/>
    </row>
    <row r="267" spans="1:8" ht="15">
      <c r="A267"/>
      <c r="B267"/>
      <c r="D267"/>
      <c r="E267"/>
      <c r="F267"/>
      <c r="H267"/>
    </row>
    <row r="268" spans="1:8" ht="15">
      <c r="A268"/>
      <c r="B268"/>
      <c r="D268"/>
      <c r="E268"/>
      <c r="F268"/>
      <c r="H268"/>
    </row>
    <row r="269" spans="1:8" ht="15">
      <c r="A269"/>
      <c r="B269"/>
      <c r="D269"/>
      <c r="E269"/>
      <c r="F269"/>
      <c r="H269"/>
    </row>
    <row r="270" spans="1:8" ht="15">
      <c r="A270"/>
      <c r="B270"/>
      <c r="D270"/>
      <c r="E270"/>
      <c r="F270"/>
      <c r="H270"/>
    </row>
    <row r="271" spans="1:8" ht="15">
      <c r="A271"/>
      <c r="B271"/>
      <c r="D271"/>
      <c r="E271"/>
      <c r="F271"/>
      <c r="H271"/>
    </row>
    <row r="272" spans="1:8" ht="15">
      <c r="A272"/>
      <c r="B272"/>
      <c r="D272"/>
      <c r="E272"/>
      <c r="F272"/>
      <c r="H272"/>
    </row>
    <row r="273" spans="1:8" ht="15">
      <c r="A273"/>
      <c r="B273"/>
      <c r="D273"/>
      <c r="E273"/>
      <c r="F273"/>
      <c r="H273"/>
    </row>
    <row r="274" spans="1:8" ht="15">
      <c r="A274"/>
      <c r="B274"/>
      <c r="D274"/>
      <c r="E274"/>
      <c r="F274"/>
      <c r="H274"/>
    </row>
    <row r="275" spans="1:8" ht="15">
      <c r="A275"/>
      <c r="B275"/>
      <c r="D275"/>
      <c r="E275"/>
      <c r="F275"/>
      <c r="H275"/>
    </row>
    <row r="276" spans="1:8" ht="15">
      <c r="A276"/>
      <c r="B276"/>
      <c r="D276"/>
      <c r="E276"/>
      <c r="F276"/>
      <c r="H276"/>
    </row>
    <row r="277" spans="1:8" ht="15">
      <c r="A277"/>
      <c r="B277"/>
      <c r="D277"/>
      <c r="E277"/>
      <c r="F277"/>
      <c r="H277"/>
    </row>
    <row r="278" spans="1:8" ht="15">
      <c r="A278"/>
      <c r="B278"/>
      <c r="D278"/>
      <c r="E278"/>
      <c r="F278"/>
      <c r="H278"/>
    </row>
    <row r="279" spans="1:8" ht="15">
      <c r="A279"/>
      <c r="B279"/>
      <c r="D279"/>
      <c r="E279"/>
      <c r="F279"/>
      <c r="H279"/>
    </row>
    <row r="280" spans="1:8" ht="15">
      <c r="A280"/>
      <c r="B280"/>
      <c r="D280"/>
      <c r="E280"/>
      <c r="F280"/>
      <c r="H280"/>
    </row>
    <row r="281" spans="1:8" ht="15">
      <c r="A281"/>
      <c r="B281"/>
      <c r="D281"/>
      <c r="E281"/>
      <c r="F281"/>
      <c r="H281"/>
    </row>
    <row r="282" spans="1:8" ht="15">
      <c r="A282"/>
      <c r="B282"/>
      <c r="D282"/>
      <c r="E282"/>
      <c r="F282"/>
      <c r="H282"/>
    </row>
    <row r="283" spans="1:8" ht="15">
      <c r="A283"/>
      <c r="B283"/>
      <c r="D283"/>
      <c r="E283"/>
      <c r="F283"/>
      <c r="H283"/>
    </row>
    <row r="284" spans="1:8" ht="15">
      <c r="A284"/>
      <c r="B284"/>
      <c r="D284"/>
      <c r="E284"/>
      <c r="F284"/>
      <c r="H284"/>
    </row>
    <row r="285" spans="1:8" ht="15">
      <c r="A285"/>
      <c r="B285"/>
      <c r="D285"/>
      <c r="E285"/>
      <c r="F285"/>
      <c r="H285"/>
    </row>
    <row r="286" spans="1:8" ht="15">
      <c r="A286"/>
      <c r="B286"/>
      <c r="D286"/>
      <c r="E286"/>
      <c r="F286"/>
      <c r="H286"/>
    </row>
    <row r="287" spans="1:8" ht="15">
      <c r="A287"/>
      <c r="B287"/>
      <c r="D287"/>
      <c r="E287"/>
      <c r="F287"/>
      <c r="H287"/>
    </row>
    <row r="288" spans="1:8" ht="15">
      <c r="A288"/>
      <c r="B288"/>
      <c r="D288"/>
      <c r="E288"/>
      <c r="F288"/>
      <c r="H288"/>
    </row>
    <row r="289" spans="1:8" ht="15">
      <c r="A289"/>
      <c r="B289"/>
      <c r="D289"/>
      <c r="E289"/>
      <c r="F289"/>
      <c r="H289"/>
    </row>
    <row r="290" spans="1:8" ht="15">
      <c r="A290"/>
      <c r="B290"/>
      <c r="D290"/>
      <c r="E290"/>
      <c r="F290"/>
      <c r="H290"/>
    </row>
    <row r="291" spans="1:8" ht="15">
      <c r="A291"/>
      <c r="B291"/>
      <c r="D291"/>
      <c r="E291"/>
      <c r="F291"/>
      <c r="H291"/>
    </row>
    <row r="292" spans="1:8" ht="15">
      <c r="A292"/>
      <c r="B292"/>
      <c r="D292"/>
      <c r="E292"/>
      <c r="F292"/>
      <c r="H292"/>
    </row>
    <row r="293" spans="1:8" ht="15">
      <c r="A293"/>
      <c r="B293"/>
      <c r="D293"/>
      <c r="E293"/>
      <c r="F293"/>
      <c r="H293"/>
    </row>
    <row r="294" spans="1:8" ht="15">
      <c r="A294"/>
      <c r="B294"/>
      <c r="D294"/>
      <c r="E294"/>
      <c r="F294"/>
      <c r="H294"/>
    </row>
    <row r="295" spans="1:8" ht="15">
      <c r="A295"/>
      <c r="B295"/>
      <c r="D295"/>
      <c r="E295"/>
      <c r="F295"/>
      <c r="H295"/>
    </row>
    <row r="296" spans="1:8" ht="15">
      <c r="A296"/>
      <c r="B296"/>
      <c r="D296"/>
      <c r="E296"/>
      <c r="F296"/>
      <c r="H296"/>
    </row>
    <row r="297" spans="1:8" ht="15">
      <c r="A297"/>
      <c r="B297"/>
      <c r="D297"/>
      <c r="E297"/>
      <c r="F297"/>
      <c r="H297"/>
    </row>
    <row r="298" spans="1:8" ht="15">
      <c r="A298"/>
      <c r="B298"/>
      <c r="D298"/>
      <c r="E298"/>
      <c r="F298"/>
      <c r="H298"/>
    </row>
    <row r="299" spans="1:8" ht="15">
      <c r="A299"/>
      <c r="B299"/>
      <c r="D299"/>
      <c r="E299"/>
      <c r="F299"/>
      <c r="H299"/>
    </row>
    <row r="300" spans="1:8" ht="15">
      <c r="A300"/>
      <c r="B300"/>
      <c r="D300"/>
      <c r="E300"/>
      <c r="F300"/>
      <c r="H300"/>
    </row>
    <row r="301" spans="1:8" ht="15">
      <c r="A301"/>
      <c r="B301"/>
      <c r="D301"/>
      <c r="E301"/>
      <c r="F301"/>
      <c r="H301"/>
    </row>
    <row r="302" spans="1:8" ht="15">
      <c r="A302"/>
      <c r="B302"/>
      <c r="D302"/>
      <c r="E302"/>
      <c r="F302"/>
      <c r="H302"/>
    </row>
    <row r="303" spans="1:8" ht="15">
      <c r="A303"/>
      <c r="B303"/>
      <c r="D303"/>
      <c r="E303"/>
      <c r="F303"/>
      <c r="H303"/>
    </row>
    <row r="304" spans="1:8" ht="15">
      <c r="A304"/>
      <c r="B304"/>
      <c r="D304"/>
      <c r="E304"/>
      <c r="F304"/>
      <c r="H304"/>
    </row>
    <row r="305" spans="1:8" ht="15">
      <c r="A305"/>
      <c r="B305"/>
      <c r="D305"/>
      <c r="E305"/>
      <c r="F305"/>
      <c r="H305"/>
    </row>
    <row r="306" spans="1:8" ht="15">
      <c r="A306"/>
      <c r="B306"/>
      <c r="D306"/>
      <c r="E306"/>
      <c r="F306"/>
      <c r="H306"/>
    </row>
    <row r="307" spans="1:8" ht="15">
      <c r="A307"/>
      <c r="B307"/>
      <c r="D307"/>
      <c r="E307"/>
      <c r="F307"/>
      <c r="H307"/>
    </row>
    <row r="308" spans="1:8" ht="15">
      <c r="A308"/>
      <c r="B308"/>
      <c r="D308"/>
      <c r="E308"/>
      <c r="F308"/>
      <c r="H308"/>
    </row>
    <row r="309" spans="1:8" ht="15">
      <c r="A309"/>
      <c r="B309"/>
      <c r="D309"/>
      <c r="E309"/>
      <c r="F309"/>
      <c r="H309"/>
    </row>
    <row r="310" spans="1:8" ht="15">
      <c r="A310"/>
      <c r="B310"/>
      <c r="D310"/>
      <c r="E310"/>
      <c r="F310"/>
      <c r="H310"/>
    </row>
    <row r="311" spans="1:8" ht="15">
      <c r="A311"/>
      <c r="B311"/>
      <c r="D311"/>
      <c r="E311"/>
      <c r="F311"/>
      <c r="H311"/>
    </row>
    <row r="312" spans="1:8" ht="15">
      <c r="A312"/>
      <c r="B312"/>
      <c r="D312"/>
      <c r="E312"/>
      <c r="F312"/>
      <c r="H312"/>
    </row>
    <row r="313" spans="1:8" ht="15">
      <c r="A313"/>
      <c r="B313"/>
      <c r="D313"/>
      <c r="E313"/>
      <c r="F313"/>
      <c r="H313"/>
    </row>
    <row r="314" spans="1:8" ht="15">
      <c r="A314"/>
      <c r="B314"/>
      <c r="D314"/>
      <c r="E314"/>
      <c r="F314"/>
      <c r="H314"/>
    </row>
    <row r="315" spans="1:8" ht="15">
      <c r="A315"/>
      <c r="B315"/>
      <c r="D315"/>
      <c r="E315"/>
      <c r="F315"/>
      <c r="H315"/>
    </row>
    <row r="316" spans="1:8" ht="15">
      <c r="A316"/>
      <c r="B316"/>
      <c r="D316"/>
      <c r="E316"/>
      <c r="F316"/>
      <c r="H316"/>
    </row>
    <row r="317" spans="1:8" ht="15">
      <c r="A317"/>
      <c r="B317"/>
      <c r="D317"/>
      <c r="E317"/>
      <c r="F317"/>
      <c r="H317"/>
    </row>
    <row r="318" spans="1:8" ht="15">
      <c r="A318"/>
      <c r="B318"/>
      <c r="D318"/>
      <c r="E318"/>
      <c r="F318"/>
      <c r="H318"/>
    </row>
    <row r="319" spans="1:8" ht="15">
      <c r="A319"/>
      <c r="B319"/>
      <c r="D319"/>
      <c r="E319"/>
      <c r="F319"/>
      <c r="H319"/>
    </row>
    <row r="320" spans="1:8" ht="15">
      <c r="A320"/>
      <c r="B320"/>
      <c r="D320"/>
      <c r="E320"/>
      <c r="F320"/>
      <c r="H320"/>
    </row>
    <row r="321" spans="1:8" ht="15">
      <c r="A321"/>
      <c r="B321"/>
      <c r="D321"/>
      <c r="E321"/>
      <c r="F321"/>
      <c r="H321"/>
    </row>
    <row r="322" spans="1:8" ht="15">
      <c r="A322"/>
      <c r="B322"/>
      <c r="D322"/>
      <c r="E322"/>
      <c r="F322"/>
      <c r="H322"/>
    </row>
    <row r="323" spans="1:8" ht="15">
      <c r="A323"/>
      <c r="B323"/>
      <c r="D323"/>
      <c r="E323"/>
      <c r="F323"/>
      <c r="H323"/>
    </row>
    <row r="324" spans="1:8" ht="15">
      <c r="A324"/>
      <c r="B324"/>
      <c r="D324"/>
      <c r="E324"/>
      <c r="F324"/>
      <c r="H324"/>
    </row>
    <row r="325" spans="1:8" ht="15">
      <c r="A325"/>
      <c r="B325"/>
      <c r="D325"/>
      <c r="E325"/>
      <c r="F325"/>
      <c r="H325"/>
    </row>
    <row r="326" spans="1:8" ht="15">
      <c r="A326"/>
      <c r="B326"/>
      <c r="D326"/>
      <c r="E326"/>
      <c r="F326"/>
      <c r="H326"/>
    </row>
    <row r="327" spans="1:8" ht="15">
      <c r="A327"/>
      <c r="B327"/>
      <c r="D327"/>
      <c r="E327"/>
      <c r="F327"/>
      <c r="H327"/>
    </row>
    <row r="328" spans="1:8" ht="15">
      <c r="A328"/>
      <c r="B328"/>
      <c r="D328"/>
      <c r="E328"/>
      <c r="F328"/>
      <c r="H328"/>
    </row>
    <row r="329" spans="1:8" ht="15">
      <c r="A329"/>
      <c r="B329"/>
      <c r="D329"/>
      <c r="E329"/>
      <c r="F329"/>
      <c r="H329"/>
    </row>
    <row r="330" spans="1:8" ht="15">
      <c r="A330"/>
      <c r="B330"/>
      <c r="D330"/>
      <c r="E330"/>
      <c r="F330"/>
      <c r="H330"/>
    </row>
    <row r="331" spans="1:8" ht="15">
      <c r="A331"/>
      <c r="B331"/>
      <c r="D331"/>
      <c r="E331"/>
      <c r="F331"/>
      <c r="H331"/>
    </row>
    <row r="332" spans="1:8" ht="15">
      <c r="A332"/>
      <c r="B332"/>
      <c r="D332"/>
      <c r="E332"/>
      <c r="F332"/>
      <c r="H332"/>
    </row>
    <row r="333" spans="1:8" ht="15">
      <c r="A333"/>
      <c r="B333"/>
      <c r="D333"/>
      <c r="E333"/>
      <c r="F333"/>
      <c r="H333"/>
    </row>
    <row r="334" spans="1:8" ht="15">
      <c r="A334"/>
      <c r="B334"/>
      <c r="D334"/>
      <c r="E334"/>
      <c r="F334"/>
      <c r="H334"/>
    </row>
    <row r="335" spans="1:8" ht="15">
      <c r="A335"/>
      <c r="B335"/>
      <c r="D335"/>
      <c r="E335"/>
      <c r="F335"/>
      <c r="H335"/>
    </row>
    <row r="336" spans="1:8" ht="15">
      <c r="A336"/>
      <c r="B336"/>
      <c r="D336"/>
      <c r="E336"/>
      <c r="F336"/>
      <c r="H336"/>
    </row>
    <row r="337" spans="1:8" ht="15">
      <c r="A337"/>
      <c r="B337"/>
      <c r="D337"/>
      <c r="E337"/>
      <c r="F337"/>
      <c r="H337"/>
    </row>
    <row r="338" spans="1:8" ht="15">
      <c r="A338"/>
      <c r="B338"/>
      <c r="D338"/>
      <c r="E338"/>
      <c r="F338"/>
      <c r="H338"/>
    </row>
    <row r="339" spans="1:8" ht="15">
      <c r="A339"/>
      <c r="B339"/>
      <c r="D339"/>
      <c r="E339"/>
      <c r="F339"/>
      <c r="H339"/>
    </row>
    <row r="340" spans="1:8" ht="15">
      <c r="A340"/>
      <c r="B340"/>
      <c r="D340"/>
      <c r="E340"/>
      <c r="F340"/>
      <c r="H340"/>
    </row>
    <row r="341" spans="1:8" ht="15">
      <c r="A341"/>
      <c r="B341"/>
      <c r="D341"/>
      <c r="E341"/>
      <c r="F341"/>
      <c r="H341"/>
    </row>
    <row r="342" spans="1:8" ht="15">
      <c r="A342"/>
      <c r="B342"/>
      <c r="D342"/>
      <c r="E342"/>
      <c r="F342"/>
      <c r="H342"/>
    </row>
    <row r="343" spans="1:8" ht="15">
      <c r="A343"/>
      <c r="B343"/>
      <c r="D343"/>
      <c r="E343"/>
      <c r="F343"/>
      <c r="H343"/>
    </row>
    <row r="344" spans="1:8" ht="15">
      <c r="A344"/>
      <c r="B344"/>
      <c r="D344"/>
      <c r="E344"/>
      <c r="F344"/>
      <c r="H344"/>
    </row>
    <row r="345" spans="1:8" ht="15">
      <c r="A345"/>
      <c r="B345"/>
      <c r="D345"/>
      <c r="E345"/>
      <c r="F345"/>
      <c r="H345"/>
    </row>
    <row r="346" spans="1:8" ht="15">
      <c r="A346"/>
      <c r="B346"/>
      <c r="D346"/>
      <c r="E346"/>
      <c r="F346"/>
      <c r="H346"/>
    </row>
    <row r="347" spans="1:8" ht="15">
      <c r="A347"/>
      <c r="B347"/>
      <c r="D347"/>
      <c r="E347"/>
      <c r="F347"/>
      <c r="H347"/>
    </row>
    <row r="348" spans="1:8" ht="15">
      <c r="A348"/>
      <c r="B348"/>
      <c r="D348"/>
      <c r="E348"/>
      <c r="F348"/>
      <c r="H348"/>
    </row>
    <row r="349" spans="1:8" ht="15">
      <c r="A349"/>
      <c r="B349"/>
      <c r="D349"/>
      <c r="E349"/>
      <c r="F349"/>
      <c r="H349"/>
    </row>
    <row r="350" spans="1:8" ht="15">
      <c r="A350"/>
      <c r="B350"/>
      <c r="D350"/>
      <c r="E350"/>
      <c r="F350"/>
      <c r="H350"/>
    </row>
    <row r="351" spans="1:8" ht="15">
      <c r="A351"/>
      <c r="B351"/>
      <c r="D351"/>
      <c r="E351"/>
      <c r="F351"/>
      <c r="H351"/>
    </row>
    <row r="352" spans="1:8" ht="15">
      <c r="A352"/>
      <c r="B352"/>
      <c r="D352"/>
      <c r="E352"/>
      <c r="F352"/>
      <c r="H352"/>
    </row>
    <row r="353" spans="1:8" ht="15">
      <c r="A353"/>
      <c r="B353"/>
      <c r="D353"/>
      <c r="E353"/>
      <c r="F353"/>
      <c r="H353"/>
    </row>
    <row r="354" spans="1:8" ht="15">
      <c r="A354"/>
      <c r="B354"/>
      <c r="D354"/>
      <c r="E354"/>
      <c r="F354"/>
      <c r="H354"/>
    </row>
    <row r="355" spans="1:8" ht="15">
      <c r="A355"/>
      <c r="B355"/>
      <c r="D355"/>
      <c r="E355"/>
      <c r="F355"/>
      <c r="H355"/>
    </row>
    <row r="356" spans="1:8" ht="15">
      <c r="A356"/>
      <c r="B356"/>
      <c r="D356"/>
      <c r="E356"/>
      <c r="F356"/>
      <c r="H356"/>
    </row>
    <row r="357" spans="1:8" ht="15">
      <c r="A357"/>
      <c r="B357"/>
      <c r="D357"/>
      <c r="E357"/>
      <c r="F357"/>
      <c r="H357"/>
    </row>
    <row r="358" spans="1:8" ht="15">
      <c r="A358"/>
      <c r="B358"/>
      <c r="D358"/>
      <c r="E358"/>
      <c r="F358"/>
      <c r="H358"/>
    </row>
    <row r="359" spans="1:8" ht="15">
      <c r="A359"/>
      <c r="B359"/>
      <c r="D359"/>
      <c r="E359"/>
      <c r="F359"/>
      <c r="H359"/>
    </row>
    <row r="360" spans="1:8" ht="15">
      <c r="A360"/>
      <c r="B360"/>
      <c r="D360"/>
      <c r="E360"/>
      <c r="F360"/>
      <c r="H360"/>
    </row>
    <row r="361" spans="1:8" ht="15">
      <c r="A361"/>
      <c r="B361"/>
      <c r="D361"/>
      <c r="E361"/>
      <c r="F361"/>
      <c r="H361"/>
    </row>
    <row r="362" spans="1:8" ht="15">
      <c r="A362"/>
      <c r="B362"/>
      <c r="D362"/>
      <c r="E362"/>
      <c r="F362"/>
      <c r="H362"/>
    </row>
    <row r="363" spans="1:8" ht="15">
      <c r="A363"/>
      <c r="B363"/>
      <c r="D363"/>
      <c r="E363"/>
      <c r="F363"/>
      <c r="H363"/>
    </row>
    <row r="364" spans="1:8" ht="15">
      <c r="A364"/>
      <c r="B364"/>
      <c r="D364"/>
      <c r="E364"/>
      <c r="F364"/>
      <c r="H364"/>
    </row>
    <row r="365" spans="1:8" ht="15">
      <c r="A365"/>
      <c r="B365"/>
      <c r="D365"/>
      <c r="E365"/>
      <c r="F365"/>
      <c r="H365"/>
    </row>
    <row r="366" spans="1:8" ht="15">
      <c r="A366"/>
      <c r="B366"/>
      <c r="D366"/>
      <c r="E366"/>
      <c r="F366"/>
      <c r="H366"/>
    </row>
    <row r="367" spans="1:8" ht="15">
      <c r="A367"/>
      <c r="B367"/>
      <c r="D367"/>
      <c r="E367"/>
      <c r="F367"/>
      <c r="H367"/>
    </row>
    <row r="368" spans="1:8" ht="15">
      <c r="A368"/>
      <c r="B368"/>
      <c r="D368"/>
      <c r="E368"/>
      <c r="F368"/>
      <c r="H368"/>
    </row>
    <row r="369" spans="1:8" ht="15">
      <c r="A369"/>
      <c r="B369"/>
      <c r="D369"/>
      <c r="E369"/>
      <c r="F369"/>
      <c r="H369"/>
    </row>
    <row r="370" spans="1:8" ht="15">
      <c r="A370"/>
      <c r="B370"/>
      <c r="D370"/>
      <c r="E370"/>
      <c r="F370"/>
      <c r="H370"/>
    </row>
    <row r="371" spans="1:8" ht="15">
      <c r="A371"/>
      <c r="B371"/>
      <c r="D371"/>
      <c r="E371"/>
      <c r="F371"/>
      <c r="H371"/>
    </row>
    <row r="372" spans="1:8" ht="15">
      <c r="A372"/>
      <c r="B372"/>
      <c r="D372"/>
      <c r="E372"/>
      <c r="F372"/>
      <c r="H372"/>
    </row>
    <row r="373" spans="1:8" ht="15">
      <c r="A373"/>
      <c r="B373"/>
      <c r="D373"/>
      <c r="E373"/>
      <c r="F373"/>
      <c r="H373"/>
    </row>
    <row r="374" spans="1:8" ht="15">
      <c r="A374"/>
      <c r="B374"/>
      <c r="D374"/>
      <c r="E374"/>
      <c r="F374"/>
      <c r="H374"/>
    </row>
    <row r="375" spans="1:8" ht="15">
      <c r="A375"/>
      <c r="B375"/>
      <c r="D375"/>
      <c r="E375"/>
      <c r="F375"/>
      <c r="H375"/>
    </row>
    <row r="376" spans="1:8" ht="15">
      <c r="A376"/>
      <c r="B376"/>
      <c r="D376"/>
      <c r="E376"/>
      <c r="F376"/>
      <c r="H376"/>
    </row>
    <row r="377" spans="1:8" ht="15">
      <c r="A377"/>
      <c r="B377"/>
      <c r="D377"/>
      <c r="E377"/>
      <c r="F377"/>
      <c r="H377"/>
    </row>
    <row r="378" spans="1:8" ht="15">
      <c r="A378"/>
      <c r="B378"/>
      <c r="D378"/>
      <c r="E378"/>
      <c r="F378"/>
      <c r="H378"/>
    </row>
    <row r="379" spans="1:8" ht="15">
      <c r="A379"/>
      <c r="B379"/>
      <c r="D379"/>
      <c r="E379"/>
      <c r="F379"/>
      <c r="H379"/>
    </row>
    <row r="380" spans="1:8" ht="15">
      <c r="A380"/>
      <c r="B380"/>
      <c r="D380"/>
      <c r="E380"/>
      <c r="F380"/>
      <c r="H380"/>
    </row>
    <row r="381" spans="1:8" ht="15">
      <c r="A381"/>
      <c r="B381"/>
      <c r="D381"/>
      <c r="E381"/>
      <c r="F381"/>
      <c r="H381"/>
    </row>
    <row r="382" spans="1:8" ht="15">
      <c r="A382"/>
      <c r="B382"/>
      <c r="D382"/>
      <c r="E382"/>
      <c r="F382"/>
      <c r="H382"/>
    </row>
    <row r="383" spans="1:8" ht="15">
      <c r="A383"/>
      <c r="B383"/>
      <c r="D383"/>
      <c r="E383"/>
      <c r="F383"/>
      <c r="H383"/>
    </row>
    <row r="384" spans="1:8" ht="15">
      <c r="A384"/>
      <c r="B384"/>
      <c r="D384"/>
      <c r="E384"/>
      <c r="F384"/>
      <c r="H384"/>
    </row>
    <row r="385" spans="1:8" ht="15">
      <c r="A385"/>
      <c r="B385"/>
      <c r="D385"/>
      <c r="E385"/>
      <c r="F385"/>
      <c r="H385"/>
    </row>
    <row r="386" spans="1:8" ht="15">
      <c r="A386"/>
      <c r="B386"/>
      <c r="D386"/>
      <c r="E386"/>
      <c r="F386"/>
      <c r="H386"/>
    </row>
    <row r="387" spans="1:8" ht="15">
      <c r="A387"/>
      <c r="B387"/>
      <c r="D387"/>
      <c r="E387"/>
      <c r="F387"/>
      <c r="H387"/>
    </row>
    <row r="388" spans="1:8" ht="15">
      <c r="A388"/>
      <c r="B388"/>
      <c r="D388"/>
      <c r="E388"/>
      <c r="F388"/>
      <c r="H388"/>
    </row>
    <row r="389" spans="1:8" ht="15">
      <c r="A389"/>
      <c r="B389"/>
      <c r="D389"/>
      <c r="E389"/>
      <c r="F389"/>
      <c r="H389"/>
    </row>
    <row r="390" spans="1:8" ht="15">
      <c r="A390"/>
      <c r="B390"/>
      <c r="D390"/>
      <c r="E390"/>
      <c r="F390"/>
      <c r="H390"/>
    </row>
    <row r="391" spans="1:8" ht="15">
      <c r="A391"/>
      <c r="B391"/>
      <c r="D391"/>
      <c r="E391"/>
      <c r="F391"/>
      <c r="H391"/>
    </row>
    <row r="392" spans="1:8" ht="15">
      <c r="A392"/>
      <c r="B392"/>
      <c r="D392"/>
      <c r="E392"/>
      <c r="F392"/>
      <c r="H392"/>
    </row>
    <row r="393" spans="1:8" ht="15">
      <c r="A393"/>
      <c r="B393"/>
      <c r="D393"/>
      <c r="E393"/>
      <c r="F393"/>
      <c r="H393"/>
    </row>
    <row r="394" spans="1:8" ht="15">
      <c r="A394"/>
      <c r="B394"/>
      <c r="D394"/>
      <c r="E394"/>
      <c r="F394"/>
      <c r="H394"/>
    </row>
    <row r="395" spans="1:8" ht="15">
      <c r="A395"/>
      <c r="B395"/>
      <c r="D395"/>
      <c r="E395"/>
      <c r="F395"/>
      <c r="H395"/>
    </row>
    <row r="396" spans="1:8" ht="15">
      <c r="A396"/>
      <c r="B396"/>
      <c r="D396"/>
      <c r="E396"/>
      <c r="F396"/>
      <c r="H396"/>
    </row>
    <row r="397" spans="1:8" ht="15">
      <c r="A397"/>
      <c r="B397"/>
      <c r="D397"/>
      <c r="E397"/>
      <c r="F397"/>
      <c r="H397"/>
    </row>
    <row r="398" spans="1:8" ht="15">
      <c r="A398"/>
      <c r="B398"/>
      <c r="D398"/>
      <c r="E398"/>
      <c r="F398"/>
      <c r="H398"/>
    </row>
    <row r="399" spans="1:8" ht="15">
      <c r="A399"/>
      <c r="B399"/>
      <c r="D399"/>
      <c r="E399"/>
      <c r="F399"/>
      <c r="H399"/>
    </row>
    <row r="400" spans="1:8" ht="15">
      <c r="A400"/>
      <c r="B400"/>
      <c r="D400"/>
      <c r="E400"/>
      <c r="F400"/>
      <c r="H400"/>
    </row>
    <row r="401" spans="1:8" ht="15">
      <c r="A401"/>
      <c r="B401"/>
      <c r="D401"/>
      <c r="E401"/>
      <c r="F401"/>
      <c r="H401"/>
    </row>
    <row r="402" spans="1:8" ht="15">
      <c r="A402"/>
      <c r="B402"/>
      <c r="D402"/>
      <c r="E402"/>
      <c r="F402"/>
      <c r="H402"/>
    </row>
    <row r="403" spans="1:8" ht="15">
      <c r="A403"/>
      <c r="B403"/>
      <c r="D403"/>
      <c r="E403"/>
      <c r="F403"/>
      <c r="H403"/>
    </row>
    <row r="404" spans="1:8" ht="15">
      <c r="A404"/>
      <c r="B404"/>
      <c r="D404"/>
      <c r="E404"/>
      <c r="F404"/>
      <c r="H404"/>
    </row>
    <row r="405" spans="1:8" ht="15">
      <c r="A405"/>
      <c r="B405"/>
      <c r="D405"/>
      <c r="E405"/>
      <c r="F405"/>
      <c r="H405"/>
    </row>
    <row r="406" spans="1:8" ht="15">
      <c r="A406"/>
      <c r="B406"/>
      <c r="D406"/>
      <c r="E406"/>
      <c r="F406"/>
      <c r="H406"/>
    </row>
    <row r="407" spans="1:8" ht="15">
      <c r="A407"/>
      <c r="B407"/>
      <c r="D407"/>
      <c r="E407"/>
      <c r="F407"/>
      <c r="H407"/>
    </row>
    <row r="408" spans="1:8" ht="15">
      <c r="A408"/>
      <c r="B408"/>
      <c r="D408"/>
      <c r="E408"/>
      <c r="F408"/>
      <c r="H408"/>
    </row>
    <row r="409" spans="1:8" ht="15">
      <c r="A409"/>
      <c r="B409"/>
      <c r="D409"/>
      <c r="E409"/>
      <c r="F409"/>
      <c r="H409"/>
    </row>
    <row r="410" spans="1:8" ht="15">
      <c r="A410"/>
      <c r="B410"/>
      <c r="D410"/>
      <c r="E410"/>
      <c r="F410"/>
      <c r="H410"/>
    </row>
    <row r="411" spans="1:8" ht="15">
      <c r="A411"/>
      <c r="B411"/>
      <c r="D411"/>
      <c r="E411"/>
      <c r="F411"/>
      <c r="H411"/>
    </row>
    <row r="412" spans="1:8" ht="15">
      <c r="A412"/>
      <c r="B412"/>
      <c r="D412"/>
      <c r="E412"/>
      <c r="F412"/>
      <c r="H412"/>
    </row>
    <row r="413" spans="1:8" ht="15">
      <c r="A413"/>
      <c r="B413"/>
      <c r="D413"/>
      <c r="E413"/>
      <c r="F413"/>
      <c r="H413"/>
    </row>
    <row r="414" spans="1:8" ht="15">
      <c r="A414"/>
      <c r="B414"/>
      <c r="D414"/>
      <c r="E414"/>
      <c r="F414"/>
      <c r="H414"/>
    </row>
    <row r="415" spans="1:8" ht="15">
      <c r="A415"/>
      <c r="B415"/>
      <c r="D415"/>
      <c r="E415"/>
      <c r="F415"/>
      <c r="H415"/>
    </row>
    <row r="416" spans="1:8" ht="15">
      <c r="A416"/>
      <c r="B416"/>
      <c r="D416"/>
      <c r="E416"/>
      <c r="F416"/>
      <c r="H416"/>
    </row>
    <row r="417" spans="1:8" ht="15">
      <c r="A417"/>
      <c r="B417"/>
      <c r="D417"/>
      <c r="E417"/>
      <c r="F417"/>
      <c r="H417"/>
    </row>
    <row r="418" spans="1:8" ht="15">
      <c r="A418"/>
      <c r="B418"/>
      <c r="D418"/>
      <c r="E418"/>
      <c r="F418"/>
      <c r="H418"/>
    </row>
    <row r="419" spans="1:8" ht="15">
      <c r="A419"/>
      <c r="B419"/>
      <c r="D419"/>
      <c r="E419"/>
      <c r="F419"/>
      <c r="H419"/>
    </row>
    <row r="420" spans="1:8" ht="15">
      <c r="A420"/>
      <c r="B420"/>
      <c r="D420"/>
      <c r="E420"/>
      <c r="F420"/>
      <c r="H420"/>
    </row>
    <row r="421" spans="1:8" ht="15">
      <c r="A421"/>
      <c r="B421"/>
      <c r="D421"/>
      <c r="E421"/>
      <c r="F421"/>
      <c r="H421"/>
    </row>
    <row r="422" spans="1:8" ht="15">
      <c r="A422"/>
      <c r="B422"/>
      <c r="D422"/>
      <c r="E422"/>
      <c r="F422"/>
      <c r="H422"/>
    </row>
    <row r="423" spans="1:8" ht="15">
      <c r="A423"/>
      <c r="B423"/>
      <c r="D423"/>
      <c r="E423"/>
      <c r="F423"/>
      <c r="H423"/>
    </row>
    <row r="424" spans="1:8" ht="15">
      <c r="A424"/>
      <c r="B424"/>
      <c r="D424"/>
      <c r="E424"/>
      <c r="F424"/>
      <c r="H424"/>
    </row>
    <row r="425" spans="1:8" ht="15">
      <c r="A425"/>
      <c r="B425"/>
      <c r="D425"/>
      <c r="E425"/>
      <c r="F425"/>
      <c r="H425"/>
    </row>
    <row r="426" spans="1:8" ht="15">
      <c r="A426"/>
      <c r="B426"/>
      <c r="D426"/>
      <c r="E426"/>
      <c r="F426"/>
      <c r="H426"/>
    </row>
    <row r="427" spans="1:8" ht="15">
      <c r="A427"/>
      <c r="B427"/>
      <c r="D427"/>
      <c r="E427"/>
      <c r="F427"/>
      <c r="H427"/>
    </row>
    <row r="428" spans="1:8" ht="15">
      <c r="A428"/>
      <c r="B428"/>
      <c r="D428"/>
      <c r="E428"/>
      <c r="F428"/>
      <c r="H428"/>
    </row>
    <row r="429" spans="1:8" ht="15">
      <c r="A429"/>
      <c r="B429"/>
      <c r="D429"/>
      <c r="E429"/>
      <c r="F429"/>
      <c r="H429"/>
    </row>
    <row r="430" spans="1:8" ht="15">
      <c r="A430"/>
      <c r="B430"/>
      <c r="D430"/>
      <c r="E430"/>
      <c r="F430"/>
      <c r="H430"/>
    </row>
    <row r="431" spans="1:8" ht="15">
      <c r="A431"/>
      <c r="B431"/>
      <c r="D431"/>
      <c r="E431"/>
      <c r="F431"/>
      <c r="H431"/>
    </row>
    <row r="432" spans="1:8" ht="15">
      <c r="A432"/>
      <c r="B432"/>
      <c r="D432"/>
      <c r="E432"/>
      <c r="F432"/>
      <c r="H432"/>
    </row>
    <row r="433" spans="1:8" ht="15">
      <c r="A433"/>
      <c r="B433"/>
      <c r="D433"/>
      <c r="E433"/>
      <c r="F433"/>
      <c r="H433"/>
    </row>
    <row r="434" spans="1:8" ht="15">
      <c r="A434"/>
      <c r="B434"/>
      <c r="D434"/>
      <c r="E434"/>
      <c r="F434"/>
      <c r="H434"/>
    </row>
    <row r="435" spans="1:8" ht="15">
      <c r="A435"/>
      <c r="B435"/>
      <c r="D435"/>
      <c r="E435"/>
      <c r="F435"/>
      <c r="H435"/>
    </row>
    <row r="436" spans="1:8" ht="15">
      <c r="A436"/>
      <c r="B436"/>
      <c r="D436"/>
      <c r="E436"/>
      <c r="F436"/>
      <c r="H436"/>
    </row>
    <row r="437" spans="1:8" ht="15">
      <c r="A437"/>
      <c r="B437"/>
      <c r="D437"/>
      <c r="E437"/>
      <c r="F437"/>
      <c r="H437"/>
    </row>
    <row r="438" spans="1:8" ht="15">
      <c r="A438"/>
      <c r="B438"/>
      <c r="D438"/>
      <c r="E438"/>
      <c r="F438"/>
      <c r="H438"/>
    </row>
    <row r="439" spans="1:8" ht="15">
      <c r="A439"/>
      <c r="B439"/>
      <c r="D439"/>
      <c r="E439"/>
      <c r="F439"/>
      <c r="H439"/>
    </row>
    <row r="440" spans="1:8" ht="15">
      <c r="A440"/>
      <c r="B440"/>
      <c r="D440"/>
      <c r="E440"/>
      <c r="F440"/>
      <c r="H440"/>
    </row>
    <row r="441" spans="1:8" ht="15">
      <c r="A441"/>
      <c r="B441"/>
      <c r="D441"/>
      <c r="E441"/>
      <c r="F441"/>
      <c r="H441"/>
    </row>
    <row r="442" spans="1:8" ht="15">
      <c r="A442"/>
      <c r="B442"/>
      <c r="D442"/>
      <c r="E442"/>
      <c r="F442"/>
      <c r="H442"/>
    </row>
    <row r="443" spans="1:8" ht="15">
      <c r="A443"/>
      <c r="B443"/>
      <c r="D443"/>
      <c r="E443"/>
      <c r="F443"/>
      <c r="H443"/>
    </row>
    <row r="444" spans="1:8" ht="15">
      <c r="A444"/>
      <c r="B444"/>
      <c r="D444"/>
      <c r="E444"/>
      <c r="F444"/>
      <c r="H444"/>
    </row>
    <row r="445" spans="1:8" ht="15">
      <c r="A445"/>
      <c r="B445"/>
      <c r="D445"/>
      <c r="E445"/>
      <c r="F445"/>
      <c r="H445"/>
    </row>
    <row r="446" spans="1:8" ht="15">
      <c r="A446"/>
      <c r="B446"/>
      <c r="D446"/>
      <c r="E446"/>
      <c r="F446"/>
      <c r="H446"/>
    </row>
    <row r="447" spans="1:8" ht="15">
      <c r="A447"/>
      <c r="B447"/>
      <c r="D447"/>
      <c r="E447"/>
      <c r="F447"/>
      <c r="H447"/>
    </row>
    <row r="448" spans="1:8" ht="15">
      <c r="A448"/>
      <c r="B448"/>
      <c r="D448"/>
      <c r="E448"/>
      <c r="F448"/>
      <c r="H448"/>
    </row>
    <row r="449" spans="1:8" ht="15">
      <c r="A449"/>
      <c r="B449"/>
      <c r="D449"/>
      <c r="E449"/>
      <c r="F449"/>
      <c r="H449"/>
    </row>
    <row r="450" spans="1:8" ht="15">
      <c r="A450"/>
      <c r="B450"/>
      <c r="D450"/>
      <c r="E450"/>
      <c r="F450"/>
      <c r="H450"/>
    </row>
    <row r="451" spans="1:8" ht="15">
      <c r="A451"/>
      <c r="B451"/>
      <c r="D451"/>
      <c r="E451"/>
      <c r="F451"/>
      <c r="H451"/>
    </row>
    <row r="452" spans="1:8" ht="15">
      <c r="A452"/>
      <c r="B452"/>
      <c r="D452"/>
      <c r="E452"/>
      <c r="F452"/>
      <c r="H452"/>
    </row>
    <row r="453" spans="1:8" ht="15">
      <c r="A453"/>
      <c r="B453"/>
      <c r="D453"/>
      <c r="E453"/>
      <c r="F453"/>
      <c r="H453"/>
    </row>
    <row r="454" spans="1:8" ht="15">
      <c r="A454"/>
      <c r="B454"/>
      <c r="D454"/>
      <c r="E454"/>
      <c r="F454"/>
      <c r="H454"/>
    </row>
    <row r="455" spans="1:8" ht="15">
      <c r="A455"/>
      <c r="B455"/>
      <c r="D455"/>
      <c r="E455"/>
      <c r="F455"/>
      <c r="H455"/>
    </row>
    <row r="456" spans="1:8" ht="15">
      <c r="A456"/>
      <c r="B456"/>
      <c r="D456"/>
      <c r="E456"/>
      <c r="F456"/>
      <c r="H456"/>
    </row>
    <row r="457" spans="1:8" ht="15">
      <c r="A457"/>
      <c r="B457"/>
      <c r="D457"/>
      <c r="E457"/>
      <c r="F457"/>
      <c r="H457"/>
    </row>
    <row r="458" spans="1:8" ht="15">
      <c r="A458"/>
      <c r="B458"/>
      <c r="D458"/>
      <c r="E458"/>
      <c r="F458"/>
      <c r="H458"/>
    </row>
    <row r="459" spans="1:8" ht="15">
      <c r="A459"/>
      <c r="B459"/>
      <c r="D459"/>
      <c r="E459"/>
      <c r="F459"/>
      <c r="H459"/>
    </row>
    <row r="460" spans="1:8" ht="15">
      <c r="A460"/>
      <c r="B460"/>
      <c r="D460"/>
      <c r="E460"/>
      <c r="F460"/>
      <c r="H460"/>
    </row>
    <row r="461" spans="1:8" ht="15">
      <c r="A461"/>
      <c r="B461"/>
      <c r="D461"/>
      <c r="E461"/>
      <c r="F461"/>
      <c r="H461"/>
    </row>
    <row r="462" spans="1:8" ht="15">
      <c r="A462"/>
      <c r="B462"/>
      <c r="D462"/>
      <c r="E462"/>
      <c r="F462"/>
      <c r="H462"/>
    </row>
    <row r="463" spans="1:8" ht="15">
      <c r="A463"/>
      <c r="B463"/>
      <c r="D463"/>
      <c r="E463"/>
      <c r="F463"/>
      <c r="H463"/>
    </row>
    <row r="464" spans="1:8" ht="15">
      <c r="A464"/>
      <c r="B464"/>
      <c r="D464"/>
      <c r="E464"/>
      <c r="F464"/>
      <c r="H464"/>
    </row>
    <row r="465" spans="1:8" ht="15">
      <c r="A465"/>
      <c r="B465"/>
      <c r="D465"/>
      <c r="E465"/>
      <c r="F465"/>
      <c r="H465"/>
    </row>
    <row r="466" spans="1:8" ht="15">
      <c r="A466"/>
      <c r="B466"/>
      <c r="D466"/>
      <c r="E466"/>
      <c r="F466"/>
      <c r="H466"/>
    </row>
    <row r="467" spans="1:8" ht="15">
      <c r="A467"/>
      <c r="B467"/>
      <c r="D467"/>
      <c r="E467"/>
      <c r="F467"/>
      <c r="H467"/>
    </row>
    <row r="468" spans="1:8" ht="15">
      <c r="A468"/>
      <c r="B468"/>
      <c r="D468"/>
      <c r="E468"/>
      <c r="F468"/>
      <c r="H468"/>
    </row>
    <row r="469" spans="1:8" ht="15">
      <c r="A469"/>
      <c r="B469"/>
      <c r="D469"/>
      <c r="E469"/>
      <c r="F469"/>
      <c r="H469"/>
    </row>
    <row r="470" spans="1:8" ht="15">
      <c r="A470"/>
      <c r="B470"/>
      <c r="D470"/>
      <c r="E470"/>
      <c r="F470"/>
      <c r="H470"/>
    </row>
    <row r="471" spans="1:8" ht="15">
      <c r="A471"/>
      <c r="B471"/>
      <c r="D471"/>
      <c r="E471"/>
      <c r="F471"/>
      <c r="H471"/>
    </row>
    <row r="472" spans="1:8" ht="15">
      <c r="A472"/>
      <c r="B472"/>
      <c r="D472"/>
      <c r="E472"/>
      <c r="F472"/>
      <c r="H472"/>
    </row>
    <row r="473" spans="1:8" ht="15">
      <c r="A473"/>
      <c r="B473"/>
      <c r="D473"/>
      <c r="E473"/>
      <c r="F473"/>
      <c r="H473"/>
    </row>
    <row r="474" spans="1:8" ht="15">
      <c r="A474"/>
      <c r="B474"/>
      <c r="D474"/>
      <c r="E474"/>
      <c r="F474"/>
      <c r="H474"/>
    </row>
    <row r="475" spans="1:8" ht="15">
      <c r="A475"/>
      <c r="B475"/>
      <c r="D475"/>
      <c r="E475"/>
      <c r="F475"/>
      <c r="H475"/>
    </row>
    <row r="476" spans="1:8" ht="15">
      <c r="A476"/>
      <c r="B476"/>
      <c r="D476"/>
      <c r="E476"/>
      <c r="F476"/>
      <c r="H476"/>
    </row>
    <row r="477" spans="1:8" ht="15">
      <c r="A477"/>
      <c r="B477"/>
      <c r="D477"/>
      <c r="E477"/>
      <c r="F477"/>
      <c r="H477"/>
    </row>
    <row r="478" spans="1:8" ht="15">
      <c r="A478"/>
      <c r="B478"/>
      <c r="D478"/>
      <c r="E478"/>
      <c r="F478"/>
      <c r="H478"/>
    </row>
    <row r="479" spans="1:8" ht="15">
      <c r="A479"/>
      <c r="B479"/>
      <c r="D479"/>
      <c r="E479"/>
      <c r="F479"/>
      <c r="H479"/>
    </row>
    <row r="480" spans="1:8" ht="15">
      <c r="A480"/>
      <c r="B480"/>
      <c r="D480"/>
      <c r="E480"/>
      <c r="F480"/>
      <c r="H480"/>
    </row>
    <row r="481" spans="1:8" ht="15">
      <c r="A481"/>
      <c r="B481"/>
      <c r="D481"/>
      <c r="E481"/>
      <c r="F481"/>
      <c r="H481"/>
    </row>
    <row r="482" spans="1:8" ht="15">
      <c r="A482"/>
      <c r="B482"/>
      <c r="D482"/>
      <c r="E482"/>
      <c r="F482"/>
      <c r="H482"/>
    </row>
    <row r="483" spans="1:8" ht="15">
      <c r="A483"/>
      <c r="B483"/>
      <c r="D483"/>
      <c r="E483"/>
      <c r="F483"/>
      <c r="H483"/>
    </row>
    <row r="484" spans="1:8" ht="15">
      <c r="A484"/>
      <c r="B484"/>
      <c r="D484"/>
      <c r="E484"/>
      <c r="F484"/>
      <c r="H484"/>
    </row>
    <row r="485" spans="1:8" ht="15">
      <c r="A485"/>
      <c r="B485"/>
      <c r="D485"/>
      <c r="E485"/>
      <c r="F485"/>
      <c r="H485"/>
    </row>
    <row r="486" spans="1:8" ht="15">
      <c r="A486"/>
      <c r="B486"/>
      <c r="D486"/>
      <c r="E486"/>
      <c r="F486"/>
      <c r="H486"/>
    </row>
    <row r="487" spans="1:8" ht="15">
      <c r="A487"/>
      <c r="B487"/>
      <c r="D487"/>
      <c r="E487"/>
      <c r="F487"/>
      <c r="H487"/>
    </row>
    <row r="488" spans="1:8" ht="15">
      <c r="A488"/>
      <c r="B488"/>
      <c r="D488"/>
      <c r="E488"/>
      <c r="F488"/>
      <c r="H488"/>
    </row>
    <row r="489" spans="1:8" ht="15">
      <c r="A489"/>
      <c r="B489"/>
      <c r="D489"/>
      <c r="E489"/>
      <c r="F489"/>
      <c r="H489"/>
    </row>
    <row r="490" spans="1:8" ht="15">
      <c r="A490"/>
      <c r="B490"/>
      <c r="D490"/>
      <c r="E490"/>
      <c r="F490"/>
      <c r="H490"/>
    </row>
    <row r="491" spans="1:8" ht="15">
      <c r="A491"/>
      <c r="B491"/>
      <c r="D491"/>
      <c r="E491"/>
      <c r="F491"/>
      <c r="H491"/>
    </row>
    <row r="492" spans="1:8" ht="15">
      <c r="A492"/>
      <c r="B492"/>
      <c r="D492"/>
      <c r="E492"/>
      <c r="F492"/>
      <c r="H492"/>
    </row>
    <row r="493" spans="1:8" ht="15">
      <c r="A493"/>
      <c r="B493"/>
      <c r="D493"/>
      <c r="E493"/>
      <c r="F493"/>
      <c r="H493"/>
    </row>
    <row r="494" spans="1:8" ht="15">
      <c r="A494"/>
      <c r="B494"/>
      <c r="D494"/>
      <c r="E494"/>
      <c r="F494"/>
      <c r="H494"/>
    </row>
    <row r="495" spans="1:8" ht="15">
      <c r="A495"/>
      <c r="B495"/>
      <c r="D495"/>
      <c r="E495"/>
      <c r="F495"/>
      <c r="H495"/>
    </row>
    <row r="496" spans="1:8" ht="15">
      <c r="A496"/>
      <c r="B496"/>
      <c r="D496"/>
      <c r="E496"/>
      <c r="F496"/>
      <c r="H496"/>
    </row>
    <row r="497" spans="1:8" ht="15">
      <c r="A497"/>
      <c r="B497"/>
      <c r="D497"/>
      <c r="E497"/>
      <c r="F497"/>
      <c r="H497"/>
    </row>
    <row r="498" spans="1:8" ht="15">
      <c r="A498"/>
      <c r="B498"/>
      <c r="D498"/>
      <c r="E498"/>
      <c r="F498"/>
      <c r="H498"/>
    </row>
    <row r="499" spans="1:8" ht="15">
      <c r="A499"/>
      <c r="B499"/>
      <c r="D499"/>
      <c r="E499"/>
      <c r="F499"/>
      <c r="H499"/>
    </row>
    <row r="500" spans="1:8" ht="15">
      <c r="A500"/>
      <c r="B500"/>
      <c r="D500"/>
      <c r="E500"/>
      <c r="F500"/>
      <c r="H500"/>
    </row>
    <row r="501" spans="1:8" ht="15">
      <c r="A501"/>
      <c r="B501"/>
      <c r="D501"/>
      <c r="E501"/>
      <c r="F501"/>
      <c r="H501"/>
    </row>
    <row r="502" spans="1:8" ht="15">
      <c r="A502"/>
      <c r="B502"/>
      <c r="D502"/>
      <c r="E502"/>
      <c r="F502"/>
      <c r="H502"/>
    </row>
    <row r="503" spans="1:8" ht="15">
      <c r="A503"/>
      <c r="B503"/>
      <c r="D503"/>
      <c r="E503"/>
      <c r="F503"/>
      <c r="H503"/>
    </row>
    <row r="504" spans="1:8" ht="15">
      <c r="A504"/>
      <c r="B504"/>
      <c r="D504"/>
      <c r="E504"/>
      <c r="F504"/>
      <c r="H504"/>
    </row>
    <row r="505" spans="1:8" ht="15">
      <c r="A505"/>
      <c r="B505"/>
      <c r="D505"/>
      <c r="E505"/>
      <c r="F505"/>
      <c r="H505"/>
    </row>
    <row r="506" spans="1:8" ht="15">
      <c r="A506"/>
      <c r="B506"/>
      <c r="D506"/>
      <c r="E506"/>
      <c r="F506"/>
      <c r="H506"/>
    </row>
    <row r="507" spans="1:8" ht="15">
      <c r="A507"/>
      <c r="B507"/>
      <c r="D507"/>
      <c r="E507"/>
      <c r="F507"/>
      <c r="H507"/>
    </row>
    <row r="508" spans="1:8" ht="15">
      <c r="A508"/>
      <c r="B508"/>
      <c r="D508"/>
      <c r="E508"/>
      <c r="F508"/>
      <c r="H508"/>
    </row>
    <row r="509" spans="1:8" ht="15">
      <c r="A509"/>
      <c r="B509"/>
      <c r="D509"/>
      <c r="E509"/>
      <c r="F509"/>
      <c r="H509"/>
    </row>
    <row r="510" spans="1:8" ht="15">
      <c r="A510"/>
      <c r="B510"/>
      <c r="D510"/>
      <c r="E510"/>
      <c r="F510"/>
      <c r="H510"/>
    </row>
    <row r="511" spans="1:8" ht="15">
      <c r="A511"/>
      <c r="B511"/>
      <c r="D511"/>
      <c r="E511"/>
      <c r="F511"/>
      <c r="H511"/>
    </row>
    <row r="512" spans="1:8" ht="15">
      <c r="A512"/>
      <c r="B512"/>
      <c r="D512"/>
      <c r="E512"/>
      <c r="F512"/>
      <c r="H512"/>
    </row>
    <row r="513" spans="1:8" ht="15">
      <c r="A513"/>
      <c r="B513"/>
      <c r="D513"/>
      <c r="E513"/>
      <c r="F513"/>
      <c r="H513"/>
    </row>
    <row r="514" spans="1:8" ht="15">
      <c r="A514"/>
      <c r="B514"/>
      <c r="D514"/>
      <c r="E514"/>
      <c r="F514"/>
      <c r="H514"/>
    </row>
    <row r="515" spans="1:8" ht="15">
      <c r="A515"/>
      <c r="B515"/>
      <c r="D515"/>
      <c r="E515"/>
      <c r="F515"/>
      <c r="H515"/>
    </row>
    <row r="516" spans="1:8" ht="15">
      <c r="A516"/>
      <c r="B516"/>
      <c r="D516"/>
      <c r="E516"/>
      <c r="F516"/>
      <c r="H516"/>
    </row>
    <row r="517" spans="1:8" ht="15">
      <c r="A517"/>
      <c r="B517"/>
      <c r="D517"/>
      <c r="E517"/>
      <c r="F517"/>
      <c r="H517"/>
    </row>
    <row r="518" spans="1:8" ht="15">
      <c r="A518"/>
      <c r="B518"/>
      <c r="D518"/>
      <c r="E518"/>
      <c r="F518"/>
      <c r="H518"/>
    </row>
    <row r="519" spans="1:8" ht="15">
      <c r="A519"/>
      <c r="B519"/>
      <c r="D519"/>
      <c r="E519"/>
      <c r="F519"/>
      <c r="H519"/>
    </row>
    <row r="520" spans="1:8" ht="15">
      <c r="A520"/>
      <c r="B520"/>
      <c r="D520"/>
      <c r="E520"/>
      <c r="F520"/>
      <c r="H520"/>
    </row>
    <row r="521" spans="1:8" ht="15">
      <c r="A521"/>
      <c r="B521"/>
      <c r="D521"/>
      <c r="E521"/>
      <c r="F521"/>
      <c r="H521"/>
    </row>
    <row r="522" spans="1:8" ht="15">
      <c r="A522"/>
      <c r="B522"/>
      <c r="D522"/>
      <c r="E522"/>
      <c r="F522"/>
      <c r="H522"/>
    </row>
    <row r="523" spans="1:8" ht="15">
      <c r="A523"/>
      <c r="B523"/>
      <c r="D523"/>
      <c r="E523"/>
      <c r="F523"/>
      <c r="H523"/>
    </row>
    <row r="524" spans="1:8" ht="15">
      <c r="A524"/>
      <c r="B524"/>
      <c r="D524"/>
      <c r="E524"/>
      <c r="F524"/>
      <c r="H524"/>
    </row>
    <row r="525" spans="1:8" ht="15">
      <c r="A525"/>
      <c r="B525"/>
      <c r="D525"/>
      <c r="E525"/>
      <c r="F525"/>
      <c r="H525"/>
    </row>
    <row r="526" spans="1:8" ht="15">
      <c r="A526"/>
      <c r="B526"/>
      <c r="D526"/>
      <c r="E526"/>
      <c r="F526"/>
      <c r="H526"/>
    </row>
    <row r="527" spans="1:8" ht="15">
      <c r="A527"/>
      <c r="B527"/>
      <c r="D527"/>
      <c r="E527"/>
      <c r="F527"/>
      <c r="H527"/>
    </row>
    <row r="528" spans="1:8" ht="15">
      <c r="A528"/>
      <c r="B528"/>
      <c r="D528"/>
      <c r="E528"/>
      <c r="F528"/>
      <c r="H528"/>
    </row>
    <row r="529" spans="1:8" ht="15">
      <c r="A529"/>
      <c r="B529"/>
      <c r="D529"/>
      <c r="E529"/>
      <c r="F529"/>
      <c r="H529"/>
    </row>
    <row r="530" spans="1:8" ht="15">
      <c r="A530"/>
      <c r="B530"/>
      <c r="D530"/>
      <c r="E530"/>
      <c r="F530"/>
      <c r="H530"/>
    </row>
    <row r="531" spans="1:8" ht="15">
      <c r="A531"/>
      <c r="B531"/>
      <c r="D531"/>
      <c r="E531"/>
      <c r="F531"/>
      <c r="H531"/>
    </row>
    <row r="532" spans="1:8" ht="15">
      <c r="A532"/>
      <c r="B532"/>
      <c r="D532"/>
      <c r="E532"/>
      <c r="F532"/>
      <c r="H532"/>
    </row>
    <row r="533" spans="1:8" ht="15">
      <c r="A533"/>
      <c r="B533"/>
      <c r="D533"/>
      <c r="E533"/>
      <c r="F533"/>
      <c r="H533"/>
    </row>
    <row r="534" spans="1:8" ht="15">
      <c r="A534"/>
      <c r="B534"/>
      <c r="D534"/>
      <c r="E534"/>
      <c r="F534"/>
      <c r="H534"/>
    </row>
    <row r="535" spans="1:8" ht="15">
      <c r="A535"/>
      <c r="B535"/>
      <c r="D535"/>
      <c r="E535"/>
      <c r="F535"/>
      <c r="H535"/>
    </row>
    <row r="536" spans="1:8" ht="15">
      <c r="A536"/>
      <c r="B536"/>
      <c r="D536"/>
      <c r="E536"/>
      <c r="F536"/>
      <c r="H536"/>
    </row>
    <row r="537" spans="1:8" ht="15">
      <c r="A537"/>
      <c r="B537"/>
      <c r="D537"/>
      <c r="E537"/>
      <c r="F537"/>
      <c r="H537"/>
    </row>
    <row r="538" spans="1:8" ht="15">
      <c r="A538"/>
      <c r="B538"/>
      <c r="D538"/>
      <c r="E538"/>
      <c r="F538"/>
      <c r="H538"/>
    </row>
    <row r="539" spans="1:8" ht="15">
      <c r="A539"/>
      <c r="B539"/>
      <c r="D539"/>
      <c r="E539"/>
      <c r="F539"/>
      <c r="H539"/>
    </row>
    <row r="540" spans="1:8" ht="15">
      <c r="A540"/>
      <c r="B540"/>
      <c r="D540"/>
      <c r="E540"/>
      <c r="F540"/>
      <c r="H540"/>
    </row>
    <row r="541" spans="1:8" ht="15">
      <c r="A541"/>
      <c r="B541"/>
      <c r="D541"/>
      <c r="E541"/>
      <c r="F541"/>
      <c r="H541"/>
    </row>
    <row r="542" spans="1:8" ht="15">
      <c r="A542"/>
      <c r="B542"/>
      <c r="D542"/>
      <c r="E542"/>
      <c r="F542"/>
      <c r="H542"/>
    </row>
    <row r="543" spans="1:8" ht="15">
      <c r="A543"/>
      <c r="B543"/>
      <c r="D543"/>
      <c r="E543"/>
      <c r="F543"/>
      <c r="H543"/>
    </row>
    <row r="544" spans="1:8" ht="15">
      <c r="A544"/>
      <c r="B544"/>
      <c r="D544"/>
      <c r="E544"/>
      <c r="F544"/>
      <c r="H544"/>
    </row>
    <row r="545" spans="1:8" ht="15">
      <c r="A545"/>
      <c r="B545"/>
      <c r="D545"/>
      <c r="E545"/>
      <c r="F545"/>
      <c r="H545"/>
    </row>
    <row r="546" spans="1:8" ht="15">
      <c r="A546"/>
      <c r="B546"/>
      <c r="D546"/>
      <c r="E546"/>
      <c r="F546"/>
      <c r="H546"/>
    </row>
    <row r="547" spans="1:8" ht="15">
      <c r="A547"/>
      <c r="B547"/>
      <c r="D547"/>
      <c r="E547"/>
      <c r="F547"/>
      <c r="H547"/>
    </row>
    <row r="548" spans="1:8" ht="15">
      <c r="A548"/>
      <c r="B548"/>
      <c r="D548"/>
      <c r="E548"/>
      <c r="F548"/>
      <c r="H548"/>
    </row>
    <row r="549" spans="1:8" ht="15">
      <c r="A549"/>
      <c r="B549"/>
      <c r="D549"/>
      <c r="E549"/>
      <c r="F549"/>
      <c r="H549"/>
    </row>
    <row r="550" spans="1:8" ht="15">
      <c r="A550"/>
      <c r="B550"/>
      <c r="D550"/>
      <c r="E550"/>
      <c r="F550"/>
      <c r="H550"/>
    </row>
    <row r="551" spans="1:8" ht="15">
      <c r="A551"/>
      <c r="B551"/>
      <c r="D551"/>
      <c r="E551"/>
      <c r="F551"/>
      <c r="H551"/>
    </row>
    <row r="552" spans="1:8" ht="15">
      <c r="A552"/>
      <c r="B552"/>
      <c r="D552"/>
      <c r="E552"/>
      <c r="F552"/>
      <c r="H552"/>
    </row>
    <row r="553" spans="1:8" ht="15">
      <c r="A553"/>
      <c r="B553"/>
      <c r="D553"/>
      <c r="E553"/>
      <c r="F553"/>
      <c r="H553"/>
    </row>
    <row r="554" spans="1:8" ht="15">
      <c r="A554"/>
      <c r="B554"/>
      <c r="D554"/>
      <c r="E554"/>
      <c r="F554"/>
      <c r="H554"/>
    </row>
    <row r="555" spans="1:8" ht="15">
      <c r="A555"/>
      <c r="B555"/>
      <c r="D555"/>
      <c r="E555"/>
      <c r="F555"/>
      <c r="H555"/>
    </row>
    <row r="556" spans="1:8" ht="15">
      <c r="A556"/>
      <c r="B556"/>
      <c r="D556"/>
      <c r="E556"/>
      <c r="F556"/>
      <c r="H556"/>
    </row>
    <row r="557" spans="1:8" ht="15">
      <c r="A557"/>
      <c r="B557"/>
      <c r="D557"/>
      <c r="E557"/>
      <c r="F557"/>
      <c r="H557"/>
    </row>
    <row r="558" spans="1:8" ht="15">
      <c r="A558"/>
      <c r="B558"/>
      <c r="D558"/>
      <c r="E558"/>
      <c r="F558"/>
      <c r="H558"/>
    </row>
    <row r="559" spans="1:8" ht="15">
      <c r="A559"/>
      <c r="B559"/>
      <c r="D559"/>
      <c r="E559"/>
      <c r="F559"/>
      <c r="H559"/>
    </row>
    <row r="560" spans="1:8" ht="15">
      <c r="A560"/>
      <c r="B560"/>
      <c r="D560"/>
      <c r="E560"/>
      <c r="F560"/>
      <c r="H560"/>
    </row>
    <row r="561" spans="1:8" ht="15">
      <c r="A561"/>
      <c r="B561"/>
      <c r="D561"/>
      <c r="E561"/>
      <c r="F561"/>
      <c r="H561"/>
    </row>
    <row r="562" spans="1:8" ht="15">
      <c r="A562"/>
      <c r="B562"/>
      <c r="D562"/>
      <c r="E562"/>
      <c r="F562"/>
      <c r="H562"/>
    </row>
    <row r="563" spans="1:8" ht="15">
      <c r="A563"/>
      <c r="B563"/>
      <c r="D563"/>
      <c r="E563"/>
      <c r="F563"/>
      <c r="H563"/>
    </row>
    <row r="564" spans="1:8" ht="15">
      <c r="A564"/>
      <c r="B564"/>
      <c r="D564"/>
      <c r="E564"/>
      <c r="F564"/>
      <c r="H564"/>
    </row>
    <row r="565" spans="1:8" ht="15">
      <c r="A565"/>
      <c r="B565"/>
      <c r="D565"/>
      <c r="E565"/>
      <c r="F565"/>
      <c r="H565"/>
    </row>
    <row r="566" spans="1:8" ht="15">
      <c r="A566"/>
      <c r="B566"/>
      <c r="D566"/>
      <c r="E566"/>
      <c r="F566"/>
      <c r="H566"/>
    </row>
    <row r="567" spans="1:8" ht="15">
      <c r="A567"/>
      <c r="B567"/>
      <c r="D567"/>
      <c r="E567"/>
      <c r="F567"/>
      <c r="H567"/>
    </row>
    <row r="568" spans="1:8" ht="15">
      <c r="A568"/>
      <c r="B568"/>
      <c r="D568"/>
      <c r="E568"/>
      <c r="F568"/>
      <c r="H568"/>
    </row>
    <row r="569" spans="1:8" ht="15">
      <c r="A569"/>
      <c r="B569"/>
      <c r="D569"/>
      <c r="E569"/>
      <c r="F569"/>
      <c r="H569"/>
    </row>
    <row r="570" spans="1:8" ht="15">
      <c r="A570"/>
      <c r="B570"/>
      <c r="D570"/>
      <c r="E570"/>
      <c r="F570"/>
      <c r="H570"/>
    </row>
    <row r="571" spans="1:8" ht="15">
      <c r="A571"/>
      <c r="B571"/>
      <c r="D571"/>
      <c r="E571"/>
      <c r="F571"/>
      <c r="H571"/>
    </row>
    <row r="572" spans="1:8" ht="15">
      <c r="A572"/>
      <c r="B572"/>
      <c r="D572"/>
      <c r="E572"/>
      <c r="F572"/>
      <c r="H572"/>
    </row>
    <row r="573" spans="1:8" ht="15">
      <c r="A573"/>
      <c r="B573"/>
      <c r="D573"/>
      <c r="E573"/>
      <c r="F573"/>
      <c r="H573"/>
    </row>
    <row r="574" spans="1:8" ht="15">
      <c r="A574"/>
      <c r="B574"/>
      <c r="D574"/>
      <c r="E574"/>
      <c r="F574"/>
      <c r="H574"/>
    </row>
    <row r="575" spans="1:8" ht="15">
      <c r="A575"/>
      <c r="B575"/>
      <c r="D575"/>
      <c r="E575"/>
      <c r="F575"/>
      <c r="H575"/>
    </row>
    <row r="576" spans="1:8" ht="15">
      <c r="A576"/>
      <c r="B576"/>
      <c r="D576"/>
      <c r="E576"/>
      <c r="F576"/>
      <c r="H576"/>
    </row>
    <row r="577" spans="1:8" ht="15">
      <c r="A577"/>
      <c r="B577"/>
      <c r="D577"/>
      <c r="E577"/>
      <c r="F577"/>
      <c r="H577"/>
    </row>
    <row r="578" spans="1:8" ht="15">
      <c r="A578"/>
      <c r="B578"/>
      <c r="D578"/>
      <c r="E578"/>
      <c r="F578"/>
      <c r="H578"/>
    </row>
    <row r="579" spans="1:8" ht="15">
      <c r="A579"/>
      <c r="B579"/>
      <c r="D579"/>
      <c r="E579"/>
      <c r="F579"/>
      <c r="H579"/>
    </row>
    <row r="580" spans="1:8" ht="15">
      <c r="A580"/>
      <c r="B580"/>
      <c r="D580"/>
      <c r="E580"/>
      <c r="F580"/>
      <c r="H580"/>
    </row>
    <row r="581" spans="1:8" ht="15">
      <c r="A581"/>
      <c r="B581"/>
      <c r="D581"/>
      <c r="E581"/>
      <c r="F581"/>
      <c r="H581"/>
    </row>
    <row r="582" spans="1:8" ht="15">
      <c r="A582"/>
      <c r="B582"/>
      <c r="D582"/>
      <c r="E582"/>
      <c r="F582"/>
      <c r="H582"/>
    </row>
    <row r="583" spans="1:8" ht="15">
      <c r="A583"/>
      <c r="B583"/>
      <c r="D583"/>
      <c r="E583"/>
      <c r="F583"/>
      <c r="H583"/>
    </row>
    <row r="584" spans="1:8" ht="15">
      <c r="A584"/>
      <c r="B584"/>
      <c r="D584"/>
      <c r="E584"/>
      <c r="F584"/>
      <c r="H584"/>
    </row>
    <row r="585" spans="1:8" ht="15">
      <c r="A585"/>
      <c r="B585"/>
      <c r="D585"/>
      <c r="E585"/>
      <c r="F585"/>
      <c r="H585"/>
    </row>
    <row r="586" spans="1:8" ht="15">
      <c r="A586"/>
      <c r="B586"/>
      <c r="D586"/>
      <c r="E586"/>
      <c r="F586"/>
      <c r="H586"/>
    </row>
    <row r="587" spans="1:8" ht="15">
      <c r="A587"/>
      <c r="B587"/>
      <c r="D587"/>
      <c r="E587"/>
      <c r="F587"/>
      <c r="H587"/>
    </row>
    <row r="588" spans="1:8" ht="15">
      <c r="A588"/>
      <c r="B588"/>
      <c r="D588"/>
      <c r="E588"/>
      <c r="F588"/>
      <c r="H588"/>
    </row>
    <row r="589" spans="1:8" ht="15">
      <c r="A589"/>
      <c r="B589"/>
      <c r="D589"/>
      <c r="E589"/>
      <c r="F589"/>
      <c r="H589"/>
    </row>
    <row r="590" spans="1:8" ht="15">
      <c r="A590"/>
      <c r="B590"/>
      <c r="D590"/>
      <c r="E590"/>
      <c r="F590"/>
      <c r="H590"/>
    </row>
    <row r="591" spans="1:8" ht="15">
      <c r="A591"/>
      <c r="B591"/>
      <c r="D591"/>
      <c r="E591"/>
      <c r="F591"/>
      <c r="H591"/>
    </row>
    <row r="592" spans="1:8" ht="15">
      <c r="A592"/>
      <c r="B592"/>
      <c r="D592"/>
      <c r="E592"/>
      <c r="F592"/>
      <c r="H592"/>
    </row>
    <row r="593" spans="1:8" ht="15">
      <c r="A593"/>
      <c r="B593"/>
      <c r="D593"/>
      <c r="E593"/>
      <c r="F593"/>
      <c r="H593"/>
    </row>
    <row r="594" spans="1:8" ht="15">
      <c r="A594"/>
      <c r="B594"/>
      <c r="D594"/>
      <c r="E594"/>
      <c r="F594"/>
      <c r="H594"/>
    </row>
    <row r="595" spans="1:8" ht="15">
      <c r="A595"/>
      <c r="B595"/>
      <c r="D595"/>
      <c r="E595"/>
      <c r="F595"/>
      <c r="H595"/>
    </row>
    <row r="596" spans="1:8" ht="15">
      <c r="A596"/>
      <c r="B596"/>
      <c r="D596"/>
      <c r="E596"/>
      <c r="F596"/>
      <c r="H596"/>
    </row>
    <row r="597" spans="1:8" ht="15">
      <c r="A597"/>
      <c r="B597"/>
      <c r="D597"/>
      <c r="E597"/>
      <c r="F597"/>
      <c r="H597"/>
    </row>
    <row r="598" spans="1:8" ht="15">
      <c r="A598"/>
      <c r="B598"/>
      <c r="D598"/>
      <c r="E598"/>
      <c r="F598"/>
      <c r="H598"/>
    </row>
    <row r="599" spans="1:8" ht="15">
      <c r="A599"/>
      <c r="B599"/>
      <c r="D599"/>
      <c r="E599"/>
      <c r="F599"/>
      <c r="H599"/>
    </row>
    <row r="600" spans="1:8" ht="15">
      <c r="A600"/>
      <c r="B600"/>
      <c r="D600"/>
      <c r="E600"/>
      <c r="F600"/>
      <c r="H600"/>
    </row>
    <row r="601" spans="1:8" ht="15">
      <c r="A601"/>
      <c r="B601"/>
      <c r="D601"/>
      <c r="E601"/>
      <c r="F601"/>
      <c r="H601"/>
    </row>
    <row r="602" spans="1:8" ht="15">
      <c r="A602"/>
      <c r="B602"/>
      <c r="D602"/>
      <c r="E602"/>
      <c r="F602"/>
      <c r="H602"/>
    </row>
    <row r="603" spans="1:8" ht="15">
      <c r="A603"/>
      <c r="B603"/>
      <c r="D603"/>
      <c r="E603"/>
      <c r="F603"/>
      <c r="H603"/>
    </row>
    <row r="604" spans="1:8" ht="15">
      <c r="A604"/>
      <c r="B604"/>
      <c r="D604"/>
      <c r="E604"/>
      <c r="F604"/>
      <c r="H604"/>
    </row>
    <row r="605" spans="1:8" ht="15">
      <c r="A605"/>
      <c r="B605"/>
      <c r="D605"/>
      <c r="E605"/>
      <c r="F605"/>
      <c r="H605"/>
    </row>
    <row r="606" spans="1:8" ht="15">
      <c r="A606"/>
      <c r="B606"/>
      <c r="D606"/>
      <c r="E606"/>
      <c r="F606"/>
      <c r="H606"/>
    </row>
    <row r="607" spans="1:8" ht="15">
      <c r="A607"/>
      <c r="B607"/>
      <c r="D607"/>
      <c r="E607"/>
      <c r="F607"/>
      <c r="H607"/>
    </row>
    <row r="608" spans="1:8" ht="15">
      <c r="A608"/>
      <c r="B608"/>
      <c r="D608"/>
      <c r="E608"/>
      <c r="F608"/>
      <c r="H608"/>
    </row>
    <row r="609" spans="1:8" ht="15">
      <c r="A609"/>
      <c r="B609"/>
      <c r="D609"/>
      <c r="E609"/>
      <c r="F609"/>
      <c r="H609"/>
    </row>
    <row r="610" spans="1:8" ht="15">
      <c r="A610"/>
      <c r="B610"/>
      <c r="D610"/>
      <c r="E610"/>
      <c r="F610"/>
      <c r="H610"/>
    </row>
    <row r="611" spans="1:8" ht="15">
      <c r="A611"/>
      <c r="B611"/>
      <c r="D611"/>
      <c r="E611"/>
      <c r="F611"/>
      <c r="H611"/>
    </row>
    <row r="612" spans="1:8" ht="15">
      <c r="A612"/>
      <c r="B612"/>
      <c r="D612"/>
      <c r="E612"/>
      <c r="F612"/>
      <c r="H612"/>
    </row>
    <row r="613" spans="1:8" ht="15">
      <c r="A613"/>
      <c r="B613"/>
      <c r="D613"/>
      <c r="E613"/>
      <c r="F613"/>
      <c r="H613"/>
    </row>
    <row r="614" spans="1:8" ht="15">
      <c r="A614"/>
      <c r="B614"/>
      <c r="D614"/>
      <c r="E614"/>
      <c r="F614"/>
      <c r="H614"/>
    </row>
    <row r="615" spans="1:8" ht="15">
      <c r="A615"/>
      <c r="B615"/>
      <c r="D615"/>
      <c r="E615"/>
      <c r="F615"/>
      <c r="H615"/>
    </row>
    <row r="616" spans="1:8" ht="15">
      <c r="A616"/>
      <c r="B616"/>
      <c r="D616"/>
      <c r="E616"/>
      <c r="F616"/>
      <c r="H616"/>
    </row>
    <row r="617" spans="1:8" ht="15">
      <c r="A617"/>
      <c r="B617"/>
      <c r="D617"/>
      <c r="E617"/>
      <c r="F617"/>
      <c r="H617"/>
    </row>
    <row r="618" spans="1:8" ht="15">
      <c r="A618"/>
      <c r="B618"/>
      <c r="D618"/>
      <c r="E618"/>
      <c r="F618"/>
      <c r="H618"/>
    </row>
    <row r="619" spans="1:8" ht="15">
      <c r="A619"/>
      <c r="B619"/>
      <c r="D619"/>
      <c r="E619"/>
      <c r="F619"/>
      <c r="H619"/>
    </row>
    <row r="620" spans="1:8" ht="15">
      <c r="A620"/>
      <c r="B620"/>
      <c r="D620"/>
      <c r="E620"/>
      <c r="F620"/>
      <c r="H620"/>
    </row>
    <row r="621" spans="1:8" ht="15">
      <c r="A621"/>
      <c r="B621"/>
      <c r="D621"/>
      <c r="E621"/>
      <c r="F621"/>
      <c r="H621"/>
    </row>
    <row r="622" spans="1:8" ht="15">
      <c r="A622"/>
      <c r="B622"/>
      <c r="D622"/>
      <c r="E622"/>
      <c r="F622"/>
      <c r="H622"/>
    </row>
    <row r="623" spans="1:8" ht="15">
      <c r="A623"/>
      <c r="B623"/>
      <c r="D623"/>
      <c r="E623"/>
      <c r="F623"/>
      <c r="H623"/>
    </row>
    <row r="624" spans="1:8" ht="15">
      <c r="A624"/>
      <c r="B624"/>
      <c r="D624"/>
      <c r="E624"/>
      <c r="F624"/>
      <c r="H624"/>
    </row>
    <row r="625" spans="1:8" ht="15">
      <c r="A625"/>
      <c r="B625"/>
      <c r="D625"/>
      <c r="E625"/>
      <c r="F625"/>
      <c r="H625"/>
    </row>
    <row r="626" spans="1:8" ht="15">
      <c r="A626"/>
      <c r="B626"/>
      <c r="D626"/>
      <c r="E626"/>
      <c r="F626"/>
      <c r="H626"/>
    </row>
    <row r="627" spans="1:8" ht="15">
      <c r="A627"/>
      <c r="B627"/>
      <c r="D627"/>
      <c r="E627"/>
      <c r="F627"/>
      <c r="H627"/>
    </row>
    <row r="628" spans="1:8" ht="15">
      <c r="A628"/>
      <c r="B628"/>
      <c r="D628"/>
      <c r="E628"/>
      <c r="F628"/>
      <c r="H628"/>
    </row>
    <row r="629" spans="1:8" ht="15">
      <c r="A629"/>
      <c r="B629"/>
      <c r="D629"/>
      <c r="E629"/>
      <c r="F629"/>
      <c r="H629"/>
    </row>
    <row r="630" spans="1:8" ht="15">
      <c r="A630"/>
      <c r="B630"/>
      <c r="D630"/>
      <c r="E630"/>
      <c r="F630"/>
      <c r="H630"/>
    </row>
    <row r="631" spans="1:8" ht="15">
      <c r="A631"/>
      <c r="B631"/>
      <c r="D631"/>
      <c r="E631"/>
      <c r="F631"/>
      <c r="H631"/>
    </row>
    <row r="632" spans="1:8" ht="15">
      <c r="A632"/>
      <c r="B632"/>
      <c r="D632"/>
      <c r="E632"/>
      <c r="F632"/>
      <c r="H632"/>
    </row>
    <row r="633" spans="1:8" ht="15">
      <c r="A633"/>
      <c r="B633"/>
      <c r="D633"/>
      <c r="E633"/>
      <c r="F633"/>
      <c r="H633"/>
    </row>
    <row r="634" spans="1:8" ht="15">
      <c r="A634"/>
      <c r="B634"/>
      <c r="D634"/>
      <c r="E634"/>
      <c r="F634"/>
      <c r="H634"/>
    </row>
    <row r="635" spans="1:8" ht="15">
      <c r="A635"/>
      <c r="B635"/>
      <c r="D635"/>
      <c r="E635"/>
      <c r="F635"/>
      <c r="H635"/>
    </row>
    <row r="636" spans="1:8" ht="15">
      <c r="A636"/>
      <c r="B636"/>
      <c r="D636"/>
      <c r="E636"/>
      <c r="F636"/>
      <c r="H636"/>
    </row>
    <row r="637" spans="1:8" ht="15">
      <c r="A637"/>
      <c r="B637"/>
      <c r="D637"/>
      <c r="E637"/>
      <c r="F637"/>
      <c r="H637"/>
    </row>
    <row r="638" spans="1:8" ht="15">
      <c r="A638"/>
      <c r="B638"/>
      <c r="D638"/>
      <c r="E638"/>
      <c r="F638"/>
      <c r="H638"/>
    </row>
    <row r="639" spans="1:8" ht="15">
      <c r="A639"/>
      <c r="B639"/>
      <c r="D639"/>
      <c r="E639"/>
      <c r="F639"/>
      <c r="H639"/>
    </row>
    <row r="640" spans="1:8" ht="15">
      <c r="A640"/>
      <c r="B640"/>
      <c r="D640"/>
      <c r="E640"/>
      <c r="F640"/>
      <c r="H640"/>
    </row>
    <row r="641" spans="1:8" ht="15">
      <c r="A641"/>
      <c r="B641"/>
      <c r="D641"/>
      <c r="E641"/>
      <c r="F641"/>
      <c r="H641"/>
    </row>
    <row r="642" spans="1:8" ht="15">
      <c r="A642"/>
      <c r="B642"/>
      <c r="D642"/>
      <c r="E642"/>
      <c r="F642"/>
      <c r="H642"/>
    </row>
    <row r="643" spans="1:8" ht="15">
      <c r="A643"/>
      <c r="B643"/>
      <c r="D643"/>
      <c r="E643"/>
      <c r="F643"/>
      <c r="H643"/>
    </row>
    <row r="644" spans="1:8" ht="15">
      <c r="A644"/>
      <c r="B644"/>
      <c r="D644"/>
      <c r="E644"/>
      <c r="F644"/>
      <c r="H644"/>
    </row>
    <row r="645" spans="1:8" ht="15">
      <c r="A645"/>
      <c r="B645"/>
      <c r="D645"/>
      <c r="E645"/>
      <c r="F645"/>
      <c r="H645"/>
    </row>
    <row r="646" spans="1:8" ht="15">
      <c r="A646"/>
      <c r="B646"/>
      <c r="D646"/>
      <c r="E646"/>
      <c r="F646"/>
      <c r="H646"/>
    </row>
    <row r="647" spans="1:8" ht="15">
      <c r="A647"/>
      <c r="B647"/>
      <c r="D647"/>
      <c r="E647"/>
      <c r="F647"/>
      <c r="H647"/>
    </row>
    <row r="648" spans="1:8" ht="15">
      <c r="A648"/>
      <c r="B648"/>
      <c r="D648"/>
      <c r="E648"/>
      <c r="F648"/>
      <c r="H648"/>
    </row>
    <row r="649" spans="1:8" ht="15">
      <c r="A649"/>
      <c r="B649"/>
      <c r="D649"/>
      <c r="E649"/>
      <c r="F649"/>
      <c r="H649"/>
    </row>
    <row r="650" spans="1:8" ht="15">
      <c r="A650"/>
      <c r="B650"/>
      <c r="D650"/>
      <c r="E650"/>
      <c r="F650"/>
      <c r="H650"/>
    </row>
    <row r="651" spans="1:8" ht="15">
      <c r="A651"/>
      <c r="B651"/>
      <c r="D651"/>
      <c r="E651"/>
      <c r="F651"/>
      <c r="H651"/>
    </row>
    <row r="652" spans="1:8" ht="15">
      <c r="A652"/>
      <c r="B652"/>
      <c r="D652"/>
      <c r="E652"/>
      <c r="F652"/>
      <c r="H652"/>
    </row>
    <row r="653" spans="1:8" ht="15">
      <c r="A653"/>
      <c r="B653"/>
      <c r="D653"/>
      <c r="E653"/>
      <c r="F653"/>
      <c r="H653"/>
    </row>
    <row r="654" spans="1:8" ht="15">
      <c r="A654"/>
      <c r="B654"/>
      <c r="D654"/>
      <c r="E654"/>
      <c r="F654"/>
      <c r="H654"/>
    </row>
    <row r="655" spans="1:8" ht="15">
      <c r="A655"/>
      <c r="B655"/>
      <c r="D655"/>
      <c r="E655"/>
      <c r="F655"/>
      <c r="H655"/>
    </row>
    <row r="656" spans="1:8" ht="15">
      <c r="A656"/>
      <c r="B656"/>
      <c r="D656"/>
      <c r="E656"/>
      <c r="F656"/>
      <c r="H656"/>
    </row>
    <row r="657" spans="1:8" ht="15">
      <c r="A657"/>
      <c r="B657"/>
      <c r="D657"/>
      <c r="E657"/>
      <c r="F657"/>
      <c r="H657"/>
    </row>
    <row r="658" spans="1:8" ht="15">
      <c r="A658"/>
      <c r="B658"/>
      <c r="D658"/>
      <c r="E658"/>
      <c r="F658"/>
      <c r="H658"/>
    </row>
    <row r="659" spans="1:8" ht="15">
      <c r="A659"/>
      <c r="B659"/>
      <c r="D659"/>
      <c r="E659"/>
      <c r="F659"/>
      <c r="H659"/>
    </row>
    <row r="660" spans="1:8" ht="15">
      <c r="A660"/>
      <c r="B660"/>
      <c r="D660"/>
      <c r="E660"/>
      <c r="F660"/>
      <c r="H660"/>
    </row>
    <row r="661" spans="1:8" ht="15">
      <c r="A661"/>
      <c r="B661"/>
      <c r="D661"/>
      <c r="E661"/>
      <c r="F661"/>
      <c r="H661"/>
    </row>
    <row r="662" spans="1:8" ht="15">
      <c r="A662"/>
      <c r="B662"/>
      <c r="D662"/>
      <c r="E662"/>
      <c r="F662"/>
      <c r="H662"/>
    </row>
    <row r="663" spans="1:8" ht="15">
      <c r="A663"/>
      <c r="B663"/>
      <c r="D663"/>
      <c r="E663"/>
      <c r="F663"/>
      <c r="H663"/>
    </row>
    <row r="664" spans="1:8" ht="15">
      <c r="A664"/>
      <c r="B664"/>
      <c r="D664"/>
      <c r="E664"/>
      <c r="F664"/>
      <c r="H664"/>
    </row>
    <row r="665" spans="1:8" ht="15">
      <c r="A665"/>
      <c r="B665"/>
      <c r="D665"/>
      <c r="E665"/>
      <c r="F665"/>
      <c r="H665"/>
    </row>
    <row r="666" spans="1:8" ht="15">
      <c r="A666"/>
      <c r="B666"/>
      <c r="D666"/>
      <c r="E666"/>
      <c r="F666"/>
      <c r="H666"/>
    </row>
    <row r="667" spans="1:8" ht="15">
      <c r="A667"/>
      <c r="B667"/>
      <c r="D667"/>
      <c r="E667"/>
      <c r="F667"/>
      <c r="H667"/>
    </row>
    <row r="668" spans="1:8" ht="15">
      <c r="A668"/>
      <c r="B668"/>
      <c r="D668"/>
      <c r="E668"/>
      <c r="F668"/>
      <c r="H668"/>
    </row>
    <row r="669" spans="1:8" ht="15">
      <c r="A669"/>
      <c r="B669"/>
      <c r="D669"/>
      <c r="E669"/>
      <c r="F669"/>
      <c r="H669"/>
    </row>
    <row r="670" spans="1:8" ht="15">
      <c r="A670"/>
      <c r="B670"/>
      <c r="D670"/>
      <c r="E670"/>
      <c r="F670"/>
      <c r="H670"/>
    </row>
    <row r="671" spans="1:8" ht="15">
      <c r="A671"/>
      <c r="B671"/>
      <c r="D671"/>
      <c r="E671"/>
      <c r="F671"/>
      <c r="H671"/>
    </row>
    <row r="672" spans="1:8" ht="15">
      <c r="A672"/>
      <c r="B672"/>
      <c r="D672"/>
      <c r="E672"/>
      <c r="F672"/>
      <c r="H672"/>
    </row>
    <row r="673" spans="1:8" ht="15">
      <c r="A673"/>
      <c r="B673"/>
      <c r="D673"/>
      <c r="E673"/>
      <c r="F673"/>
      <c r="H673"/>
    </row>
    <row r="674" spans="1:8" ht="15">
      <c r="A674"/>
      <c r="B674"/>
      <c r="D674"/>
      <c r="E674"/>
      <c r="F674"/>
      <c r="H674"/>
    </row>
    <row r="675" spans="1:8" ht="15">
      <c r="A675"/>
      <c r="B675"/>
      <c r="D675"/>
      <c r="E675"/>
      <c r="F675"/>
      <c r="H675"/>
    </row>
    <row r="676" spans="1:8" ht="15">
      <c r="A676"/>
      <c r="B676"/>
      <c r="D676"/>
      <c r="E676"/>
      <c r="F676"/>
      <c r="H676"/>
    </row>
    <row r="677" spans="1:8" ht="15">
      <c r="A677"/>
      <c r="B677"/>
      <c r="D677"/>
      <c r="E677"/>
      <c r="F677"/>
      <c r="H677"/>
    </row>
    <row r="678" spans="1:8" ht="15">
      <c r="A678"/>
      <c r="B678"/>
      <c r="D678"/>
      <c r="E678"/>
      <c r="F678"/>
      <c r="H678"/>
    </row>
    <row r="679" spans="1:8" ht="15">
      <c r="A679"/>
      <c r="B679"/>
      <c r="D679"/>
      <c r="E679"/>
      <c r="F679"/>
      <c r="H679"/>
    </row>
    <row r="680" spans="1:8" ht="15">
      <c r="A680"/>
      <c r="B680"/>
      <c r="D680"/>
      <c r="E680"/>
      <c r="F680"/>
      <c r="H680"/>
    </row>
    <row r="681" spans="1:8" ht="15">
      <c r="A681"/>
      <c r="B681"/>
      <c r="D681"/>
      <c r="E681"/>
      <c r="F681"/>
      <c r="H681"/>
    </row>
    <row r="682" spans="1:8" ht="15">
      <c r="A682"/>
      <c r="B682"/>
      <c r="D682"/>
      <c r="E682"/>
      <c r="F682"/>
      <c r="H682"/>
    </row>
    <row r="683" spans="1:8" ht="15">
      <c r="A683"/>
      <c r="B683"/>
      <c r="D683"/>
      <c r="E683"/>
      <c r="F683"/>
      <c r="H683"/>
    </row>
    <row r="684" spans="1:8" ht="15">
      <c r="A684"/>
      <c r="B684"/>
      <c r="D684"/>
      <c r="E684"/>
      <c r="F684"/>
      <c r="H684"/>
    </row>
    <row r="685" spans="1:8" ht="15">
      <c r="A685"/>
      <c r="B685"/>
      <c r="D685"/>
      <c r="E685"/>
      <c r="F685"/>
      <c r="H685"/>
    </row>
    <row r="686" spans="1:8" ht="15">
      <c r="A686"/>
      <c r="B686"/>
      <c r="D686"/>
      <c r="E686"/>
      <c r="F686"/>
      <c r="H686"/>
    </row>
    <row r="687" spans="1:8" ht="15">
      <c r="A687"/>
      <c r="B687"/>
      <c r="D687"/>
      <c r="E687"/>
      <c r="F687"/>
      <c r="H687"/>
    </row>
    <row r="688" spans="1:8" ht="15">
      <c r="A688"/>
      <c r="B688"/>
      <c r="D688"/>
      <c r="E688"/>
      <c r="F688"/>
      <c r="H688"/>
    </row>
    <row r="689" spans="1:8" ht="15">
      <c r="A689"/>
      <c r="B689"/>
      <c r="D689"/>
      <c r="E689"/>
      <c r="F689"/>
      <c r="H689"/>
    </row>
    <row r="690" spans="1:8" ht="15">
      <c r="A690"/>
      <c r="B690"/>
      <c r="D690"/>
      <c r="E690"/>
      <c r="F690"/>
      <c r="H690"/>
    </row>
    <row r="691" spans="1:8" ht="15">
      <c r="A691"/>
      <c r="B691"/>
      <c r="D691"/>
      <c r="E691"/>
      <c r="F691"/>
      <c r="H691"/>
    </row>
    <row r="692" spans="1:8" ht="15">
      <c r="A692"/>
      <c r="B692"/>
      <c r="D692"/>
      <c r="E692"/>
      <c r="F692"/>
      <c r="H692"/>
    </row>
    <row r="693" spans="1:8" ht="15">
      <c r="A693"/>
      <c r="B693"/>
      <c r="D693"/>
      <c r="E693"/>
      <c r="F693"/>
      <c r="H693"/>
    </row>
    <row r="694" spans="1:8" ht="15">
      <c r="A694"/>
      <c r="B694"/>
      <c r="D694"/>
      <c r="E694"/>
      <c r="F694"/>
      <c r="H694"/>
    </row>
    <row r="695" spans="1:8" ht="15">
      <c r="A695"/>
      <c r="B695"/>
      <c r="D695"/>
      <c r="E695"/>
      <c r="F695"/>
      <c r="H695"/>
    </row>
    <row r="696" spans="1:8" ht="15">
      <c r="A696"/>
      <c r="B696"/>
      <c r="D696"/>
      <c r="E696"/>
      <c r="F696"/>
      <c r="H696"/>
    </row>
    <row r="697" spans="1:8" ht="15">
      <c r="A697"/>
      <c r="B697"/>
      <c r="D697"/>
      <c r="E697"/>
      <c r="F697"/>
      <c r="H697"/>
    </row>
    <row r="698" spans="1:8" ht="15">
      <c r="A698"/>
      <c r="B698"/>
      <c r="D698"/>
      <c r="E698"/>
      <c r="F698"/>
      <c r="H698"/>
    </row>
    <row r="699" spans="1:8" ht="15">
      <c r="A699"/>
      <c r="B699"/>
      <c r="D699"/>
      <c r="E699"/>
      <c r="F699"/>
      <c r="H699"/>
    </row>
    <row r="700" spans="1:8" ht="15">
      <c r="A700"/>
      <c r="B700"/>
      <c r="D700"/>
      <c r="E700"/>
      <c r="F700"/>
      <c r="H700"/>
    </row>
    <row r="701" spans="1:8" ht="15">
      <c r="A701"/>
      <c r="B701"/>
      <c r="D701"/>
      <c r="E701"/>
      <c r="F701"/>
      <c r="H701"/>
    </row>
    <row r="702" spans="1:8" ht="15">
      <c r="A702"/>
      <c r="B702"/>
      <c r="D702"/>
      <c r="E702"/>
      <c r="F702"/>
      <c r="H702"/>
    </row>
    <row r="703" spans="1:8" ht="15">
      <c r="A703"/>
      <c r="B703"/>
      <c r="D703"/>
      <c r="E703"/>
      <c r="F703"/>
      <c r="H703"/>
    </row>
    <row r="704" spans="1:8" ht="15">
      <c r="A704"/>
      <c r="B704"/>
      <c r="D704"/>
      <c r="E704"/>
      <c r="F704"/>
      <c r="H704"/>
    </row>
    <row r="705" spans="1:8" ht="15">
      <c r="A705"/>
      <c r="B705"/>
      <c r="D705"/>
      <c r="E705"/>
      <c r="F705"/>
      <c r="H705"/>
    </row>
    <row r="706" spans="1:8" ht="15">
      <c r="A706"/>
      <c r="B706"/>
      <c r="D706"/>
      <c r="E706"/>
      <c r="F706"/>
      <c r="H706"/>
    </row>
    <row r="707" spans="1:8" ht="15">
      <c r="A707"/>
      <c r="B707"/>
      <c r="D707"/>
      <c r="E707"/>
      <c r="F707"/>
      <c r="H707"/>
    </row>
    <row r="708" spans="1:8" ht="15">
      <c r="A708"/>
      <c r="B708"/>
      <c r="D708"/>
      <c r="E708"/>
      <c r="F708"/>
      <c r="H708"/>
    </row>
    <row r="709" spans="1:8" ht="15">
      <c r="A709"/>
      <c r="B709"/>
      <c r="D709"/>
      <c r="E709"/>
      <c r="F709"/>
      <c r="H709"/>
    </row>
    <row r="710" spans="1:8" ht="15">
      <c r="A710"/>
      <c r="B710"/>
      <c r="D710"/>
      <c r="E710"/>
      <c r="F710"/>
      <c r="H710"/>
    </row>
    <row r="711" spans="1:8" ht="15">
      <c r="A711"/>
      <c r="B711"/>
      <c r="D711"/>
      <c r="E711"/>
      <c r="F711"/>
      <c r="H711"/>
    </row>
    <row r="712" spans="1:8" ht="15">
      <c r="A712"/>
      <c r="B712"/>
      <c r="D712"/>
      <c r="E712"/>
      <c r="F712"/>
      <c r="H712"/>
    </row>
    <row r="713" spans="1:8" ht="15">
      <c r="A713"/>
      <c r="B713"/>
      <c r="D713"/>
      <c r="E713"/>
      <c r="F713"/>
      <c r="H713"/>
    </row>
    <row r="714" spans="1:8" ht="15">
      <c r="A714"/>
      <c r="B714"/>
      <c r="D714"/>
      <c r="E714"/>
      <c r="F714"/>
      <c r="H714"/>
    </row>
    <row r="715" spans="1:8" ht="15">
      <c r="A715"/>
      <c r="B715"/>
      <c r="D715"/>
      <c r="E715"/>
      <c r="F715"/>
      <c r="H715"/>
    </row>
    <row r="716" spans="1:8" ht="15">
      <c r="A716"/>
      <c r="B716"/>
      <c r="D716"/>
      <c r="E716"/>
      <c r="F716"/>
      <c r="H716"/>
    </row>
    <row r="717" spans="1:8" ht="15">
      <c r="A717"/>
      <c r="B717"/>
      <c r="D717"/>
      <c r="E717"/>
      <c r="F717"/>
      <c r="H717"/>
    </row>
    <row r="718" spans="1:8" ht="15">
      <c r="A718"/>
      <c r="B718"/>
      <c r="D718"/>
      <c r="E718"/>
      <c r="F718"/>
      <c r="H718"/>
    </row>
    <row r="719" spans="1:8" ht="15">
      <c r="A719"/>
      <c r="B719"/>
      <c r="D719"/>
      <c r="E719"/>
      <c r="F719"/>
      <c r="H719"/>
    </row>
    <row r="720" spans="1:8" ht="15">
      <c r="A720"/>
      <c r="B720"/>
      <c r="D720"/>
      <c r="E720"/>
      <c r="F720"/>
      <c r="H720"/>
    </row>
    <row r="721" spans="1:8" ht="15">
      <c r="A721"/>
      <c r="B721"/>
      <c r="D721"/>
      <c r="E721"/>
      <c r="F721"/>
      <c r="H721"/>
    </row>
    <row r="722" spans="1:8" ht="15">
      <c r="A722"/>
      <c r="B722"/>
      <c r="D722"/>
      <c r="E722"/>
      <c r="F722"/>
      <c r="H722"/>
    </row>
    <row r="723" spans="1:8" ht="15">
      <c r="A723"/>
      <c r="B723"/>
      <c r="D723"/>
      <c r="E723"/>
      <c r="F723"/>
      <c r="H723"/>
    </row>
    <row r="724" spans="1:8" ht="15">
      <c r="A724"/>
      <c r="B724"/>
      <c r="D724"/>
      <c r="E724"/>
      <c r="F724"/>
      <c r="H724"/>
    </row>
    <row r="725" spans="1:8" ht="15">
      <c r="A725"/>
      <c r="B725"/>
      <c r="D725"/>
      <c r="E725"/>
      <c r="F725"/>
      <c r="H725"/>
    </row>
    <row r="726" spans="1:8" ht="15">
      <c r="A726"/>
      <c r="B726"/>
      <c r="D726"/>
      <c r="E726"/>
      <c r="F726"/>
      <c r="H726"/>
    </row>
    <row r="727" spans="1:8" ht="15">
      <c r="A727"/>
      <c r="B727"/>
      <c r="D727"/>
      <c r="E727"/>
      <c r="F727"/>
      <c r="H727"/>
    </row>
    <row r="728" spans="1:8" ht="15">
      <c r="A728"/>
      <c r="B728"/>
      <c r="D728"/>
      <c r="E728"/>
      <c r="F728"/>
      <c r="H728"/>
    </row>
    <row r="729" spans="1:8" ht="15">
      <c r="A729"/>
      <c r="B729"/>
      <c r="D729"/>
      <c r="E729"/>
      <c r="F729"/>
      <c r="H729"/>
    </row>
    <row r="730" spans="1:8" ht="15">
      <c r="A730"/>
      <c r="B730"/>
      <c r="D730"/>
      <c r="E730"/>
      <c r="F730"/>
      <c r="H730"/>
    </row>
    <row r="731" spans="1:8" ht="15">
      <c r="A731"/>
      <c r="B731"/>
      <c r="D731"/>
      <c r="E731"/>
      <c r="F731"/>
      <c r="H731"/>
    </row>
    <row r="732" spans="1:8" ht="15">
      <c r="A732"/>
      <c r="B732"/>
      <c r="D732"/>
      <c r="E732"/>
      <c r="F732"/>
      <c r="H732"/>
    </row>
    <row r="733" spans="1:8" ht="15">
      <c r="A733"/>
      <c r="B733"/>
      <c r="D733"/>
      <c r="E733"/>
      <c r="F733"/>
      <c r="H733"/>
    </row>
    <row r="734" spans="1:8" ht="15">
      <c r="A734"/>
      <c r="B734"/>
      <c r="D734"/>
      <c r="E734"/>
      <c r="F734"/>
      <c r="H734"/>
    </row>
    <row r="735" spans="1:8" ht="15">
      <c r="A735"/>
      <c r="B735"/>
      <c r="D735"/>
      <c r="E735"/>
      <c r="F735"/>
      <c r="H735"/>
    </row>
    <row r="736" spans="1:8" ht="15">
      <c r="A736"/>
      <c r="B736"/>
      <c r="D736"/>
      <c r="E736"/>
      <c r="F736"/>
      <c r="H736"/>
    </row>
    <row r="737" spans="1:8" ht="15">
      <c r="A737"/>
      <c r="B737"/>
      <c r="D737"/>
      <c r="E737"/>
      <c r="F737"/>
      <c r="H737"/>
    </row>
    <row r="738" spans="1:8" ht="15">
      <c r="A738"/>
      <c r="B738"/>
      <c r="D738"/>
      <c r="E738"/>
      <c r="F738"/>
      <c r="H738"/>
    </row>
    <row r="739" spans="1:8" ht="15">
      <c r="A739"/>
      <c r="B739"/>
      <c r="D739"/>
      <c r="E739"/>
      <c r="F739"/>
      <c r="H739"/>
    </row>
    <row r="740" spans="1:8" ht="15">
      <c r="A740"/>
      <c r="B740"/>
      <c r="D740"/>
      <c r="E740"/>
      <c r="F740"/>
      <c r="H740"/>
    </row>
    <row r="741" spans="1:8" ht="15">
      <c r="A741"/>
      <c r="B741"/>
      <c r="D741"/>
      <c r="E741"/>
      <c r="F741"/>
      <c r="H741"/>
    </row>
    <row r="742" spans="1:8" ht="15">
      <c r="A742"/>
      <c r="B742"/>
      <c r="D742"/>
      <c r="E742"/>
      <c r="F742"/>
      <c r="H742"/>
    </row>
    <row r="743" spans="1:8" ht="15">
      <c r="A743"/>
      <c r="B743"/>
      <c r="D743"/>
      <c r="E743"/>
      <c r="F743"/>
      <c r="H743"/>
    </row>
    <row r="744" spans="1:8" ht="15">
      <c r="A744"/>
      <c r="B744"/>
      <c r="D744"/>
      <c r="E744"/>
      <c r="F744"/>
      <c r="H744"/>
    </row>
    <row r="745" spans="1:8" ht="15">
      <c r="A745"/>
      <c r="B745"/>
      <c r="D745"/>
      <c r="E745"/>
      <c r="F745"/>
      <c r="H745"/>
    </row>
    <row r="746" spans="1:8" ht="15">
      <c r="A746"/>
      <c r="B746"/>
      <c r="D746"/>
      <c r="E746"/>
      <c r="F746"/>
      <c r="H746"/>
    </row>
    <row r="747" spans="1:8" ht="15">
      <c r="A747"/>
      <c r="B747"/>
      <c r="D747"/>
      <c r="E747"/>
      <c r="F747"/>
      <c r="H747"/>
    </row>
    <row r="748" spans="1:8" ht="15">
      <c r="A748"/>
      <c r="B748"/>
      <c r="D748"/>
      <c r="E748"/>
      <c r="F748"/>
      <c r="H748"/>
    </row>
    <row r="749" spans="1:8" ht="15">
      <c r="A749"/>
      <c r="B749"/>
      <c r="D749"/>
      <c r="E749"/>
      <c r="F749"/>
      <c r="H749"/>
    </row>
    <row r="750" spans="1:8" ht="15">
      <c r="A750"/>
      <c r="B750"/>
      <c r="D750"/>
      <c r="E750"/>
      <c r="F750"/>
      <c r="H750"/>
    </row>
    <row r="751" spans="1:8" ht="15">
      <c r="A751"/>
      <c r="B751"/>
      <c r="D751"/>
      <c r="E751"/>
      <c r="F751"/>
      <c r="H751"/>
    </row>
    <row r="752" spans="1:8" ht="15">
      <c r="A752"/>
      <c r="B752"/>
      <c r="D752"/>
      <c r="E752"/>
      <c r="F752"/>
      <c r="H752"/>
    </row>
    <row r="753" spans="1:8" ht="15">
      <c r="A753"/>
      <c r="B753"/>
      <c r="D753"/>
      <c r="E753"/>
      <c r="F753"/>
      <c r="H753"/>
    </row>
    <row r="754" spans="1:8" ht="15">
      <c r="A754"/>
      <c r="B754"/>
      <c r="D754"/>
      <c r="E754"/>
      <c r="F754"/>
      <c r="H754"/>
    </row>
    <row r="755" spans="1:8" ht="15">
      <c r="A755"/>
      <c r="B755"/>
      <c r="D755"/>
      <c r="E755"/>
      <c r="F755"/>
      <c r="H755"/>
    </row>
    <row r="756" spans="1:8" ht="15">
      <c r="A756"/>
      <c r="B756"/>
      <c r="D756"/>
      <c r="E756"/>
      <c r="F756"/>
      <c r="H756"/>
    </row>
    <row r="757" spans="1:8" ht="15">
      <c r="A757"/>
      <c r="B757"/>
      <c r="D757"/>
      <c r="E757"/>
      <c r="F757"/>
      <c r="H757"/>
    </row>
    <row r="758" spans="1:8" ht="15">
      <c r="A758"/>
      <c r="B758"/>
      <c r="D758"/>
      <c r="E758"/>
      <c r="F758"/>
      <c r="H758"/>
    </row>
    <row r="759" spans="1:8" ht="15">
      <c r="A759"/>
      <c r="B759"/>
      <c r="D759"/>
      <c r="E759"/>
      <c r="F759"/>
      <c r="H759"/>
    </row>
    <row r="760" spans="1:8" ht="15">
      <c r="A760"/>
      <c r="B760"/>
      <c r="D760"/>
      <c r="E760"/>
      <c r="F760"/>
      <c r="H760"/>
    </row>
    <row r="761" spans="1:8" ht="15">
      <c r="A761"/>
      <c r="B761"/>
      <c r="D761"/>
      <c r="E761"/>
      <c r="F761"/>
      <c r="H761"/>
    </row>
    <row r="762" spans="1:8" ht="15">
      <c r="A762"/>
      <c r="B762"/>
      <c r="D762"/>
      <c r="E762"/>
      <c r="F762"/>
      <c r="H762"/>
    </row>
    <row r="763" spans="1:8" ht="15">
      <c r="A763"/>
      <c r="B763"/>
      <c r="D763"/>
      <c r="E763"/>
      <c r="F763"/>
      <c r="H763"/>
    </row>
    <row r="764" spans="1:8" ht="15">
      <c r="A764"/>
      <c r="B764"/>
      <c r="D764"/>
      <c r="E764"/>
      <c r="F764"/>
      <c r="H764"/>
    </row>
    <row r="765" spans="1:8" ht="15">
      <c r="A765"/>
      <c r="B765"/>
      <c r="D765"/>
      <c r="E765"/>
      <c r="F765"/>
      <c r="H765"/>
    </row>
    <row r="766" spans="1:8" ht="15">
      <c r="A766"/>
      <c r="B766"/>
      <c r="D766"/>
      <c r="E766"/>
      <c r="F766"/>
      <c r="H766"/>
    </row>
    <row r="767" spans="1:8" ht="15">
      <c r="A767"/>
      <c r="B767"/>
      <c r="D767"/>
      <c r="E767"/>
      <c r="F767"/>
      <c r="H767"/>
    </row>
    <row r="768" spans="1:8" ht="15">
      <c r="A768"/>
      <c r="B768"/>
      <c r="D768"/>
      <c r="E768"/>
      <c r="F768"/>
      <c r="H768"/>
    </row>
    <row r="769" spans="1:8" ht="15">
      <c r="A769"/>
      <c r="B769"/>
      <c r="D769"/>
      <c r="E769"/>
      <c r="F769"/>
      <c r="H769"/>
    </row>
    <row r="770" spans="1:8" ht="15">
      <c r="A770"/>
      <c r="B770"/>
      <c r="D770"/>
      <c r="E770"/>
      <c r="F770"/>
      <c r="H770"/>
    </row>
    <row r="771" spans="1:8" ht="15">
      <c r="A771"/>
      <c r="B771"/>
      <c r="D771"/>
      <c r="E771"/>
      <c r="F771"/>
      <c r="H771"/>
    </row>
    <row r="772" spans="1:8" ht="15">
      <c r="A772"/>
      <c r="B772"/>
      <c r="D772"/>
      <c r="E772"/>
      <c r="F772"/>
      <c r="H772"/>
    </row>
    <row r="773" spans="1:8" ht="15">
      <c r="A773"/>
      <c r="B773"/>
      <c r="D773"/>
      <c r="E773"/>
      <c r="F773"/>
      <c r="H773"/>
    </row>
    <row r="774" spans="1:8" ht="15">
      <c r="A774"/>
      <c r="B774"/>
      <c r="D774"/>
      <c r="E774"/>
      <c r="F774"/>
      <c r="H774"/>
    </row>
    <row r="775" spans="1:8" ht="15">
      <c r="A775"/>
      <c r="B775"/>
      <c r="D775"/>
      <c r="E775"/>
      <c r="F775"/>
      <c r="H775"/>
    </row>
    <row r="776" spans="1:8" ht="15">
      <c r="A776"/>
      <c r="B776"/>
      <c r="D776"/>
      <c r="E776"/>
      <c r="F776"/>
      <c r="H776"/>
    </row>
    <row r="777" spans="1:8" ht="15">
      <c r="A777"/>
      <c r="B777"/>
      <c r="D777"/>
      <c r="E777"/>
      <c r="F777"/>
      <c r="H777"/>
    </row>
    <row r="778" spans="1:8" ht="15">
      <c r="A778"/>
      <c r="B778"/>
      <c r="D778"/>
      <c r="E778"/>
      <c r="F778"/>
      <c r="H778"/>
    </row>
    <row r="779" spans="1:8" ht="15">
      <c r="A779"/>
      <c r="B779"/>
      <c r="D779"/>
      <c r="E779"/>
      <c r="F779"/>
      <c r="H779"/>
    </row>
    <row r="780" spans="1:8" ht="15">
      <c r="A780"/>
      <c r="B780"/>
      <c r="D780"/>
      <c r="E780"/>
      <c r="F780"/>
      <c r="H780"/>
    </row>
    <row r="781" spans="1:8" ht="15">
      <c r="A781"/>
      <c r="B781"/>
      <c r="D781"/>
      <c r="E781"/>
      <c r="F781"/>
      <c r="H781"/>
    </row>
    <row r="782" spans="1:8" ht="15">
      <c r="A782"/>
      <c r="B782"/>
      <c r="D782"/>
      <c r="E782"/>
      <c r="F782"/>
      <c r="H782"/>
    </row>
    <row r="783" spans="1:8" ht="15">
      <c r="A783"/>
      <c r="B783"/>
      <c r="D783"/>
      <c r="E783"/>
      <c r="F783"/>
      <c r="H783"/>
    </row>
    <row r="784" spans="1:8" ht="15">
      <c r="A784"/>
      <c r="B784"/>
      <c r="D784"/>
      <c r="E784"/>
      <c r="F784"/>
      <c r="H784"/>
    </row>
    <row r="785" spans="1:8" ht="15">
      <c r="A785"/>
      <c r="B785"/>
      <c r="D785"/>
      <c r="E785"/>
      <c r="F785"/>
      <c r="H785"/>
    </row>
    <row r="786" spans="1:8" ht="15">
      <c r="A786"/>
      <c r="B786"/>
      <c r="D786"/>
      <c r="E786"/>
      <c r="F786"/>
      <c r="H786"/>
    </row>
    <row r="787" spans="1:8" ht="15">
      <c r="A787"/>
      <c r="B787"/>
      <c r="D787"/>
      <c r="E787"/>
      <c r="F787"/>
      <c r="H787"/>
    </row>
    <row r="788" spans="1:8" ht="15">
      <c r="A788"/>
      <c r="B788"/>
      <c r="D788"/>
      <c r="E788"/>
      <c r="F788"/>
      <c r="H788"/>
    </row>
    <row r="789" spans="1:8" ht="15">
      <c r="A789"/>
      <c r="B789"/>
      <c r="D789"/>
      <c r="E789"/>
      <c r="F789"/>
      <c r="H789"/>
    </row>
    <row r="790" spans="1:8" ht="15">
      <c r="A790"/>
      <c r="B790"/>
      <c r="D790"/>
      <c r="E790"/>
      <c r="F790"/>
      <c r="H790"/>
    </row>
    <row r="791" spans="1:8" ht="15">
      <c r="A791"/>
      <c r="B791"/>
      <c r="D791"/>
      <c r="E791"/>
      <c r="F791"/>
      <c r="H791"/>
    </row>
    <row r="792" spans="1:8" ht="15">
      <c r="A792"/>
      <c r="B792"/>
      <c r="D792"/>
      <c r="E792"/>
      <c r="F792"/>
      <c r="H792"/>
    </row>
    <row r="793" spans="1:8" ht="15">
      <c r="A793"/>
      <c r="B793"/>
      <c r="D793"/>
      <c r="E793"/>
      <c r="F793"/>
      <c r="H793"/>
    </row>
    <row r="794" spans="1:8" ht="15">
      <c r="A794"/>
      <c r="B794"/>
      <c r="D794"/>
      <c r="E794"/>
      <c r="F794"/>
      <c r="H794"/>
    </row>
    <row r="795" spans="1:8" ht="15">
      <c r="A795"/>
      <c r="B795"/>
      <c r="D795"/>
      <c r="E795"/>
      <c r="F795"/>
      <c r="H795"/>
    </row>
    <row r="796" spans="1:8" ht="15">
      <c r="A796"/>
      <c r="B796"/>
      <c r="D796"/>
      <c r="E796"/>
      <c r="F796"/>
      <c r="H796"/>
    </row>
    <row r="797" spans="1:8" ht="15">
      <c r="A797"/>
      <c r="B797"/>
      <c r="D797"/>
      <c r="E797"/>
      <c r="F797"/>
      <c r="H797"/>
    </row>
    <row r="798" spans="1:8" ht="15">
      <c r="A798"/>
      <c r="B798"/>
      <c r="D798"/>
      <c r="E798"/>
      <c r="F798"/>
      <c r="H798"/>
    </row>
    <row r="799" spans="1:8" ht="15">
      <c r="A799"/>
      <c r="B799"/>
      <c r="D799"/>
      <c r="E799"/>
      <c r="F799"/>
      <c r="H799"/>
    </row>
    <row r="800" spans="1:8" ht="15">
      <c r="A800"/>
      <c r="B800"/>
      <c r="D800"/>
      <c r="E800"/>
      <c r="F800"/>
      <c r="H800"/>
    </row>
    <row r="801" spans="1:8" ht="15">
      <c r="A801"/>
      <c r="B801"/>
      <c r="D801"/>
      <c r="E801"/>
      <c r="F801"/>
      <c r="H801"/>
    </row>
    <row r="802" spans="1:8" ht="15">
      <c r="A802"/>
      <c r="B802"/>
      <c r="D802"/>
      <c r="E802"/>
      <c r="F802"/>
      <c r="H802"/>
    </row>
    <row r="803" spans="1:8" ht="15">
      <c r="A803"/>
      <c r="B803"/>
      <c r="D803"/>
      <c r="E803"/>
      <c r="F803"/>
      <c r="H803"/>
    </row>
    <row r="804" spans="1:8" ht="15">
      <c r="A804"/>
      <c r="B804"/>
      <c r="D804"/>
      <c r="E804"/>
      <c r="F804"/>
      <c r="H804"/>
    </row>
    <row r="805" spans="1:8" ht="15">
      <c r="A805"/>
      <c r="B805"/>
      <c r="D805"/>
      <c r="E805"/>
      <c r="F805"/>
      <c r="H805"/>
    </row>
    <row r="806" spans="1:8" ht="15">
      <c r="A806"/>
      <c r="B806"/>
      <c r="D806"/>
      <c r="E806"/>
      <c r="F806"/>
      <c r="H806"/>
    </row>
    <row r="807" spans="1:8" ht="15">
      <c r="A807"/>
      <c r="B807"/>
      <c r="D807"/>
      <c r="E807"/>
      <c r="F807"/>
      <c r="H807"/>
    </row>
    <row r="808" spans="1:8" ht="15">
      <c r="A808"/>
      <c r="B808"/>
      <c r="D808"/>
      <c r="E808"/>
      <c r="F808"/>
      <c r="H808"/>
    </row>
    <row r="809" spans="1:8" ht="15">
      <c r="A809"/>
      <c r="B809"/>
      <c r="D809"/>
      <c r="E809"/>
      <c r="F809"/>
      <c r="H809"/>
    </row>
    <row r="810" spans="1:8" ht="15">
      <c r="A810"/>
      <c r="B810"/>
      <c r="D810"/>
      <c r="E810"/>
      <c r="F810"/>
      <c r="H810"/>
    </row>
    <row r="811" spans="1:8" ht="15">
      <c r="A811"/>
      <c r="B811"/>
      <c r="D811"/>
      <c r="E811"/>
      <c r="F811"/>
      <c r="H811"/>
    </row>
    <row r="812" spans="1:8" ht="15">
      <c r="A812"/>
      <c r="B812"/>
      <c r="D812"/>
      <c r="E812"/>
      <c r="F812"/>
      <c r="H812"/>
    </row>
    <row r="813" spans="1:8" ht="15">
      <c r="A813"/>
      <c r="B813"/>
      <c r="D813"/>
      <c r="E813"/>
      <c r="F813"/>
      <c r="H813"/>
    </row>
    <row r="814" spans="1:8" ht="15">
      <c r="A814"/>
      <c r="B814"/>
      <c r="D814"/>
      <c r="E814"/>
      <c r="F814"/>
      <c r="H814"/>
    </row>
    <row r="815" spans="1:8" ht="15">
      <c r="A815"/>
      <c r="B815"/>
      <c r="D815"/>
      <c r="E815"/>
      <c r="F815"/>
      <c r="H815"/>
    </row>
    <row r="816" spans="1:8" ht="15">
      <c r="A816"/>
      <c r="B816"/>
      <c r="D816"/>
      <c r="E816"/>
      <c r="F816"/>
      <c r="H816"/>
    </row>
    <row r="817" spans="1:8" ht="15">
      <c r="A817"/>
      <c r="B817"/>
      <c r="D817"/>
      <c r="E817"/>
      <c r="F817"/>
      <c r="H817"/>
    </row>
    <row r="818" spans="1:8" ht="15">
      <c r="A818"/>
      <c r="B818"/>
      <c r="D818"/>
      <c r="E818"/>
      <c r="F818"/>
      <c r="H818"/>
    </row>
    <row r="819" spans="1:8" ht="15">
      <c r="A819"/>
      <c r="B819"/>
      <c r="D819"/>
      <c r="E819"/>
      <c r="F819"/>
      <c r="H819"/>
    </row>
    <row r="820" spans="1:8" ht="15">
      <c r="A820"/>
      <c r="B820"/>
      <c r="D820"/>
      <c r="E820"/>
      <c r="F820"/>
      <c r="H820"/>
    </row>
    <row r="821" spans="1:8" ht="15">
      <c r="A821"/>
      <c r="B821"/>
      <c r="D821"/>
      <c r="E821"/>
      <c r="F821"/>
      <c r="H821"/>
    </row>
    <row r="822" spans="1:8" ht="15">
      <c r="A822"/>
      <c r="B822"/>
      <c r="D822"/>
      <c r="E822"/>
      <c r="F822"/>
      <c r="H822"/>
    </row>
    <row r="823" spans="1:8" ht="15">
      <c r="A823"/>
      <c r="B823"/>
      <c r="D823"/>
      <c r="E823"/>
      <c r="F823"/>
      <c r="H823"/>
    </row>
    <row r="824" spans="1:8" ht="15">
      <c r="A824"/>
      <c r="B824"/>
      <c r="D824"/>
      <c r="E824"/>
      <c r="F824"/>
      <c r="H824"/>
    </row>
    <row r="825" spans="1:8" ht="15">
      <c r="A825"/>
      <c r="B825"/>
      <c r="D825"/>
      <c r="E825"/>
      <c r="F825"/>
      <c r="H825"/>
    </row>
    <row r="826" spans="1:8" ht="15">
      <c r="A826"/>
      <c r="B826"/>
      <c r="D826"/>
      <c r="E826"/>
      <c r="F826"/>
      <c r="H826"/>
    </row>
    <row r="827" spans="1:8" ht="15">
      <c r="A827"/>
      <c r="B827"/>
      <c r="D827"/>
      <c r="E827"/>
      <c r="F827"/>
      <c r="H827"/>
    </row>
    <row r="828" spans="1:8" ht="15">
      <c r="A828"/>
      <c r="B828"/>
      <c r="D828"/>
      <c r="E828"/>
      <c r="F828"/>
      <c r="H828"/>
    </row>
    <row r="829" spans="1:8" ht="15">
      <c r="A829"/>
      <c r="B829"/>
      <c r="D829"/>
      <c r="E829"/>
      <c r="F829"/>
      <c r="H829"/>
    </row>
    <row r="830" spans="1:8" ht="15">
      <c r="A830"/>
      <c r="B830"/>
      <c r="D830"/>
      <c r="E830"/>
      <c r="F830"/>
      <c r="H830"/>
    </row>
    <row r="831" spans="1:8" ht="15">
      <c r="A831"/>
      <c r="B831"/>
      <c r="D831"/>
      <c r="E831"/>
      <c r="F831"/>
      <c r="H831"/>
    </row>
    <row r="832" spans="1:8" ht="15">
      <c r="A832"/>
      <c r="B832"/>
      <c r="D832"/>
      <c r="E832"/>
      <c r="F832"/>
      <c r="H832"/>
    </row>
    <row r="833" spans="1:8" ht="15">
      <c r="A833"/>
      <c r="B833"/>
      <c r="D833"/>
      <c r="E833"/>
      <c r="F833"/>
      <c r="H833"/>
    </row>
    <row r="834" spans="1:8" ht="15">
      <c r="A834"/>
      <c r="B834"/>
      <c r="D834"/>
      <c r="E834"/>
      <c r="F834"/>
      <c r="H834"/>
    </row>
    <row r="835" spans="1:8" ht="15">
      <c r="A835"/>
      <c r="B835"/>
      <c r="D835"/>
      <c r="E835"/>
      <c r="F835"/>
      <c r="H835"/>
    </row>
    <row r="836" spans="1:8" ht="15">
      <c r="A836"/>
      <c r="B836"/>
      <c r="D836"/>
      <c r="E836"/>
      <c r="F836"/>
      <c r="H836"/>
    </row>
    <row r="837" spans="1:8" ht="15">
      <c r="A837"/>
      <c r="B837"/>
      <c r="D837"/>
      <c r="E837"/>
      <c r="F837"/>
      <c r="H837"/>
    </row>
    <row r="838" spans="1:8" ht="15">
      <c r="A838"/>
      <c r="B838"/>
      <c r="D838"/>
      <c r="E838"/>
      <c r="F838"/>
      <c r="H838"/>
    </row>
    <row r="839" spans="1:8" ht="15">
      <c r="A839"/>
      <c r="B839"/>
      <c r="D839"/>
      <c r="E839"/>
      <c r="F839"/>
      <c r="H839"/>
    </row>
    <row r="840" spans="1:8" ht="15">
      <c r="A840"/>
      <c r="B840"/>
      <c r="D840"/>
      <c r="E840"/>
      <c r="F840"/>
      <c r="H840"/>
    </row>
    <row r="841" spans="1:8" ht="15">
      <c r="A841"/>
      <c r="B841"/>
      <c r="D841"/>
      <c r="E841"/>
      <c r="F841"/>
      <c r="H841"/>
    </row>
    <row r="842" spans="1:8" ht="15">
      <c r="A842"/>
      <c r="B842"/>
      <c r="D842"/>
      <c r="E842"/>
      <c r="F842"/>
      <c r="H842"/>
    </row>
    <row r="843" spans="1:8" ht="15">
      <c r="A843"/>
      <c r="B843"/>
      <c r="D843"/>
      <c r="E843"/>
      <c r="F843"/>
      <c r="H843"/>
    </row>
    <row r="844" spans="1:8" ht="15">
      <c r="A844"/>
      <c r="B844"/>
      <c r="D844"/>
      <c r="E844"/>
      <c r="F844"/>
      <c r="H844"/>
    </row>
    <row r="845" spans="1:8" ht="15">
      <c r="A845"/>
      <c r="B845"/>
      <c r="D845"/>
      <c r="E845"/>
      <c r="F845"/>
      <c r="H845"/>
    </row>
    <row r="846" spans="1:8" ht="15">
      <c r="A846"/>
      <c r="B846"/>
      <c r="D846"/>
      <c r="E846"/>
      <c r="F846"/>
      <c r="H846"/>
    </row>
    <row r="847" spans="1:8" ht="15">
      <c r="A847"/>
      <c r="B847"/>
      <c r="D847"/>
      <c r="E847"/>
      <c r="F847"/>
      <c r="H847"/>
    </row>
    <row r="848" spans="1:8" ht="15">
      <c r="A848"/>
      <c r="B848"/>
      <c r="D848"/>
      <c r="E848"/>
      <c r="F848"/>
      <c r="H848"/>
    </row>
    <row r="849" spans="1:8" ht="15">
      <c r="A849"/>
      <c r="B849"/>
      <c r="D849"/>
      <c r="E849"/>
      <c r="F849"/>
      <c r="H849"/>
    </row>
    <row r="850" spans="1:8" ht="15">
      <c r="A850"/>
      <c r="B850"/>
      <c r="D850"/>
      <c r="E850"/>
      <c r="F850"/>
      <c r="H850"/>
    </row>
    <row r="851" spans="1:8" ht="15">
      <c r="A851"/>
      <c r="B851"/>
      <c r="D851"/>
      <c r="E851"/>
      <c r="F851"/>
      <c r="H851"/>
    </row>
    <row r="852" spans="1:8" ht="15">
      <c r="A852"/>
      <c r="B852"/>
      <c r="D852"/>
      <c r="E852"/>
      <c r="F852"/>
      <c r="H852"/>
    </row>
    <row r="853" spans="1:8" ht="15">
      <c r="A853"/>
      <c r="B853"/>
      <c r="D853"/>
      <c r="E853"/>
      <c r="F853"/>
      <c r="H853"/>
    </row>
    <row r="854" spans="1:8" ht="15">
      <c r="A854"/>
      <c r="B854"/>
      <c r="D854"/>
      <c r="E854"/>
      <c r="F854"/>
      <c r="H854"/>
    </row>
    <row r="855" spans="1:8" ht="15">
      <c r="A855"/>
      <c r="B855"/>
      <c r="D855"/>
      <c r="E855"/>
      <c r="F855"/>
      <c r="H855"/>
    </row>
    <row r="856" spans="1:8" ht="15">
      <c r="A856"/>
      <c r="B856"/>
      <c r="D856"/>
      <c r="E856"/>
      <c r="F856"/>
      <c r="H856"/>
    </row>
    <row r="857" spans="1:8" ht="15">
      <c r="A857"/>
      <c r="B857"/>
      <c r="D857"/>
      <c r="E857"/>
      <c r="F857"/>
      <c r="H857"/>
    </row>
    <row r="858" spans="1:8" ht="15">
      <c r="A858"/>
      <c r="B858"/>
      <c r="D858"/>
      <c r="E858"/>
      <c r="F858"/>
      <c r="H858"/>
    </row>
    <row r="859" spans="1:8" ht="15">
      <c r="A859"/>
      <c r="B859"/>
      <c r="D859"/>
      <c r="E859"/>
      <c r="F859"/>
      <c r="H859"/>
    </row>
    <row r="860" spans="1:8" ht="15">
      <c r="A860"/>
      <c r="B860"/>
      <c r="D860"/>
      <c r="E860"/>
      <c r="F860"/>
      <c r="H860"/>
    </row>
    <row r="861" spans="1:8" ht="15">
      <c r="A861"/>
      <c r="B861"/>
      <c r="D861"/>
      <c r="E861"/>
      <c r="F861"/>
      <c r="H861"/>
    </row>
    <row r="862" spans="1:8" ht="15">
      <c r="A862"/>
      <c r="B862"/>
      <c r="D862"/>
      <c r="E862"/>
      <c r="F862"/>
      <c r="H862"/>
    </row>
    <row r="863" spans="1:8" ht="15">
      <c r="A863"/>
      <c r="B863"/>
      <c r="D863"/>
      <c r="E863"/>
      <c r="F863"/>
      <c r="H863"/>
    </row>
    <row r="864" spans="1:8" ht="15">
      <c r="A864"/>
      <c r="B864"/>
      <c r="D864"/>
      <c r="E864"/>
      <c r="F864"/>
      <c r="H864"/>
    </row>
    <row r="865" spans="1:8" ht="15">
      <c r="A865"/>
      <c r="B865"/>
      <c r="D865"/>
      <c r="E865"/>
      <c r="F865"/>
      <c r="H865"/>
    </row>
    <row r="866" spans="1:8" ht="15">
      <c r="A866"/>
      <c r="B866"/>
      <c r="D866"/>
      <c r="E866"/>
      <c r="F866"/>
      <c r="H866"/>
    </row>
    <row r="867" spans="1:8" ht="15">
      <c r="A867"/>
      <c r="B867"/>
      <c r="D867"/>
      <c r="E867"/>
      <c r="F867"/>
      <c r="H867"/>
    </row>
    <row r="868" spans="1:8" ht="15">
      <c r="A868"/>
      <c r="B868"/>
      <c r="D868"/>
      <c r="E868"/>
      <c r="F868"/>
      <c r="H868"/>
    </row>
    <row r="869" spans="1:8" ht="15">
      <c r="A869"/>
      <c r="B869"/>
      <c r="D869"/>
      <c r="E869"/>
      <c r="F869"/>
      <c r="H869"/>
    </row>
    <row r="870" spans="1:8" ht="15">
      <c r="A870"/>
      <c r="B870"/>
      <c r="D870"/>
      <c r="E870"/>
      <c r="F870"/>
      <c r="H870"/>
    </row>
    <row r="871" spans="1:8" ht="15">
      <c r="A871"/>
      <c r="B871"/>
      <c r="D871"/>
      <c r="E871"/>
      <c r="F871"/>
      <c r="H871"/>
    </row>
    <row r="872" spans="1:8" ht="15">
      <c r="A872"/>
      <c r="B872"/>
      <c r="D872"/>
      <c r="E872"/>
      <c r="F872"/>
      <c r="H872"/>
    </row>
    <row r="873" spans="1:8" ht="15">
      <c r="A873"/>
      <c r="B873"/>
      <c r="D873"/>
      <c r="E873"/>
      <c r="F873"/>
      <c r="H873"/>
    </row>
    <row r="874" spans="1:8" ht="15">
      <c r="A874"/>
      <c r="B874"/>
      <c r="D874"/>
      <c r="E874"/>
      <c r="F874"/>
      <c r="H874"/>
    </row>
    <row r="875" spans="1:8" ht="15">
      <c r="A875"/>
      <c r="B875"/>
      <c r="D875"/>
      <c r="E875"/>
      <c r="F875"/>
      <c r="H875"/>
    </row>
    <row r="876" spans="1:8" ht="15">
      <c r="A876"/>
      <c r="B876"/>
      <c r="D876"/>
      <c r="E876"/>
      <c r="F876"/>
      <c r="H876"/>
    </row>
    <row r="877" spans="1:8" ht="15">
      <c r="A877"/>
      <c r="B877"/>
      <c r="D877"/>
      <c r="E877"/>
      <c r="F877"/>
      <c r="H877"/>
    </row>
    <row r="878" spans="1:8" ht="15">
      <c r="A878"/>
      <c r="B878"/>
      <c r="D878"/>
      <c r="E878"/>
      <c r="F878"/>
      <c r="H878"/>
    </row>
    <row r="879" spans="1:8" ht="15">
      <c r="A879"/>
      <c r="B879"/>
      <c r="D879"/>
      <c r="E879"/>
      <c r="F879"/>
      <c r="H879"/>
    </row>
    <row r="880" spans="1:8" ht="15">
      <c r="A880"/>
      <c r="B880"/>
      <c r="D880"/>
      <c r="E880"/>
      <c r="F880"/>
      <c r="H880"/>
    </row>
    <row r="881" spans="1:8" ht="15">
      <c r="A881"/>
      <c r="B881"/>
      <c r="D881"/>
      <c r="E881"/>
      <c r="F881"/>
      <c r="H881"/>
    </row>
    <row r="882" spans="1:8" ht="15">
      <c r="A882"/>
      <c r="B882"/>
      <c r="D882"/>
      <c r="E882"/>
      <c r="F882"/>
      <c r="H882"/>
    </row>
    <row r="883" spans="1:8" ht="15">
      <c r="A883"/>
      <c r="B883"/>
      <c r="D883"/>
      <c r="E883"/>
      <c r="F883"/>
      <c r="H883"/>
    </row>
    <row r="884" spans="1:8" ht="15">
      <c r="A884"/>
      <c r="B884"/>
      <c r="D884"/>
      <c r="E884"/>
      <c r="F884"/>
      <c r="H884"/>
    </row>
    <row r="885" spans="1:8" ht="15">
      <c r="A885"/>
      <c r="B885"/>
      <c r="D885"/>
      <c r="E885"/>
      <c r="F885"/>
      <c r="H885"/>
    </row>
    <row r="886" spans="1:8" ht="15">
      <c r="A886"/>
      <c r="B886"/>
      <c r="D886"/>
      <c r="E886"/>
      <c r="F886"/>
      <c r="H886"/>
    </row>
    <row r="887" spans="1:8" ht="15">
      <c r="A887"/>
      <c r="B887"/>
      <c r="D887"/>
      <c r="E887"/>
      <c r="F887"/>
      <c r="H887"/>
    </row>
    <row r="888" spans="1:8" ht="15">
      <c r="A888"/>
      <c r="B888"/>
      <c r="D888"/>
      <c r="E888"/>
      <c r="F888"/>
      <c r="H888"/>
    </row>
    <row r="889" spans="1:8" ht="15">
      <c r="A889"/>
      <c r="B889"/>
      <c r="D889"/>
      <c r="E889"/>
      <c r="F889"/>
      <c r="H889"/>
    </row>
    <row r="890" spans="1:8" ht="15">
      <c r="A890"/>
      <c r="B890"/>
      <c r="D890"/>
      <c r="E890"/>
      <c r="F890"/>
      <c r="H890"/>
    </row>
    <row r="891" spans="1:8" ht="15">
      <c r="A891"/>
      <c r="B891"/>
      <c r="D891"/>
      <c r="E891"/>
      <c r="F891"/>
      <c r="H891"/>
    </row>
    <row r="892" spans="1:8" ht="15">
      <c r="A892"/>
      <c r="B892"/>
      <c r="D892"/>
      <c r="E892"/>
      <c r="F892"/>
      <c r="H892"/>
    </row>
    <row r="893" spans="1:8" ht="15">
      <c r="A893"/>
      <c r="B893"/>
      <c r="D893"/>
      <c r="E893"/>
      <c r="F893"/>
      <c r="H893"/>
    </row>
    <row r="894" spans="1:8" ht="15">
      <c r="A894"/>
      <c r="B894"/>
      <c r="D894"/>
      <c r="E894"/>
      <c r="F894"/>
      <c r="H894"/>
    </row>
    <row r="895" spans="1:8" ht="15">
      <c r="A895"/>
      <c r="B895"/>
      <c r="D895"/>
      <c r="E895"/>
      <c r="F895"/>
      <c r="H895"/>
    </row>
    <row r="896" spans="1:8" ht="15">
      <c r="A896"/>
      <c r="B896"/>
      <c r="D896"/>
      <c r="E896"/>
      <c r="F896"/>
      <c r="H896"/>
    </row>
    <row r="897" spans="1:8" ht="15">
      <c r="A897"/>
      <c r="B897"/>
      <c r="D897"/>
      <c r="E897"/>
      <c r="F897"/>
      <c r="H897"/>
    </row>
    <row r="898" spans="1:8" ht="15">
      <c r="A898"/>
      <c r="B898"/>
      <c r="D898"/>
      <c r="E898"/>
      <c r="F898"/>
      <c r="H898"/>
    </row>
    <row r="899" spans="1:8" ht="15">
      <c r="A899"/>
      <c r="B899"/>
      <c r="D899"/>
      <c r="E899"/>
      <c r="F899"/>
      <c r="H899"/>
    </row>
    <row r="900" spans="1:8" ht="15">
      <c r="A900"/>
      <c r="B900"/>
      <c r="D900"/>
      <c r="E900"/>
      <c r="F900"/>
      <c r="H900"/>
    </row>
    <row r="901" spans="1:8" ht="15">
      <c r="A901"/>
      <c r="B901"/>
      <c r="D901"/>
      <c r="E901"/>
      <c r="F901"/>
      <c r="H901"/>
    </row>
    <row r="902" spans="1:8" ht="15">
      <c r="A902"/>
      <c r="B902"/>
      <c r="D902"/>
      <c r="E902"/>
      <c r="F902"/>
      <c r="H902"/>
    </row>
    <row r="903" spans="1:8" ht="15">
      <c r="A903"/>
      <c r="B903"/>
      <c r="D903"/>
      <c r="E903"/>
      <c r="F903"/>
      <c r="H903"/>
    </row>
    <row r="904" spans="1:8" ht="15">
      <c r="A904"/>
      <c r="B904"/>
      <c r="D904"/>
      <c r="E904"/>
      <c r="F904"/>
      <c r="H904"/>
    </row>
    <row r="905" spans="1:8" ht="15">
      <c r="A905"/>
      <c r="B905"/>
      <c r="D905"/>
      <c r="E905"/>
      <c r="F905"/>
      <c r="H905"/>
    </row>
    <row r="906" spans="1:8" ht="15">
      <c r="A906"/>
      <c r="B906"/>
      <c r="D906"/>
      <c r="E906"/>
      <c r="F906"/>
      <c r="H906"/>
    </row>
    <row r="907" spans="1:8" ht="15">
      <c r="A907"/>
      <c r="B907"/>
      <c r="D907"/>
      <c r="E907"/>
      <c r="F907"/>
      <c r="H907"/>
    </row>
    <row r="908" spans="1:8" ht="15">
      <c r="A908"/>
      <c r="B908"/>
      <c r="D908"/>
      <c r="E908"/>
      <c r="F908"/>
      <c r="H908"/>
    </row>
    <row r="909" spans="1:8" ht="15">
      <c r="A909"/>
      <c r="B909"/>
      <c r="D909"/>
      <c r="E909"/>
      <c r="F909"/>
      <c r="H909"/>
    </row>
    <row r="910" spans="1:8" ht="15">
      <c r="A910"/>
      <c r="B910"/>
      <c r="D910"/>
      <c r="E910"/>
      <c r="F910"/>
      <c r="H910"/>
    </row>
    <row r="911" spans="1:8" ht="15">
      <c r="A911"/>
      <c r="B911"/>
      <c r="D911"/>
      <c r="E911"/>
      <c r="F911"/>
      <c r="H911"/>
    </row>
    <row r="912" spans="1:8" ht="15">
      <c r="A912"/>
      <c r="B912"/>
      <c r="D912"/>
      <c r="E912"/>
      <c r="F912"/>
      <c r="H912"/>
    </row>
    <row r="913" spans="1:8" ht="15">
      <c r="A913"/>
      <c r="B913"/>
      <c r="D913"/>
      <c r="E913"/>
      <c r="F913"/>
      <c r="H913"/>
    </row>
    <row r="914" spans="1:8" ht="15">
      <c r="A914"/>
      <c r="B914"/>
      <c r="D914"/>
      <c r="E914"/>
      <c r="F914"/>
      <c r="H914"/>
    </row>
    <row r="915" spans="1:8" ht="15">
      <c r="A915"/>
      <c r="B915"/>
      <c r="D915"/>
      <c r="E915"/>
      <c r="F915"/>
      <c r="H915"/>
    </row>
    <row r="916" spans="1:8" ht="15">
      <c r="A916"/>
      <c r="B916"/>
      <c r="D916"/>
      <c r="E916"/>
      <c r="F916"/>
      <c r="H916"/>
    </row>
    <row r="917" spans="1:8" ht="15">
      <c r="A917"/>
      <c r="B917"/>
      <c r="D917"/>
      <c r="E917"/>
      <c r="F917"/>
      <c r="H917"/>
    </row>
    <row r="918" spans="1:8" ht="15">
      <c r="A918"/>
      <c r="B918"/>
      <c r="D918"/>
      <c r="E918"/>
      <c r="F918"/>
      <c r="H918"/>
    </row>
    <row r="919" spans="1:8" ht="15">
      <c r="A919"/>
      <c r="B919"/>
      <c r="D919"/>
      <c r="E919"/>
      <c r="F919"/>
      <c r="H919"/>
    </row>
    <row r="920" spans="1:8" ht="15">
      <c r="A920"/>
      <c r="B920"/>
      <c r="D920"/>
      <c r="E920"/>
      <c r="F920"/>
      <c r="H920"/>
    </row>
    <row r="921" spans="1:8" ht="15">
      <c r="A921"/>
      <c r="B921"/>
      <c r="D921"/>
      <c r="E921"/>
      <c r="F921"/>
      <c r="H921"/>
    </row>
    <row r="922" spans="1:8" ht="15">
      <c r="A922"/>
      <c r="B922"/>
      <c r="D922"/>
      <c r="E922"/>
      <c r="F922"/>
      <c r="H922"/>
    </row>
    <row r="923" spans="1:8" ht="15">
      <c r="A923"/>
      <c r="B923"/>
      <c r="D923"/>
      <c r="E923"/>
      <c r="F923"/>
      <c r="H923"/>
    </row>
    <row r="924" spans="1:8" ht="15">
      <c r="A924"/>
      <c r="B924"/>
      <c r="D924"/>
      <c r="E924"/>
      <c r="F924"/>
      <c r="H924"/>
    </row>
    <row r="925" spans="1:8" ht="15">
      <c r="A925"/>
      <c r="B925"/>
      <c r="D925"/>
      <c r="E925"/>
      <c r="F925"/>
      <c r="H925"/>
    </row>
    <row r="926" spans="1:8" ht="15">
      <c r="A926"/>
      <c r="B926"/>
      <c r="D926"/>
      <c r="E926"/>
      <c r="F926"/>
      <c r="H926"/>
    </row>
    <row r="927" spans="1:8" ht="15">
      <c r="A927"/>
      <c r="B927"/>
      <c r="D927"/>
      <c r="E927"/>
      <c r="F927"/>
      <c r="H927"/>
    </row>
    <row r="928" spans="1:8" ht="15">
      <c r="A928"/>
      <c r="B928"/>
      <c r="D928"/>
      <c r="E928"/>
      <c r="F928"/>
      <c r="H928"/>
    </row>
    <row r="929" spans="1:8" ht="15">
      <c r="A929"/>
      <c r="B929"/>
      <c r="D929"/>
      <c r="E929"/>
      <c r="F929"/>
      <c r="H929"/>
    </row>
    <row r="930" spans="1:8" ht="15">
      <c r="A930"/>
      <c r="B930"/>
      <c r="D930"/>
      <c r="E930"/>
      <c r="F930"/>
      <c r="H930"/>
    </row>
    <row r="931" spans="1:8" ht="15">
      <c r="A931"/>
      <c r="B931"/>
      <c r="D931"/>
      <c r="E931"/>
      <c r="F931"/>
      <c r="H931"/>
    </row>
    <row r="932" spans="1:8" ht="15">
      <c r="A932"/>
      <c r="B932"/>
      <c r="D932"/>
      <c r="E932"/>
      <c r="F932"/>
      <c r="H932"/>
    </row>
    <row r="933" spans="1:8" ht="15">
      <c r="A933"/>
      <c r="B933"/>
      <c r="D933"/>
      <c r="E933"/>
      <c r="F933"/>
      <c r="H933"/>
    </row>
    <row r="934" spans="1:8" ht="15">
      <c r="A934"/>
      <c r="B934"/>
      <c r="D934"/>
      <c r="E934"/>
      <c r="F934"/>
      <c r="H934"/>
    </row>
    <row r="935" spans="1:8" ht="15">
      <c r="A935"/>
      <c r="B935"/>
      <c r="D935"/>
      <c r="E935"/>
      <c r="F935"/>
      <c r="H935"/>
    </row>
    <row r="936" spans="1:8" ht="15">
      <c r="A936"/>
      <c r="B936"/>
      <c r="D936"/>
      <c r="E936"/>
      <c r="F936"/>
      <c r="H936"/>
    </row>
    <row r="937" spans="1:8" ht="15">
      <c r="A937"/>
      <c r="B937"/>
      <c r="D937"/>
      <c r="E937"/>
      <c r="F937"/>
      <c r="H937"/>
    </row>
    <row r="938" spans="1:8" ht="15">
      <c r="A938"/>
      <c r="B938"/>
      <c r="D938"/>
      <c r="E938"/>
      <c r="F938"/>
      <c r="H938"/>
    </row>
    <row r="939" spans="1:8" ht="15">
      <c r="A939"/>
      <c r="B939"/>
      <c r="D939"/>
      <c r="E939"/>
      <c r="F939"/>
      <c r="H939"/>
    </row>
    <row r="940" spans="1:8" ht="15">
      <c r="A940"/>
      <c r="B940"/>
      <c r="D940"/>
      <c r="E940"/>
      <c r="F940"/>
      <c r="H940"/>
    </row>
    <row r="941" spans="1:8" ht="15">
      <c r="A941"/>
      <c r="B941"/>
      <c r="D941"/>
      <c r="E941"/>
      <c r="F941"/>
      <c r="H941"/>
    </row>
    <row r="942" spans="1:8" ht="15">
      <c r="A942"/>
      <c r="B942"/>
      <c r="D942"/>
      <c r="E942"/>
      <c r="F942"/>
      <c r="H942"/>
    </row>
    <row r="943" spans="1:8" ht="15">
      <c r="A943"/>
      <c r="B943"/>
      <c r="D943"/>
      <c r="E943"/>
      <c r="F943"/>
      <c r="H943"/>
    </row>
    <row r="944" spans="1:8" ht="15">
      <c r="A944"/>
      <c r="B944"/>
      <c r="D944"/>
      <c r="E944"/>
      <c r="F944"/>
      <c r="H944"/>
    </row>
    <row r="945" spans="1:8" ht="15">
      <c r="A945"/>
      <c r="B945"/>
      <c r="D945"/>
      <c r="E945"/>
      <c r="F945"/>
      <c r="H945"/>
    </row>
    <row r="946" spans="1:8" ht="15">
      <c r="A946"/>
      <c r="B946"/>
      <c r="D946"/>
      <c r="E946"/>
      <c r="F946"/>
      <c r="H946"/>
    </row>
    <row r="947" spans="1:8" ht="15">
      <c r="A947"/>
      <c r="B947"/>
      <c r="D947"/>
      <c r="E947"/>
      <c r="F947"/>
      <c r="H947"/>
    </row>
    <row r="948" spans="1:8" ht="15">
      <c r="A948"/>
      <c r="B948"/>
      <c r="D948"/>
      <c r="E948"/>
      <c r="F948"/>
      <c r="H948"/>
    </row>
    <row r="949" spans="1:8" ht="15">
      <c r="A949"/>
      <c r="B949"/>
      <c r="D949"/>
      <c r="E949"/>
      <c r="F949"/>
      <c r="H949"/>
    </row>
    <row r="950" spans="1:8" ht="15">
      <c r="A950"/>
      <c r="B950"/>
      <c r="D950"/>
      <c r="E950"/>
      <c r="F950"/>
      <c r="H950"/>
    </row>
    <row r="951" spans="1:8" ht="15">
      <c r="A951"/>
      <c r="B951"/>
      <c r="D951"/>
      <c r="E951"/>
      <c r="F951"/>
      <c r="H951"/>
    </row>
    <row r="952" spans="1:8" ht="15">
      <c r="A952"/>
      <c r="B952"/>
      <c r="D952"/>
      <c r="E952"/>
      <c r="F952"/>
      <c r="H952"/>
    </row>
    <row r="953" spans="1:8" ht="15">
      <c r="A953"/>
      <c r="B953"/>
      <c r="D953"/>
      <c r="E953"/>
      <c r="F953"/>
      <c r="H953"/>
    </row>
    <row r="954" spans="1:8" ht="15">
      <c r="A954"/>
      <c r="B954"/>
      <c r="D954"/>
      <c r="E954"/>
      <c r="F954"/>
      <c r="H954"/>
    </row>
    <row r="955" spans="1:8" ht="15">
      <c r="A955"/>
      <c r="B955"/>
      <c r="D955"/>
      <c r="E955"/>
      <c r="F955"/>
      <c r="H955"/>
    </row>
    <row r="956" spans="1:8" ht="15">
      <c r="A956"/>
      <c r="B956"/>
      <c r="D956"/>
      <c r="E956"/>
      <c r="F956"/>
      <c r="H956"/>
    </row>
    <row r="957" spans="1:8" ht="15">
      <c r="A957"/>
      <c r="B957"/>
      <c r="D957"/>
      <c r="E957"/>
      <c r="F957"/>
      <c r="H957"/>
    </row>
    <row r="958" spans="1:8" ht="15">
      <c r="A958"/>
      <c r="B958"/>
      <c r="D958"/>
      <c r="E958"/>
      <c r="F958"/>
      <c r="H958"/>
    </row>
    <row r="959" spans="1:8" ht="15">
      <c r="A959"/>
      <c r="B959"/>
      <c r="D959"/>
      <c r="E959"/>
      <c r="F959"/>
      <c r="H959"/>
    </row>
    <row r="960" spans="1:8" ht="15">
      <c r="A960"/>
      <c r="B960"/>
      <c r="D960"/>
      <c r="E960"/>
      <c r="F960"/>
      <c r="H960"/>
    </row>
    <row r="961" spans="1:8" ht="15">
      <c r="A961"/>
      <c r="B961"/>
      <c r="D961"/>
      <c r="E961"/>
      <c r="F961"/>
      <c r="H961"/>
    </row>
    <row r="962" spans="1:8" ht="15">
      <c r="A962"/>
      <c r="B962"/>
      <c r="D962"/>
      <c r="E962"/>
      <c r="F962"/>
      <c r="H962"/>
    </row>
    <row r="963" spans="1:8" ht="15">
      <c r="A963"/>
      <c r="B963"/>
      <c r="D963"/>
      <c r="E963"/>
      <c r="F963"/>
      <c r="H963"/>
    </row>
    <row r="964" spans="1:8" ht="15">
      <c r="A964"/>
      <c r="B964"/>
      <c r="D964"/>
      <c r="E964"/>
      <c r="F964"/>
      <c r="H964"/>
    </row>
    <row r="965" spans="1:8" ht="15">
      <c r="A965"/>
      <c r="B965"/>
      <c r="D965"/>
      <c r="E965"/>
      <c r="F965"/>
      <c r="H965"/>
    </row>
    <row r="966" spans="1:8" ht="15">
      <c r="A966"/>
      <c r="B966"/>
      <c r="D966"/>
      <c r="E966"/>
      <c r="F966"/>
      <c r="H966"/>
    </row>
    <row r="967" spans="1:8" ht="15">
      <c r="A967"/>
      <c r="B967"/>
      <c r="D967"/>
      <c r="E967"/>
      <c r="F967"/>
      <c r="H967"/>
    </row>
    <row r="968" spans="1:8" ht="15">
      <c r="A968"/>
      <c r="B968"/>
      <c r="D968"/>
      <c r="E968"/>
      <c r="F968"/>
      <c r="H968"/>
    </row>
    <row r="969" spans="1:8" ht="15">
      <c r="A969"/>
      <c r="B969"/>
      <c r="D969"/>
      <c r="E969"/>
      <c r="F969"/>
      <c r="H969"/>
    </row>
    <row r="970" spans="1:8" ht="15">
      <c r="A970"/>
      <c r="B970"/>
      <c r="D970"/>
      <c r="E970"/>
      <c r="F970"/>
      <c r="H970"/>
    </row>
    <row r="971" spans="1:8" ht="15">
      <c r="A971"/>
      <c r="B971"/>
      <c r="D971"/>
      <c r="E971"/>
      <c r="F971"/>
      <c r="H971"/>
    </row>
    <row r="972" spans="1:8" ht="15">
      <c r="A972"/>
      <c r="B972"/>
      <c r="D972"/>
      <c r="E972"/>
      <c r="F972"/>
      <c r="H972"/>
    </row>
    <row r="973" spans="1:8" ht="15">
      <c r="A973"/>
      <c r="B973"/>
      <c r="D973"/>
      <c r="E973"/>
      <c r="F973"/>
      <c r="H973"/>
    </row>
    <row r="974" spans="1:8" ht="15">
      <c r="A974"/>
      <c r="B974"/>
      <c r="D974"/>
      <c r="E974"/>
      <c r="F974"/>
      <c r="H974"/>
    </row>
    <row r="975" spans="1:8" ht="15">
      <c r="A975"/>
      <c r="B975"/>
      <c r="D975"/>
      <c r="E975"/>
      <c r="F975"/>
      <c r="H975"/>
    </row>
    <row r="976" spans="1:8" ht="15">
      <c r="A976"/>
      <c r="B976"/>
      <c r="D976"/>
      <c r="E976"/>
      <c r="F976"/>
      <c r="H976"/>
    </row>
    <row r="977" spans="1:8" ht="15">
      <c r="A977"/>
      <c r="B977"/>
      <c r="D977"/>
      <c r="E977"/>
      <c r="F977"/>
      <c r="H977"/>
    </row>
    <row r="978" spans="1:8" ht="15">
      <c r="A978"/>
      <c r="B978"/>
      <c r="D978"/>
      <c r="E978"/>
      <c r="F978"/>
      <c r="H978"/>
    </row>
    <row r="979" spans="1:8" ht="15">
      <c r="A979"/>
      <c r="B979"/>
      <c r="D979"/>
      <c r="E979"/>
      <c r="F979"/>
      <c r="H979"/>
    </row>
    <row r="980" spans="1:8" ht="15">
      <c r="A980"/>
      <c r="B980"/>
      <c r="D980"/>
      <c r="E980"/>
      <c r="F980"/>
      <c r="H980"/>
    </row>
    <row r="981" spans="1:8" ht="15">
      <c r="A981"/>
      <c r="B981"/>
      <c r="D981"/>
      <c r="E981"/>
      <c r="F981"/>
      <c r="H981"/>
    </row>
    <row r="982" spans="1:8" ht="15">
      <c r="A982"/>
      <c r="B982"/>
      <c r="D982"/>
      <c r="E982"/>
      <c r="F982"/>
      <c r="H982"/>
    </row>
    <row r="983" spans="1:8" ht="15">
      <c r="A983"/>
      <c r="B983"/>
      <c r="D983"/>
      <c r="E983"/>
      <c r="F983"/>
      <c r="H983"/>
    </row>
    <row r="984" spans="1:8" ht="15">
      <c r="A984"/>
      <c r="B984"/>
      <c r="D984"/>
      <c r="E984"/>
      <c r="F984"/>
      <c r="H984"/>
    </row>
    <row r="985" spans="1:8" ht="15">
      <c r="A985"/>
      <c r="B985"/>
      <c r="D985"/>
      <c r="E985"/>
      <c r="F985"/>
      <c r="H985"/>
    </row>
    <row r="986" spans="1:8" ht="15">
      <c r="A986"/>
      <c r="B986"/>
      <c r="D986"/>
      <c r="E986"/>
      <c r="F986"/>
      <c r="H986"/>
    </row>
    <row r="987" spans="1:8" ht="15">
      <c r="A987"/>
      <c r="B987"/>
      <c r="D987"/>
      <c r="E987"/>
      <c r="F987"/>
      <c r="H987"/>
    </row>
    <row r="988" spans="1:8" ht="15">
      <c r="A988"/>
      <c r="B988"/>
      <c r="D988"/>
      <c r="E988"/>
      <c r="F988"/>
      <c r="H988"/>
    </row>
    <row r="989" spans="1:8" ht="15">
      <c r="A989"/>
      <c r="B989"/>
      <c r="D989"/>
      <c r="E989"/>
      <c r="F989"/>
      <c r="H989"/>
    </row>
    <row r="990" spans="1:8" ht="15">
      <c r="A990"/>
      <c r="B990"/>
      <c r="D990"/>
      <c r="E990"/>
      <c r="F990"/>
      <c r="H990"/>
    </row>
    <row r="991" spans="1:8" ht="15">
      <c r="A991"/>
      <c r="B991"/>
      <c r="D991"/>
      <c r="E991"/>
      <c r="F991"/>
      <c r="H991"/>
    </row>
    <row r="992" spans="1:8" ht="15">
      <c r="A992"/>
      <c r="B992"/>
      <c r="D992"/>
      <c r="E992"/>
      <c r="F992"/>
      <c r="H992"/>
    </row>
    <row r="993" spans="1:8" ht="15">
      <c r="A993"/>
      <c r="B993"/>
      <c r="D993"/>
      <c r="E993"/>
      <c r="F993"/>
      <c r="H993"/>
    </row>
    <row r="994" spans="1:8" ht="15">
      <c r="A994"/>
      <c r="B994"/>
      <c r="D994"/>
      <c r="E994"/>
      <c r="F994"/>
      <c r="H994"/>
    </row>
    <row r="995" spans="1:8" ht="15">
      <c r="A995"/>
      <c r="B995"/>
      <c r="D995"/>
      <c r="E995"/>
      <c r="F995"/>
      <c r="H995"/>
    </row>
    <row r="996" spans="1:8" ht="15">
      <c r="A996"/>
      <c r="B996"/>
      <c r="D996"/>
      <c r="E996"/>
      <c r="F996"/>
      <c r="H996"/>
    </row>
    <row r="997" spans="1:8" ht="15">
      <c r="A997"/>
      <c r="B997"/>
      <c r="D997"/>
      <c r="E997"/>
      <c r="F997"/>
      <c r="H997"/>
    </row>
    <row r="998" spans="1:8" ht="15">
      <c r="A998"/>
      <c r="B998"/>
      <c r="D998"/>
      <c r="E998"/>
      <c r="F998"/>
      <c r="H998"/>
    </row>
    <row r="999" spans="1:8" ht="15">
      <c r="A999"/>
      <c r="B999"/>
      <c r="D999"/>
      <c r="E999"/>
      <c r="F999"/>
      <c r="H999"/>
    </row>
    <row r="1000" spans="1:8" ht="15">
      <c r="A1000"/>
      <c r="B1000"/>
      <c r="D1000"/>
      <c r="E1000"/>
      <c r="F1000"/>
      <c r="H1000"/>
    </row>
    <row r="1001" spans="1:8" ht="15">
      <c r="A1001"/>
      <c r="B1001"/>
      <c r="D1001"/>
      <c r="E1001"/>
      <c r="F1001"/>
      <c r="H1001"/>
    </row>
    <row r="1002" spans="1:8" ht="15">
      <c r="A1002"/>
      <c r="B1002"/>
      <c r="D1002"/>
      <c r="E1002"/>
      <c r="F1002"/>
      <c r="H1002"/>
    </row>
    <row r="1003" spans="1:8" ht="15">
      <c r="A1003"/>
      <c r="B1003"/>
      <c r="D1003"/>
      <c r="E1003"/>
      <c r="F1003"/>
      <c r="H1003"/>
    </row>
    <row r="1004" spans="1:8" ht="15">
      <c r="A1004"/>
      <c r="B1004"/>
      <c r="D1004"/>
      <c r="E1004"/>
      <c r="F1004"/>
      <c r="H1004"/>
    </row>
    <row r="1005" spans="1:8" ht="15">
      <c r="A1005"/>
      <c r="B1005"/>
      <c r="D1005"/>
      <c r="E1005"/>
      <c r="F1005"/>
      <c r="H1005"/>
    </row>
    <row r="1006" spans="1:8" ht="15">
      <c r="A1006"/>
      <c r="B1006"/>
      <c r="D1006"/>
      <c r="E1006"/>
      <c r="F1006"/>
      <c r="H1006"/>
    </row>
    <row r="1007" spans="1:8" ht="15">
      <c r="A1007"/>
      <c r="B1007"/>
      <c r="D1007"/>
      <c r="E1007"/>
      <c r="F1007"/>
      <c r="H1007"/>
    </row>
    <row r="1008" spans="1:8" ht="15">
      <c r="A1008"/>
      <c r="B1008"/>
      <c r="D1008"/>
      <c r="E1008"/>
      <c r="F1008"/>
      <c r="H1008"/>
    </row>
    <row r="1009" spans="1:8" ht="15">
      <c r="A1009"/>
      <c r="B1009"/>
      <c r="D1009"/>
      <c r="E1009"/>
      <c r="F1009"/>
      <c r="H1009"/>
    </row>
    <row r="1010" spans="1:8" ht="15">
      <c r="A1010"/>
      <c r="B1010"/>
      <c r="D1010"/>
      <c r="E1010"/>
      <c r="F1010"/>
      <c r="H1010"/>
    </row>
    <row r="1011" spans="1:8" ht="15">
      <c r="A1011"/>
      <c r="B1011"/>
      <c r="D1011"/>
      <c r="E1011"/>
      <c r="F1011"/>
      <c r="H1011"/>
    </row>
    <row r="1012" spans="1:8" ht="15">
      <c r="A1012"/>
      <c r="B1012"/>
      <c r="D1012"/>
      <c r="E1012"/>
      <c r="F1012"/>
      <c r="H1012"/>
    </row>
    <row r="1013" spans="1:8" ht="15">
      <c r="A1013"/>
      <c r="B1013"/>
      <c r="D1013"/>
      <c r="E1013"/>
      <c r="F1013"/>
      <c r="H1013"/>
    </row>
    <row r="1014" spans="1:8" ht="15">
      <c r="A1014"/>
      <c r="B1014"/>
      <c r="D1014"/>
      <c r="E1014"/>
      <c r="F1014"/>
      <c r="H1014"/>
    </row>
    <row r="1015" spans="1:8" ht="15">
      <c r="A1015"/>
      <c r="B1015"/>
      <c r="D1015"/>
      <c r="E1015"/>
      <c r="F1015"/>
      <c r="H1015"/>
    </row>
    <row r="1016" spans="1:8" ht="15">
      <c r="A1016"/>
      <c r="B1016"/>
      <c r="D1016"/>
      <c r="E1016"/>
      <c r="F1016"/>
      <c r="H1016"/>
    </row>
    <row r="1017" spans="1:8" ht="15">
      <c r="A1017"/>
      <c r="B1017"/>
      <c r="D1017"/>
      <c r="E1017"/>
      <c r="F1017"/>
      <c r="H1017"/>
    </row>
    <row r="1018" spans="1:8" ht="15">
      <c r="A1018"/>
      <c r="B1018"/>
      <c r="D1018"/>
      <c r="E1018"/>
      <c r="F1018"/>
      <c r="H1018"/>
    </row>
    <row r="1019" spans="1:8" ht="15">
      <c r="A1019"/>
      <c r="B1019"/>
      <c r="D1019"/>
      <c r="E1019"/>
      <c r="F1019"/>
      <c r="H1019"/>
    </row>
    <row r="1020" spans="1:8" ht="15">
      <c r="A1020"/>
      <c r="B1020"/>
      <c r="D1020"/>
      <c r="E1020"/>
      <c r="F1020"/>
      <c r="H1020"/>
    </row>
    <row r="1021" spans="1:8" ht="15">
      <c r="A1021"/>
      <c r="B1021"/>
      <c r="D1021"/>
      <c r="E1021"/>
      <c r="F1021"/>
      <c r="H1021"/>
    </row>
    <row r="1022" spans="1:8" ht="15">
      <c r="A1022"/>
      <c r="B1022"/>
      <c r="D1022"/>
      <c r="E1022"/>
      <c r="F1022"/>
      <c r="H1022"/>
    </row>
    <row r="1023" spans="1:8" ht="15">
      <c r="A1023"/>
      <c r="B1023"/>
      <c r="D1023"/>
      <c r="E1023"/>
      <c r="F1023"/>
      <c r="H1023"/>
    </row>
    <row r="1024" spans="1:8" ht="15">
      <c r="A1024"/>
      <c r="B1024"/>
      <c r="D1024"/>
      <c r="E1024"/>
      <c r="F1024"/>
      <c r="H1024"/>
    </row>
    <row r="1025" spans="1:8" ht="15">
      <c r="A1025"/>
      <c r="B1025"/>
      <c r="D1025"/>
      <c r="E1025"/>
      <c r="F1025"/>
      <c r="H1025"/>
    </row>
    <row r="1026" spans="1:8" ht="15">
      <c r="A1026"/>
      <c r="B1026"/>
      <c r="D1026"/>
      <c r="E1026"/>
      <c r="F1026"/>
      <c r="H1026"/>
    </row>
    <row r="1027" spans="1:8" ht="15">
      <c r="A1027"/>
      <c r="B1027"/>
      <c r="D1027"/>
      <c r="E1027"/>
      <c r="F1027"/>
      <c r="H1027"/>
    </row>
    <row r="1028" spans="1:8" ht="15">
      <c r="A1028"/>
      <c r="B1028"/>
      <c r="D1028"/>
      <c r="E1028"/>
      <c r="F1028"/>
      <c r="H1028"/>
    </row>
    <row r="1029" spans="1:8" ht="15">
      <c r="A1029"/>
      <c r="B1029"/>
      <c r="D1029"/>
      <c r="E1029"/>
      <c r="F1029"/>
      <c r="H1029"/>
    </row>
    <row r="1030" spans="1:8" ht="15">
      <c r="A1030"/>
      <c r="B1030"/>
      <c r="D1030"/>
      <c r="E1030"/>
      <c r="F1030"/>
      <c r="H1030"/>
    </row>
    <row r="1031" spans="1:8" ht="15">
      <c r="A1031"/>
      <c r="B1031"/>
      <c r="D1031"/>
      <c r="E1031"/>
      <c r="F1031"/>
      <c r="H1031"/>
    </row>
    <row r="1032" spans="1:8" ht="15">
      <c r="A1032"/>
      <c r="B1032"/>
      <c r="D1032"/>
      <c r="E1032"/>
      <c r="F1032"/>
      <c r="H1032"/>
    </row>
    <row r="1033" spans="1:8" ht="15">
      <c r="A1033"/>
      <c r="B1033"/>
      <c r="D1033"/>
      <c r="E1033"/>
      <c r="F1033"/>
      <c r="H1033"/>
    </row>
    <row r="1034" spans="1:8" ht="15">
      <c r="A1034"/>
      <c r="B1034"/>
      <c r="D1034"/>
      <c r="E1034"/>
      <c r="F1034"/>
      <c r="H1034"/>
    </row>
    <row r="1035" spans="1:8" ht="15">
      <c r="A1035"/>
      <c r="B1035"/>
      <c r="D1035"/>
      <c r="E1035"/>
      <c r="F1035"/>
      <c r="H1035"/>
    </row>
    <row r="1036" spans="1:8" ht="15">
      <c r="A1036"/>
      <c r="B1036"/>
      <c r="D1036"/>
      <c r="E1036"/>
      <c r="F1036"/>
      <c r="H1036"/>
    </row>
    <row r="1037" spans="1:8" ht="15">
      <c r="A1037"/>
      <c r="B1037"/>
      <c r="D1037"/>
      <c r="E1037"/>
      <c r="F1037"/>
      <c r="H1037"/>
    </row>
    <row r="1038" spans="1:8" ht="15">
      <c r="A1038"/>
      <c r="B1038"/>
      <c r="D1038"/>
      <c r="E1038"/>
      <c r="F1038"/>
      <c r="H1038"/>
    </row>
    <row r="1039" spans="1:8" ht="15">
      <c r="A1039"/>
      <c r="B1039"/>
      <c r="D1039"/>
      <c r="E1039"/>
      <c r="F1039"/>
      <c r="H1039"/>
    </row>
    <row r="1040" spans="1:8" ht="15">
      <c r="A1040"/>
      <c r="B1040"/>
      <c r="D1040"/>
      <c r="E1040"/>
      <c r="F1040"/>
      <c r="H1040"/>
    </row>
    <row r="1041" spans="1:8" ht="15">
      <c r="A1041"/>
      <c r="B1041"/>
      <c r="D1041"/>
      <c r="E1041"/>
      <c r="F1041"/>
      <c r="H1041"/>
    </row>
    <row r="1042" spans="1:8" ht="15">
      <c r="A1042"/>
      <c r="B1042"/>
      <c r="D1042"/>
      <c r="E1042"/>
      <c r="F1042"/>
      <c r="H1042"/>
    </row>
    <row r="1043" spans="1:8" ht="15">
      <c r="A1043"/>
      <c r="B1043"/>
      <c r="D1043"/>
      <c r="E1043"/>
      <c r="F1043"/>
      <c r="H1043"/>
    </row>
    <row r="1044" spans="1:8" ht="15">
      <c r="A1044"/>
      <c r="B1044"/>
      <c r="D1044"/>
      <c r="E1044"/>
      <c r="F1044"/>
      <c r="H1044"/>
    </row>
    <row r="1045" spans="1:8" ht="15">
      <c r="A1045"/>
      <c r="B1045"/>
      <c r="D1045"/>
      <c r="E1045"/>
      <c r="F1045"/>
      <c r="H1045"/>
    </row>
    <row r="1046" spans="1:8" ht="15">
      <c r="A1046"/>
      <c r="B1046"/>
      <c r="D1046"/>
      <c r="E1046"/>
      <c r="F1046"/>
      <c r="H1046"/>
    </row>
    <row r="1047" spans="1:8" ht="15">
      <c r="A1047"/>
      <c r="B1047"/>
      <c r="D1047"/>
      <c r="E1047"/>
      <c r="F1047"/>
      <c r="H1047"/>
    </row>
    <row r="1048" spans="1:8" ht="15">
      <c r="A1048"/>
      <c r="B1048"/>
      <c r="D1048"/>
      <c r="E1048"/>
      <c r="F1048"/>
      <c r="H1048"/>
    </row>
    <row r="1049" spans="1:8" ht="15">
      <c r="A1049"/>
      <c r="B1049"/>
      <c r="D1049"/>
      <c r="E1049"/>
      <c r="F1049"/>
      <c r="H1049"/>
    </row>
    <row r="1050" spans="1:8" ht="15">
      <c r="A1050"/>
      <c r="B1050"/>
      <c r="D1050"/>
      <c r="E1050"/>
      <c r="F1050"/>
      <c r="H1050"/>
    </row>
    <row r="1051" spans="1:8" ht="15">
      <c r="A1051"/>
      <c r="B1051"/>
      <c r="D1051"/>
      <c r="E1051"/>
      <c r="F1051"/>
      <c r="H1051"/>
    </row>
    <row r="1052" spans="1:8" ht="15">
      <c r="A1052"/>
      <c r="B1052"/>
      <c r="D1052"/>
      <c r="E1052"/>
      <c r="F1052"/>
      <c r="H1052"/>
    </row>
    <row r="1053" spans="1:8" ht="15">
      <c r="A1053"/>
      <c r="B1053"/>
      <c r="D1053"/>
      <c r="E1053"/>
      <c r="F1053"/>
      <c r="H1053"/>
    </row>
    <row r="1054" spans="1:8" ht="15">
      <c r="A1054"/>
      <c r="B1054"/>
      <c r="D1054"/>
      <c r="E1054"/>
      <c r="F1054"/>
      <c r="H1054"/>
    </row>
    <row r="1055" spans="1:8" ht="15">
      <c r="A1055"/>
      <c r="B1055"/>
      <c r="D1055"/>
      <c r="E1055"/>
      <c r="F1055"/>
      <c r="H1055"/>
    </row>
    <row r="1056" spans="1:8" ht="15">
      <c r="A1056"/>
      <c r="B1056"/>
      <c r="D1056"/>
      <c r="E1056"/>
      <c r="F1056"/>
      <c r="H1056"/>
    </row>
    <row r="1057" spans="1:8" ht="15">
      <c r="A1057"/>
      <c r="B1057"/>
      <c r="D1057"/>
      <c r="E1057"/>
      <c r="F1057"/>
      <c r="H1057"/>
    </row>
    <row r="1058" spans="1:8" ht="15">
      <c r="A1058"/>
      <c r="B1058"/>
      <c r="D1058"/>
      <c r="E1058"/>
      <c r="F1058"/>
      <c r="H1058"/>
    </row>
    <row r="1059" spans="1:8" ht="15">
      <c r="A1059"/>
      <c r="B1059"/>
      <c r="D1059"/>
      <c r="E1059"/>
      <c r="F1059"/>
      <c r="H1059"/>
    </row>
    <row r="1060" spans="1:8" ht="15">
      <c r="A1060"/>
      <c r="B1060"/>
      <c r="D1060"/>
      <c r="E1060"/>
      <c r="F1060"/>
      <c r="H1060"/>
    </row>
    <row r="1061" spans="1:8" ht="15">
      <c r="A1061"/>
      <c r="B1061"/>
      <c r="D1061"/>
      <c r="E1061"/>
      <c r="F1061"/>
      <c r="H1061"/>
    </row>
    <row r="1062" spans="1:8" ht="15">
      <c r="A1062"/>
      <c r="B1062"/>
      <c r="D1062"/>
      <c r="E1062"/>
      <c r="F1062"/>
      <c r="H1062"/>
    </row>
    <row r="1063" spans="1:8" ht="15">
      <c r="A1063"/>
      <c r="B1063"/>
      <c r="D1063"/>
      <c r="E1063"/>
      <c r="F1063"/>
      <c r="H1063"/>
    </row>
    <row r="1064" spans="1:8" ht="15">
      <c r="A1064"/>
      <c r="B1064"/>
      <c r="D1064"/>
      <c r="E1064"/>
      <c r="F1064"/>
      <c r="H1064"/>
    </row>
    <row r="1065" spans="1:8" ht="15">
      <c r="A1065"/>
      <c r="B1065"/>
      <c r="D1065"/>
      <c r="E1065"/>
      <c r="F1065"/>
      <c r="H1065"/>
    </row>
    <row r="1066" spans="1:8" ht="15">
      <c r="A1066"/>
      <c r="B1066"/>
      <c r="D1066"/>
      <c r="E1066"/>
      <c r="F1066"/>
      <c r="H1066"/>
    </row>
    <row r="1067" spans="1:8" ht="15">
      <c r="A1067"/>
      <c r="B1067"/>
      <c r="D1067"/>
      <c r="E1067"/>
      <c r="F1067"/>
      <c r="H1067"/>
    </row>
    <row r="1068" spans="1:8" ht="15">
      <c r="A1068"/>
      <c r="B1068"/>
      <c r="D1068"/>
      <c r="E1068"/>
      <c r="F1068"/>
      <c r="H1068"/>
    </row>
    <row r="1069" spans="1:8" ht="15">
      <c r="A1069"/>
      <c r="B1069"/>
      <c r="D1069"/>
      <c r="E1069"/>
      <c r="F1069"/>
      <c r="H1069"/>
    </row>
    <row r="1070" spans="1:8" ht="15">
      <c r="A1070"/>
      <c r="B1070"/>
      <c r="D1070"/>
      <c r="E1070"/>
      <c r="F1070"/>
      <c r="H1070"/>
    </row>
    <row r="1071" spans="1:8" ht="15">
      <c r="A1071"/>
      <c r="B1071"/>
      <c r="D1071"/>
      <c r="E1071"/>
      <c r="F1071"/>
      <c r="H1071"/>
    </row>
    <row r="1072" spans="1:8" ht="15">
      <c r="A1072"/>
      <c r="B1072"/>
      <c r="D1072"/>
      <c r="E1072"/>
      <c r="F1072"/>
      <c r="H1072"/>
    </row>
    <row r="1073" spans="1:8" ht="15">
      <c r="A1073"/>
      <c r="B1073"/>
      <c r="D1073"/>
      <c r="E1073"/>
      <c r="F1073"/>
      <c r="H1073"/>
    </row>
    <row r="1074" spans="1:8" ht="15">
      <c r="A1074"/>
      <c r="B1074"/>
      <c r="D1074"/>
      <c r="E1074"/>
      <c r="F1074"/>
      <c r="H1074"/>
    </row>
    <row r="1075" spans="1:8" ht="15">
      <c r="A1075"/>
      <c r="B1075"/>
      <c r="D1075"/>
      <c r="E1075"/>
      <c r="F1075"/>
      <c r="H1075"/>
    </row>
    <row r="1076" spans="1:8" ht="15">
      <c r="A1076"/>
      <c r="B1076"/>
      <c r="D1076"/>
      <c r="E1076"/>
      <c r="F1076"/>
      <c r="H1076"/>
    </row>
    <row r="1077" spans="1:8" ht="15">
      <c r="A1077"/>
      <c r="B1077"/>
      <c r="D1077"/>
      <c r="E1077"/>
      <c r="F1077"/>
      <c r="H1077"/>
    </row>
    <row r="1078" spans="1:8" ht="15">
      <c r="A1078"/>
      <c r="B1078"/>
      <c r="D1078"/>
      <c r="E1078"/>
      <c r="F1078"/>
      <c r="H1078"/>
    </row>
    <row r="1079" spans="1:8" ht="15">
      <c r="A1079"/>
      <c r="B1079"/>
      <c r="D1079"/>
      <c r="E1079"/>
      <c r="F1079"/>
      <c r="H1079"/>
    </row>
    <row r="1080" spans="1:8" ht="15">
      <c r="A1080"/>
      <c r="B1080"/>
      <c r="D1080"/>
      <c r="E1080"/>
      <c r="F1080"/>
      <c r="H1080"/>
    </row>
    <row r="1081" spans="1:8" ht="15">
      <c r="A1081"/>
      <c r="B1081"/>
      <c r="D1081"/>
      <c r="E1081"/>
      <c r="F1081"/>
      <c r="H1081"/>
    </row>
    <row r="1082" spans="1:8" ht="15">
      <c r="A1082"/>
      <c r="B1082"/>
      <c r="D1082"/>
      <c r="E1082"/>
      <c r="F1082"/>
      <c r="H1082"/>
    </row>
    <row r="1083" spans="1:8" ht="15">
      <c r="A1083"/>
      <c r="B1083"/>
      <c r="D1083"/>
      <c r="E1083"/>
      <c r="F1083"/>
      <c r="H1083"/>
    </row>
    <row r="1084" spans="1:8" ht="15">
      <c r="A1084"/>
      <c r="B1084"/>
      <c r="D1084"/>
      <c r="E1084"/>
      <c r="F1084"/>
      <c r="H1084"/>
    </row>
    <row r="1085" spans="1:8" ht="15">
      <c r="A1085"/>
      <c r="B1085"/>
      <c r="D1085"/>
      <c r="E1085"/>
      <c r="F1085"/>
      <c r="H1085"/>
    </row>
    <row r="1086" spans="1:8" ht="15">
      <c r="A1086"/>
      <c r="B1086"/>
      <c r="D1086"/>
      <c r="E1086"/>
      <c r="F1086"/>
      <c r="H1086"/>
    </row>
    <row r="1087" spans="1:8" ht="15">
      <c r="A1087"/>
      <c r="B1087"/>
      <c r="D1087"/>
      <c r="E1087"/>
      <c r="F1087"/>
      <c r="H1087"/>
    </row>
    <row r="1088" spans="1:8" ht="15">
      <c r="A1088"/>
      <c r="B1088"/>
      <c r="D1088"/>
      <c r="E1088"/>
      <c r="F1088"/>
      <c r="H1088"/>
    </row>
    <row r="1089" spans="1:8" ht="15">
      <c r="A1089"/>
      <c r="B1089"/>
      <c r="D1089"/>
      <c r="E1089"/>
      <c r="F1089"/>
      <c r="H1089"/>
    </row>
    <row r="1090" spans="1:8" ht="15">
      <c r="A1090"/>
      <c r="B1090"/>
      <c r="D1090"/>
      <c r="E1090"/>
      <c r="F1090"/>
      <c r="H1090"/>
    </row>
    <row r="1091" spans="1:8" ht="15">
      <c r="A1091"/>
      <c r="B1091"/>
      <c r="D1091"/>
      <c r="E1091"/>
      <c r="F1091"/>
      <c r="H1091"/>
    </row>
    <row r="1092" spans="1:8" ht="15">
      <c r="A1092"/>
      <c r="B1092"/>
      <c r="D1092"/>
      <c r="E1092"/>
      <c r="F1092"/>
      <c r="H1092"/>
    </row>
    <row r="1093" spans="1:8" ht="15">
      <c r="A1093"/>
      <c r="B1093"/>
      <c r="D1093"/>
      <c r="E1093"/>
      <c r="F1093"/>
      <c r="H1093"/>
    </row>
    <row r="1094" spans="1:8" ht="15">
      <c r="A1094"/>
      <c r="B1094"/>
      <c r="D1094"/>
      <c r="E1094"/>
      <c r="F1094"/>
      <c r="H1094"/>
    </row>
    <row r="1095" spans="1:8" ht="15">
      <c r="A1095"/>
      <c r="B1095"/>
      <c r="D1095"/>
      <c r="E1095"/>
      <c r="F1095"/>
      <c r="H1095"/>
    </row>
    <row r="1096" spans="1:8" ht="15">
      <c r="A1096"/>
      <c r="B1096"/>
      <c r="D1096"/>
      <c r="E1096"/>
      <c r="F1096"/>
      <c r="H1096"/>
    </row>
    <row r="1097" spans="1:8" ht="15">
      <c r="A1097"/>
      <c r="B1097"/>
      <c r="D1097"/>
      <c r="E1097"/>
      <c r="F1097"/>
      <c r="H1097"/>
    </row>
    <row r="1098" spans="1:8" ht="15">
      <c r="A1098"/>
      <c r="B1098"/>
      <c r="D1098"/>
      <c r="E1098"/>
      <c r="F1098"/>
      <c r="H1098"/>
    </row>
    <row r="1099" spans="1:8" ht="15">
      <c r="A1099"/>
      <c r="B1099"/>
      <c r="D1099"/>
      <c r="E1099"/>
      <c r="F1099"/>
      <c r="H1099"/>
    </row>
    <row r="1100" spans="1:8" ht="15">
      <c r="A1100"/>
      <c r="B1100"/>
      <c r="D1100"/>
      <c r="E1100"/>
      <c r="F1100"/>
      <c r="H1100"/>
    </row>
    <row r="1101" spans="1:8" ht="15">
      <c r="A1101"/>
      <c r="B1101"/>
      <c r="D1101"/>
      <c r="E1101"/>
      <c r="F1101"/>
      <c r="H1101"/>
    </row>
    <row r="1102" spans="1:8" ht="15">
      <c r="A1102"/>
      <c r="B1102"/>
      <c r="D1102"/>
      <c r="E1102"/>
      <c r="F1102"/>
      <c r="H1102"/>
    </row>
    <row r="1103" spans="1:8" ht="15">
      <c r="A1103"/>
      <c r="B1103"/>
      <c r="D1103"/>
      <c r="E1103"/>
      <c r="F1103"/>
      <c r="H1103"/>
    </row>
    <row r="1104" spans="1:8" ht="15">
      <c r="A1104"/>
      <c r="B1104"/>
      <c r="D1104"/>
      <c r="E1104"/>
      <c r="F1104"/>
      <c r="H1104"/>
    </row>
    <row r="1105" spans="1:8" ht="15">
      <c r="A1105"/>
      <c r="B1105"/>
      <c r="D1105"/>
      <c r="E1105"/>
      <c r="F1105"/>
      <c r="H1105"/>
    </row>
    <row r="1106" spans="1:8" ht="15">
      <c r="A1106"/>
      <c r="B1106"/>
      <c r="D1106"/>
      <c r="E1106"/>
      <c r="F1106"/>
      <c r="H1106"/>
    </row>
    <row r="1107" spans="1:8" ht="15">
      <c r="A1107"/>
      <c r="B1107"/>
      <c r="D1107"/>
      <c r="E1107"/>
      <c r="F1107"/>
      <c r="H1107"/>
    </row>
    <row r="1108" spans="1:8" ht="15">
      <c r="A1108"/>
      <c r="B1108"/>
      <c r="D1108"/>
      <c r="E1108"/>
      <c r="F1108"/>
      <c r="H1108"/>
    </row>
    <row r="1109" spans="1:8" ht="15">
      <c r="A1109"/>
      <c r="B1109"/>
      <c r="D1109"/>
      <c r="E1109"/>
      <c r="F1109"/>
      <c r="H1109"/>
    </row>
    <row r="1110" spans="1:8" ht="15">
      <c r="A1110"/>
      <c r="B1110"/>
      <c r="D1110"/>
      <c r="E1110"/>
      <c r="F1110"/>
      <c r="H1110"/>
    </row>
    <row r="1111" spans="1:8" ht="15">
      <c r="A1111"/>
      <c r="B1111"/>
      <c r="D1111"/>
      <c r="E1111"/>
      <c r="F1111"/>
      <c r="H1111"/>
    </row>
    <row r="1112" spans="1:8" ht="15">
      <c r="A1112"/>
      <c r="B1112"/>
      <c r="D1112"/>
      <c r="E1112"/>
      <c r="F1112"/>
      <c r="H1112"/>
    </row>
    <row r="1113" spans="1:8" ht="15">
      <c r="A1113"/>
      <c r="B1113"/>
      <c r="D1113"/>
      <c r="E1113"/>
      <c r="F1113"/>
      <c r="H1113"/>
    </row>
    <row r="1114" spans="1:8" ht="15">
      <c r="A1114"/>
      <c r="B1114"/>
      <c r="D1114"/>
      <c r="E1114"/>
      <c r="F1114"/>
      <c r="H1114"/>
    </row>
    <row r="1115" spans="1:8" ht="15">
      <c r="A1115"/>
      <c r="B1115"/>
      <c r="D1115"/>
      <c r="E1115"/>
      <c r="F1115"/>
      <c r="H1115"/>
    </row>
    <row r="1116" spans="1:8" ht="15">
      <c r="A1116"/>
      <c r="B1116"/>
      <c r="D1116"/>
      <c r="E1116"/>
      <c r="F1116"/>
      <c r="H1116"/>
    </row>
    <row r="1117" spans="1:8" ht="15">
      <c r="A1117"/>
      <c r="B1117"/>
      <c r="D1117"/>
      <c r="E1117"/>
      <c r="F1117"/>
      <c r="H1117"/>
    </row>
    <row r="1118" spans="1:8" ht="15">
      <c r="A1118"/>
      <c r="B1118"/>
      <c r="D1118"/>
      <c r="E1118"/>
      <c r="F1118"/>
      <c r="H1118"/>
    </row>
    <row r="1119" spans="1:8" ht="15">
      <c r="A1119"/>
      <c r="B1119"/>
      <c r="D1119"/>
      <c r="E1119"/>
      <c r="F1119"/>
      <c r="H1119"/>
    </row>
    <row r="1120" spans="1:8" ht="15">
      <c r="A1120"/>
      <c r="B1120"/>
      <c r="D1120"/>
      <c r="E1120"/>
      <c r="F1120"/>
      <c r="H1120"/>
    </row>
    <row r="1121" spans="1:8" ht="15">
      <c r="A1121"/>
      <c r="B1121"/>
      <c r="D1121"/>
      <c r="E1121"/>
      <c r="F1121"/>
      <c r="H1121"/>
    </row>
    <row r="1122" spans="1:8" ht="15">
      <c r="A1122"/>
      <c r="B1122"/>
      <c r="D1122"/>
      <c r="E1122"/>
      <c r="F1122"/>
      <c r="H1122"/>
    </row>
    <row r="1123" spans="1:8" ht="15">
      <c r="A1123"/>
      <c r="B1123"/>
      <c r="D1123"/>
      <c r="E1123"/>
      <c r="F1123"/>
      <c r="H1123"/>
    </row>
    <row r="1124" spans="1:8" ht="15">
      <c r="A1124"/>
      <c r="B1124"/>
      <c r="D1124"/>
      <c r="E1124"/>
      <c r="F1124"/>
      <c r="H1124"/>
    </row>
    <row r="1125" spans="1:8" ht="15">
      <c r="A1125"/>
      <c r="B1125"/>
      <c r="D1125"/>
      <c r="E1125"/>
      <c r="F1125"/>
      <c r="H1125"/>
    </row>
    <row r="1126" spans="1:8" ht="15">
      <c r="A1126"/>
      <c r="B1126"/>
      <c r="D1126"/>
      <c r="E1126"/>
      <c r="F1126"/>
      <c r="H1126"/>
    </row>
    <row r="1127" spans="1:8" ht="15">
      <c r="A1127"/>
      <c r="B1127"/>
      <c r="D1127"/>
      <c r="E1127"/>
      <c r="F1127"/>
      <c r="H1127"/>
    </row>
    <row r="1128" spans="1:8" ht="15">
      <c r="A1128"/>
      <c r="B1128"/>
      <c r="D1128"/>
      <c r="E1128"/>
      <c r="F1128"/>
      <c r="H1128"/>
    </row>
    <row r="1129" spans="1:8" ht="15">
      <c r="A1129"/>
      <c r="B1129"/>
      <c r="D1129"/>
      <c r="E1129"/>
      <c r="F1129"/>
      <c r="H1129"/>
    </row>
    <row r="1130" spans="1:8" ht="15">
      <c r="A1130"/>
      <c r="B1130"/>
      <c r="D1130"/>
      <c r="E1130"/>
      <c r="F1130"/>
      <c r="H1130"/>
    </row>
    <row r="1131" spans="1:8" ht="15">
      <c r="A1131"/>
      <c r="B1131"/>
      <c r="D1131"/>
      <c r="E1131"/>
      <c r="F1131"/>
      <c r="H1131"/>
    </row>
    <row r="1132" spans="1:8" ht="15">
      <c r="A1132"/>
      <c r="B1132"/>
      <c r="D1132"/>
      <c r="E1132"/>
      <c r="F1132"/>
      <c r="H1132"/>
    </row>
    <row r="1133" spans="1:8" ht="15">
      <c r="A1133"/>
      <c r="B1133"/>
      <c r="D1133"/>
      <c r="E1133"/>
      <c r="F1133"/>
      <c r="H1133"/>
    </row>
    <row r="1134" spans="1:8" ht="15">
      <c r="A1134"/>
      <c r="B1134"/>
      <c r="D1134"/>
      <c r="E1134"/>
      <c r="F1134"/>
      <c r="H1134"/>
    </row>
    <row r="1135" spans="1:8" ht="15">
      <c r="A1135"/>
      <c r="B1135"/>
      <c r="D1135"/>
      <c r="E1135"/>
      <c r="F1135"/>
      <c r="H1135"/>
    </row>
    <row r="1136" spans="1:8" ht="15">
      <c r="A1136"/>
      <c r="B1136"/>
      <c r="D1136"/>
      <c r="E1136"/>
      <c r="F1136"/>
      <c r="H1136"/>
    </row>
    <row r="1137" spans="1:8" ht="15">
      <c r="A1137"/>
      <c r="B1137"/>
      <c r="D1137"/>
      <c r="E1137"/>
      <c r="F1137"/>
      <c r="H1137"/>
    </row>
    <row r="1138" spans="1:8" ht="15">
      <c r="A1138"/>
      <c r="B1138"/>
      <c r="D1138"/>
      <c r="E1138"/>
      <c r="F1138"/>
      <c r="H1138"/>
    </row>
    <row r="1139" spans="1:8" ht="15">
      <c r="A1139"/>
      <c r="B1139"/>
      <c r="D1139"/>
      <c r="E1139"/>
      <c r="F1139"/>
      <c r="H1139"/>
    </row>
    <row r="1140" spans="1:8" ht="15">
      <c r="A1140"/>
      <c r="B1140"/>
      <c r="D1140"/>
      <c r="E1140"/>
      <c r="F1140"/>
      <c r="H1140"/>
    </row>
    <row r="1141" spans="1:8" ht="15">
      <c r="A1141"/>
      <c r="B1141"/>
      <c r="D1141"/>
      <c r="E1141"/>
      <c r="F1141"/>
      <c r="H1141"/>
    </row>
    <row r="1142" spans="1:8" ht="15">
      <c r="A1142"/>
      <c r="B1142"/>
      <c r="D1142"/>
      <c r="E1142"/>
      <c r="F1142"/>
      <c r="H1142"/>
    </row>
    <row r="1143" spans="1:8" ht="15">
      <c r="A1143"/>
      <c r="B1143"/>
      <c r="D1143"/>
      <c r="E1143"/>
      <c r="F1143"/>
      <c r="H1143"/>
    </row>
    <row r="1144" spans="1:8" ht="15">
      <c r="A1144"/>
      <c r="B1144"/>
      <c r="D1144"/>
      <c r="E1144"/>
      <c r="F1144"/>
      <c r="H1144"/>
    </row>
    <row r="1145" spans="1:8" ht="15">
      <c r="A1145"/>
      <c r="B1145"/>
      <c r="D1145"/>
      <c r="E1145"/>
      <c r="F1145"/>
      <c r="H1145"/>
    </row>
    <row r="1146" spans="1:8" ht="15">
      <c r="A1146"/>
      <c r="B1146"/>
      <c r="D1146"/>
      <c r="E1146"/>
      <c r="F1146"/>
      <c r="H1146"/>
    </row>
    <row r="1147" spans="1:8" ht="15">
      <c r="A1147"/>
      <c r="B1147"/>
      <c r="D1147"/>
      <c r="E1147"/>
      <c r="F1147"/>
      <c r="H1147"/>
    </row>
    <row r="1148" spans="1:8" ht="15">
      <c r="A1148"/>
      <c r="B1148"/>
      <c r="D1148"/>
      <c r="E1148"/>
      <c r="F1148"/>
      <c r="H1148"/>
    </row>
    <row r="1149" spans="1:8" ht="15">
      <c r="A1149"/>
      <c r="B1149"/>
      <c r="D1149"/>
      <c r="E1149"/>
      <c r="F1149"/>
      <c r="H1149"/>
    </row>
    <row r="1150" spans="1:8" ht="15">
      <c r="A1150"/>
      <c r="B1150"/>
      <c r="D1150"/>
      <c r="E1150"/>
      <c r="F1150"/>
      <c r="H1150"/>
    </row>
    <row r="1151" spans="1:8" ht="15">
      <c r="A1151"/>
      <c r="B1151"/>
      <c r="D1151"/>
      <c r="E1151"/>
      <c r="F1151"/>
      <c r="H1151"/>
    </row>
    <row r="1152" spans="1:8" ht="15">
      <c r="A1152"/>
      <c r="B1152"/>
      <c r="D1152"/>
      <c r="E1152"/>
      <c r="F1152"/>
      <c r="H1152"/>
    </row>
    <row r="1153" spans="1:8" ht="15">
      <c r="A1153"/>
      <c r="B1153"/>
      <c r="D1153"/>
      <c r="E1153"/>
      <c r="F1153"/>
      <c r="H1153"/>
    </row>
    <row r="1154" spans="1:8" ht="15">
      <c r="A1154"/>
      <c r="B1154"/>
      <c r="D1154"/>
      <c r="E1154"/>
      <c r="F1154"/>
      <c r="H1154"/>
    </row>
    <row r="1155" spans="1:8" ht="15">
      <c r="A1155"/>
      <c r="B1155"/>
      <c r="D1155"/>
      <c r="E1155"/>
      <c r="F1155"/>
      <c r="H1155"/>
    </row>
    <row r="1156" spans="1:8" ht="15">
      <c r="A1156"/>
      <c r="B1156"/>
      <c r="D1156"/>
      <c r="E1156"/>
      <c r="F1156"/>
      <c r="H1156"/>
    </row>
    <row r="1157" spans="1:8" ht="15">
      <c r="A1157"/>
      <c r="B1157"/>
      <c r="D1157"/>
      <c r="E1157"/>
      <c r="F1157"/>
      <c r="H1157"/>
    </row>
    <row r="1158" spans="1:8" ht="15">
      <c r="A1158"/>
      <c r="B1158"/>
      <c r="D1158"/>
      <c r="E1158"/>
      <c r="F1158"/>
      <c r="H1158"/>
    </row>
    <row r="1159" spans="1:8" ht="15">
      <c r="A1159"/>
      <c r="B1159"/>
      <c r="D1159"/>
      <c r="E1159"/>
      <c r="F1159"/>
      <c r="H1159"/>
    </row>
    <row r="1160" spans="1:8" ht="15">
      <c r="A1160"/>
      <c r="B1160"/>
      <c r="D1160"/>
      <c r="E1160"/>
      <c r="F1160"/>
      <c r="H1160"/>
    </row>
    <row r="1161" spans="1:8" ht="15">
      <c r="A1161"/>
      <c r="B1161"/>
      <c r="D1161"/>
      <c r="E1161"/>
      <c r="F1161"/>
      <c r="H1161"/>
    </row>
    <row r="1162" spans="1:8" ht="15">
      <c r="A1162"/>
      <c r="B1162"/>
      <c r="D1162"/>
      <c r="E1162"/>
      <c r="F1162"/>
      <c r="H1162"/>
    </row>
    <row r="1163" spans="1:8" ht="15">
      <c r="A1163"/>
      <c r="B1163"/>
      <c r="D1163"/>
      <c r="E1163"/>
      <c r="F1163"/>
      <c r="H1163"/>
    </row>
    <row r="1164" spans="1:8" ht="15">
      <c r="A1164"/>
      <c r="B1164"/>
      <c r="D1164"/>
      <c r="E1164"/>
      <c r="F1164"/>
      <c r="H1164"/>
    </row>
    <row r="1165" spans="1:8" ht="15">
      <c r="A1165"/>
      <c r="B1165"/>
      <c r="D1165"/>
      <c r="E1165"/>
      <c r="F1165"/>
      <c r="H1165"/>
    </row>
    <row r="1166" spans="1:8" ht="15">
      <c r="A1166"/>
      <c r="B1166"/>
      <c r="D1166"/>
      <c r="E1166"/>
      <c r="F1166"/>
      <c r="H1166"/>
    </row>
    <row r="1167" spans="1:8" ht="15">
      <c r="A1167"/>
      <c r="B1167"/>
      <c r="D1167"/>
      <c r="E1167"/>
      <c r="F1167"/>
      <c r="H1167"/>
    </row>
    <row r="1168" spans="1:8" ht="15">
      <c r="A1168"/>
      <c r="B1168"/>
      <c r="D1168"/>
      <c r="E1168"/>
      <c r="F1168"/>
      <c r="H1168"/>
    </row>
    <row r="1169" spans="1:8" ht="15">
      <c r="A1169"/>
      <c r="B1169"/>
      <c r="D1169"/>
      <c r="E1169"/>
      <c r="F1169"/>
      <c r="H1169"/>
    </row>
    <row r="1170" spans="1:8" ht="15">
      <c r="A1170"/>
      <c r="B1170"/>
      <c r="D1170"/>
      <c r="E1170"/>
      <c r="F1170"/>
      <c r="H1170"/>
    </row>
    <row r="1171" spans="1:8" ht="15">
      <c r="A1171"/>
      <c r="B1171"/>
      <c r="D1171"/>
      <c r="E1171"/>
      <c r="F1171"/>
      <c r="H1171"/>
    </row>
    <row r="1172" spans="1:8" ht="15">
      <c r="A1172"/>
      <c r="B1172"/>
      <c r="D1172"/>
      <c r="E1172"/>
      <c r="F1172"/>
      <c r="H1172"/>
    </row>
    <row r="1173" spans="1:8" ht="15">
      <c r="A1173"/>
      <c r="B1173"/>
      <c r="D1173"/>
      <c r="E1173"/>
      <c r="F1173"/>
      <c r="H1173"/>
    </row>
    <row r="1174" spans="1:8" ht="15">
      <c r="A1174"/>
      <c r="B1174"/>
      <c r="D1174"/>
      <c r="E1174"/>
      <c r="F1174"/>
      <c r="H1174"/>
    </row>
    <row r="1175" spans="1:8" ht="15">
      <c r="A1175"/>
      <c r="B1175"/>
      <c r="D1175"/>
      <c r="E1175"/>
      <c r="F1175"/>
      <c r="H1175"/>
    </row>
    <row r="1176" spans="1:8" ht="15">
      <c r="A1176"/>
      <c r="B1176"/>
      <c r="D1176"/>
      <c r="E1176"/>
      <c r="F1176"/>
      <c r="H1176"/>
    </row>
    <row r="1177" spans="1:8" ht="15">
      <c r="A1177"/>
      <c r="B1177"/>
      <c r="D1177"/>
      <c r="E1177"/>
      <c r="F1177"/>
      <c r="H1177"/>
    </row>
    <row r="1178" spans="1:8" ht="15">
      <c r="A1178"/>
      <c r="B1178"/>
      <c r="D1178"/>
      <c r="E1178"/>
      <c r="F1178"/>
      <c r="H1178"/>
    </row>
    <row r="1179" spans="1:8" ht="15">
      <c r="A1179"/>
      <c r="B1179"/>
      <c r="D1179"/>
      <c r="E1179"/>
      <c r="F1179"/>
      <c r="H1179"/>
    </row>
    <row r="1180" spans="1:8" ht="15">
      <c r="A1180"/>
      <c r="B1180"/>
      <c r="D1180"/>
      <c r="E1180"/>
      <c r="F1180"/>
      <c r="H1180"/>
    </row>
    <row r="1181" spans="1:8" ht="15">
      <c r="A1181"/>
      <c r="B1181"/>
      <c r="D1181"/>
      <c r="E1181"/>
      <c r="F1181"/>
      <c r="H1181"/>
    </row>
    <row r="1182" spans="1:8" ht="15">
      <c r="A1182"/>
      <c r="B1182"/>
      <c r="D1182"/>
      <c r="E1182"/>
      <c r="F1182"/>
      <c r="H1182"/>
    </row>
    <row r="1183" spans="1:8" ht="15">
      <c r="A1183"/>
      <c r="B1183"/>
      <c r="D1183"/>
      <c r="E1183"/>
      <c r="F1183"/>
      <c r="H1183"/>
    </row>
    <row r="1184" spans="1:8" ht="15">
      <c r="A1184"/>
      <c r="B1184"/>
      <c r="D1184"/>
      <c r="E1184"/>
      <c r="F1184"/>
      <c r="H1184"/>
    </row>
    <row r="1185" spans="1:8" ht="15">
      <c r="A1185"/>
      <c r="B1185"/>
      <c r="D1185"/>
      <c r="E1185"/>
      <c r="F1185"/>
      <c r="H1185"/>
    </row>
    <row r="1186" spans="1:8" ht="15">
      <c r="A1186"/>
      <c r="B1186"/>
      <c r="D1186"/>
      <c r="E1186"/>
      <c r="F1186"/>
      <c r="H1186"/>
    </row>
    <row r="1187" spans="1:8" ht="15">
      <c r="A1187"/>
      <c r="B1187"/>
      <c r="D1187"/>
      <c r="E1187"/>
      <c r="F1187"/>
      <c r="H1187"/>
    </row>
    <row r="1188" spans="1:8" ht="15">
      <c r="A1188"/>
      <c r="B1188"/>
      <c r="D1188"/>
      <c r="E1188"/>
      <c r="F1188"/>
      <c r="H1188"/>
    </row>
    <row r="1189" spans="1:8" ht="15">
      <c r="A1189"/>
      <c r="B1189"/>
      <c r="D1189"/>
      <c r="E1189"/>
      <c r="F1189"/>
      <c r="H1189"/>
    </row>
    <row r="1190" spans="1:8" ht="15">
      <c r="A1190"/>
      <c r="B1190"/>
      <c r="D1190"/>
      <c r="E1190"/>
      <c r="F1190"/>
      <c r="H1190"/>
    </row>
    <row r="1191" spans="1:8" ht="15">
      <c r="A1191"/>
      <c r="B1191"/>
      <c r="D1191"/>
      <c r="E1191"/>
      <c r="F1191"/>
      <c r="H1191"/>
    </row>
    <row r="1192" spans="1:8" ht="15">
      <c r="A1192"/>
      <c r="B1192"/>
      <c r="D1192"/>
      <c r="E1192"/>
      <c r="F1192"/>
      <c r="H1192"/>
    </row>
    <row r="1193" spans="1:8" ht="15">
      <c r="A1193"/>
      <c r="B1193"/>
      <c r="D1193"/>
      <c r="E1193"/>
      <c r="F1193"/>
      <c r="H1193"/>
    </row>
    <row r="1194" spans="1:8" ht="15">
      <c r="A1194"/>
      <c r="B1194"/>
      <c r="D1194"/>
      <c r="E1194"/>
      <c r="F1194"/>
      <c r="H1194"/>
    </row>
    <row r="1195" spans="1:8" ht="15">
      <c r="A1195"/>
      <c r="B1195"/>
      <c r="D1195"/>
      <c r="E1195"/>
      <c r="F1195"/>
      <c r="H1195"/>
    </row>
    <row r="1196" spans="1:8" ht="15">
      <c r="A1196"/>
      <c r="B1196"/>
      <c r="D1196"/>
      <c r="E1196"/>
      <c r="F1196"/>
      <c r="H1196"/>
    </row>
    <row r="1197" spans="1:8" ht="15">
      <c r="A1197"/>
      <c r="B1197"/>
      <c r="D1197"/>
      <c r="E1197"/>
      <c r="F1197"/>
      <c r="H1197"/>
    </row>
    <row r="1198" spans="1:8" ht="15">
      <c r="A1198"/>
      <c r="B1198"/>
      <c r="D1198"/>
      <c r="E1198"/>
      <c r="F1198"/>
      <c r="H1198"/>
    </row>
    <row r="1199" spans="1:8" ht="15">
      <c r="A1199"/>
      <c r="B1199"/>
      <c r="D1199"/>
      <c r="E1199"/>
      <c r="F1199"/>
      <c r="H1199"/>
    </row>
    <row r="1200" spans="1:8" ht="15">
      <c r="A1200"/>
      <c r="B1200"/>
      <c r="D1200"/>
      <c r="E1200"/>
      <c r="F1200"/>
      <c r="H1200"/>
    </row>
    <row r="1201" spans="1:8" ht="15">
      <c r="A1201"/>
      <c r="B1201"/>
      <c r="D1201"/>
      <c r="E1201"/>
      <c r="F1201"/>
      <c r="H1201"/>
    </row>
    <row r="1202" spans="1:8" ht="15">
      <c r="A1202"/>
      <c r="B1202"/>
      <c r="D1202"/>
      <c r="E1202"/>
      <c r="F1202"/>
      <c r="H1202"/>
    </row>
    <row r="1203" spans="1:8" ht="15">
      <c r="A1203"/>
      <c r="B1203"/>
      <c r="D1203"/>
      <c r="E1203"/>
      <c r="F1203"/>
      <c r="H1203"/>
    </row>
    <row r="1204" spans="1:8" ht="15">
      <c r="A1204"/>
      <c r="B1204"/>
      <c r="D1204"/>
      <c r="E1204"/>
      <c r="F1204"/>
      <c r="H1204"/>
    </row>
    <row r="1205" spans="1:8" ht="15">
      <c r="A1205"/>
      <c r="B1205"/>
      <c r="D1205"/>
      <c r="E1205"/>
      <c r="F1205"/>
      <c r="H1205"/>
    </row>
    <row r="1206" spans="1:8" ht="15">
      <c r="A1206"/>
      <c r="B1206"/>
      <c r="D1206"/>
      <c r="E1206"/>
      <c r="F1206"/>
      <c r="H1206"/>
    </row>
    <row r="1207" spans="1:8" ht="15">
      <c r="A1207"/>
      <c r="B1207"/>
      <c r="D1207"/>
      <c r="E1207"/>
      <c r="F1207"/>
      <c r="H1207"/>
    </row>
    <row r="1208" spans="1:8" ht="15">
      <c r="A1208"/>
      <c r="B1208"/>
      <c r="D1208"/>
      <c r="E1208"/>
      <c r="F1208"/>
      <c r="H1208"/>
    </row>
    <row r="1209" spans="1:8" ht="15">
      <c r="A1209"/>
      <c r="B1209"/>
      <c r="D1209"/>
      <c r="E1209"/>
      <c r="F1209"/>
      <c r="H1209"/>
    </row>
    <row r="1210" spans="1:8" ht="15">
      <c r="A1210"/>
      <c r="B1210"/>
      <c r="D1210"/>
      <c r="E1210"/>
      <c r="F1210"/>
      <c r="H1210"/>
    </row>
    <row r="1211" spans="1:8" ht="15">
      <c r="A1211"/>
      <c r="B1211"/>
      <c r="D1211"/>
      <c r="E1211"/>
      <c r="F1211"/>
      <c r="H1211"/>
    </row>
    <row r="1212" spans="1:8" ht="15">
      <c r="A1212"/>
      <c r="B1212"/>
      <c r="D1212"/>
      <c r="E1212"/>
      <c r="F1212"/>
      <c r="H1212"/>
    </row>
    <row r="1213" spans="1:8" ht="15">
      <c r="A1213"/>
      <c r="B1213"/>
      <c r="D1213"/>
      <c r="E1213"/>
      <c r="F1213"/>
      <c r="H1213"/>
    </row>
    <row r="1214" spans="1:8" ht="15">
      <c r="A1214"/>
      <c r="B1214"/>
      <c r="D1214"/>
      <c r="E1214"/>
      <c r="F1214"/>
      <c r="H1214"/>
    </row>
    <row r="1215" spans="1:8" ht="15">
      <c r="A1215"/>
      <c r="B1215"/>
      <c r="D1215"/>
      <c r="E1215"/>
      <c r="F1215"/>
      <c r="H1215"/>
    </row>
    <row r="1216" spans="1:8" ht="15">
      <c r="A1216"/>
      <c r="B1216"/>
      <c r="D1216"/>
      <c r="E1216"/>
      <c r="F1216"/>
      <c r="H1216"/>
    </row>
    <row r="1217" spans="1:8" ht="15">
      <c r="A1217"/>
      <c r="B1217"/>
      <c r="D1217"/>
      <c r="E1217"/>
      <c r="F1217"/>
      <c r="H1217"/>
    </row>
    <row r="1218" spans="1:8" ht="15">
      <c r="A1218"/>
      <c r="B1218"/>
      <c r="D1218"/>
      <c r="E1218"/>
      <c r="F1218"/>
      <c r="H1218"/>
    </row>
    <row r="1219" spans="1:8" ht="15">
      <c r="A1219"/>
      <c r="B1219"/>
      <c r="D1219"/>
      <c r="E1219"/>
      <c r="F1219"/>
      <c r="H1219"/>
    </row>
    <row r="1220" spans="1:8" ht="15">
      <c r="A1220"/>
      <c r="B1220"/>
      <c r="D1220"/>
      <c r="E1220"/>
      <c r="F1220"/>
      <c r="H1220"/>
    </row>
    <row r="1221" spans="1:8" ht="15">
      <c r="A1221"/>
      <c r="B1221"/>
      <c r="D1221"/>
      <c r="E1221"/>
      <c r="F1221"/>
      <c r="H1221"/>
    </row>
    <row r="1222" spans="1:8" ht="15">
      <c r="A1222"/>
      <c r="B1222"/>
      <c r="D1222"/>
      <c r="E1222"/>
      <c r="F1222"/>
      <c r="H1222"/>
    </row>
    <row r="1223" spans="1:8" ht="15">
      <c r="A1223"/>
      <c r="B1223"/>
      <c r="D1223"/>
      <c r="E1223"/>
      <c r="F1223"/>
      <c r="H1223"/>
    </row>
    <row r="1224" spans="1:8" ht="15">
      <c r="A1224"/>
      <c r="B1224"/>
      <c r="D1224"/>
      <c r="E1224"/>
      <c r="F1224"/>
      <c r="H1224"/>
    </row>
    <row r="1225" spans="1:8" ht="15">
      <c r="A1225"/>
      <c r="B1225"/>
      <c r="D1225"/>
      <c r="E1225"/>
      <c r="F1225"/>
      <c r="H1225"/>
    </row>
    <row r="1226" spans="1:8" ht="15">
      <c r="A1226"/>
      <c r="B1226"/>
      <c r="D1226"/>
      <c r="E1226"/>
      <c r="F1226"/>
      <c r="H1226"/>
    </row>
    <row r="1227" spans="1:8" ht="15">
      <c r="A1227"/>
      <c r="B1227"/>
      <c r="D1227"/>
      <c r="E1227"/>
      <c r="F1227"/>
      <c r="H1227"/>
    </row>
    <row r="1228" spans="1:8" ht="15">
      <c r="A1228"/>
      <c r="B1228"/>
      <c r="D1228"/>
      <c r="E1228"/>
      <c r="F1228"/>
      <c r="H1228"/>
    </row>
    <row r="1229" spans="1:8" ht="15">
      <c r="A1229"/>
      <c r="B1229"/>
      <c r="D1229"/>
      <c r="E1229"/>
      <c r="F1229"/>
      <c r="H1229"/>
    </row>
    <row r="1230" spans="1:8" ht="15">
      <c r="A1230"/>
      <c r="B1230"/>
      <c r="D1230"/>
      <c r="E1230"/>
      <c r="F1230"/>
      <c r="H1230"/>
    </row>
    <row r="1231" spans="1:8" ht="15">
      <c r="A1231"/>
      <c r="B1231"/>
      <c r="D1231"/>
      <c r="E1231"/>
      <c r="F1231"/>
      <c r="H1231"/>
    </row>
    <row r="1232" spans="1:8" ht="15">
      <c r="A1232"/>
      <c r="B1232"/>
      <c r="D1232"/>
      <c r="E1232"/>
      <c r="F1232"/>
      <c r="H1232"/>
    </row>
    <row r="1233" spans="1:8" ht="15">
      <c r="A1233"/>
      <c r="B1233"/>
      <c r="D1233"/>
      <c r="E1233"/>
      <c r="F1233"/>
      <c r="H1233"/>
    </row>
    <row r="1234" spans="1:8" ht="15">
      <c r="A1234"/>
      <c r="B1234"/>
      <c r="D1234"/>
      <c r="E1234"/>
      <c r="F1234"/>
      <c r="H1234"/>
    </row>
    <row r="1235" spans="1:8" ht="15">
      <c r="A1235"/>
      <c r="B1235"/>
      <c r="D1235"/>
      <c r="E1235"/>
      <c r="F1235"/>
      <c r="H1235"/>
    </row>
    <row r="1236" spans="1:8" ht="15">
      <c r="A1236"/>
      <c r="B1236"/>
      <c r="D1236"/>
      <c r="E1236"/>
      <c r="F1236"/>
      <c r="H1236"/>
    </row>
    <row r="1237" spans="1:8" ht="15">
      <c r="A1237"/>
      <c r="B1237"/>
      <c r="D1237"/>
      <c r="E1237"/>
      <c r="F1237"/>
      <c r="H1237"/>
    </row>
    <row r="1238" spans="1:8" ht="15">
      <c r="A1238"/>
      <c r="B1238"/>
      <c r="D1238"/>
      <c r="E1238"/>
      <c r="F1238"/>
      <c r="H1238"/>
    </row>
    <row r="1239" spans="1:8" ht="15">
      <c r="A1239"/>
      <c r="B1239"/>
      <c r="D1239"/>
      <c r="E1239"/>
      <c r="F1239"/>
      <c r="H1239"/>
    </row>
    <row r="1240" spans="1:8" ht="15">
      <c r="A1240"/>
      <c r="B1240"/>
      <c r="D1240"/>
      <c r="E1240"/>
      <c r="F1240"/>
      <c r="H1240"/>
    </row>
    <row r="1241" spans="1:8" ht="15">
      <c r="A1241"/>
      <c r="B1241"/>
      <c r="D1241"/>
      <c r="E1241"/>
      <c r="F1241"/>
      <c r="H1241"/>
    </row>
    <row r="1242" spans="1:8" ht="15">
      <c r="A1242"/>
      <c r="B1242"/>
      <c r="D1242"/>
      <c r="E1242"/>
      <c r="F1242"/>
      <c r="H1242"/>
    </row>
    <row r="1243" spans="1:8" ht="15">
      <c r="A1243"/>
      <c r="B1243"/>
      <c r="D1243"/>
      <c r="E1243"/>
      <c r="F1243"/>
      <c r="H1243"/>
    </row>
    <row r="1244" spans="1:8" ht="15">
      <c r="A1244"/>
      <c r="B1244"/>
      <c r="D1244"/>
      <c r="E1244"/>
      <c r="F1244"/>
      <c r="H1244"/>
    </row>
    <row r="1245" spans="1:8" ht="15">
      <c r="A1245"/>
      <c r="B1245"/>
      <c r="D1245"/>
      <c r="E1245"/>
      <c r="F1245"/>
      <c r="H1245"/>
    </row>
    <row r="1246" spans="1:8" ht="15">
      <c r="A1246"/>
      <c r="B1246"/>
      <c r="D1246"/>
      <c r="E1246"/>
      <c r="F1246"/>
      <c r="H1246"/>
    </row>
    <row r="1247" spans="1:8" ht="15">
      <c r="A1247"/>
      <c r="B1247"/>
      <c r="D1247"/>
      <c r="E1247"/>
      <c r="F1247"/>
      <c r="H1247"/>
    </row>
    <row r="1248" spans="1:8" ht="15">
      <c r="A1248"/>
      <c r="B1248"/>
      <c r="D1248"/>
      <c r="E1248"/>
      <c r="F1248"/>
      <c r="H1248"/>
    </row>
    <row r="1249" spans="1:8" ht="15">
      <c r="A1249"/>
      <c r="B1249"/>
      <c r="D1249"/>
      <c r="E1249"/>
      <c r="F1249"/>
      <c r="H1249"/>
    </row>
    <row r="1250" spans="1:8" ht="15">
      <c r="A1250"/>
      <c r="B1250"/>
      <c r="D1250"/>
      <c r="E1250"/>
      <c r="F1250"/>
      <c r="H1250"/>
    </row>
    <row r="1251" spans="1:8" ht="15">
      <c r="A1251"/>
      <c r="B1251"/>
      <c r="D1251"/>
      <c r="E1251"/>
      <c r="F1251"/>
      <c r="H1251"/>
    </row>
    <row r="1252" spans="1:8" ht="15">
      <c r="A1252"/>
      <c r="B1252"/>
      <c r="D1252"/>
      <c r="E1252"/>
      <c r="F1252"/>
      <c r="H1252"/>
    </row>
    <row r="1253" spans="1:8" ht="15">
      <c r="A1253"/>
      <c r="B1253"/>
      <c r="D1253"/>
      <c r="E1253"/>
      <c r="F1253"/>
      <c r="H1253"/>
    </row>
    <row r="1254" spans="1:8" ht="15">
      <c r="A1254"/>
      <c r="B1254"/>
      <c r="D1254"/>
      <c r="E1254"/>
      <c r="F1254"/>
      <c r="H1254"/>
    </row>
    <row r="1255" spans="1:8" ht="15">
      <c r="A1255"/>
      <c r="B1255"/>
      <c r="D1255"/>
      <c r="E1255"/>
      <c r="F1255"/>
      <c r="H1255"/>
    </row>
    <row r="1256" spans="1:8" ht="15">
      <c r="A1256"/>
      <c r="B1256"/>
      <c r="D1256"/>
      <c r="E1256"/>
      <c r="F1256"/>
      <c r="H1256"/>
    </row>
    <row r="1257" spans="1:8" ht="15">
      <c r="A1257"/>
      <c r="B1257"/>
      <c r="D1257"/>
      <c r="E1257"/>
      <c r="F1257"/>
      <c r="H1257"/>
    </row>
    <row r="1258" spans="1:8" ht="15">
      <c r="A1258"/>
      <c r="B1258"/>
      <c r="D1258"/>
      <c r="E1258"/>
      <c r="F1258"/>
      <c r="H1258"/>
    </row>
    <row r="1259" spans="1:8" ht="15">
      <c r="A1259"/>
      <c r="B1259"/>
      <c r="D1259"/>
      <c r="E1259"/>
      <c r="F1259"/>
      <c r="H1259"/>
    </row>
    <row r="1260" spans="1:8" ht="15">
      <c r="A1260"/>
      <c r="B1260"/>
      <c r="D1260"/>
      <c r="E1260"/>
      <c r="F1260"/>
      <c r="H1260"/>
    </row>
    <row r="1261" spans="1:8" ht="15">
      <c r="A1261"/>
      <c r="B1261"/>
      <c r="D1261"/>
      <c r="E1261"/>
      <c r="F1261"/>
      <c r="H1261"/>
    </row>
    <row r="1262" spans="1:8" ht="15">
      <c r="A1262"/>
      <c r="B1262"/>
      <c r="D1262"/>
      <c r="E1262"/>
      <c r="F1262"/>
      <c r="H1262"/>
    </row>
    <row r="1263" spans="1:8" ht="15">
      <c r="A1263"/>
      <c r="B1263"/>
      <c r="D1263"/>
      <c r="E1263"/>
      <c r="F1263"/>
      <c r="H1263"/>
    </row>
    <row r="1264" spans="1:8" ht="15">
      <c r="A1264"/>
      <c r="B1264"/>
      <c r="D1264"/>
      <c r="E1264"/>
      <c r="F1264"/>
      <c r="H1264"/>
    </row>
    <row r="1265" spans="1:8" ht="15">
      <c r="A1265"/>
      <c r="B1265"/>
      <c r="D1265"/>
      <c r="E1265"/>
      <c r="F1265"/>
      <c r="H1265"/>
    </row>
    <row r="1266" spans="1:8" ht="15">
      <c r="A1266"/>
      <c r="B1266"/>
      <c r="D1266"/>
      <c r="E1266"/>
      <c r="F1266"/>
      <c r="H1266"/>
    </row>
    <row r="1267" spans="1:8" ht="15">
      <c r="A1267"/>
      <c r="B1267"/>
      <c r="D1267"/>
      <c r="E1267"/>
      <c r="F1267"/>
      <c r="H1267"/>
    </row>
    <row r="1268" spans="1:8" ht="15">
      <c r="A1268"/>
      <c r="B1268"/>
      <c r="D1268"/>
      <c r="E1268"/>
      <c r="F1268"/>
      <c r="H1268"/>
    </row>
    <row r="1269" spans="1:8" ht="15">
      <c r="A1269"/>
      <c r="B1269"/>
      <c r="D1269"/>
      <c r="E1269"/>
      <c r="F1269"/>
      <c r="H1269"/>
    </row>
    <row r="1270" spans="1:8" ht="15">
      <c r="A1270"/>
      <c r="B1270"/>
      <c r="D1270"/>
      <c r="E1270"/>
      <c r="F1270"/>
      <c r="H1270"/>
    </row>
    <row r="1271" spans="1:8" ht="15">
      <c r="A1271"/>
      <c r="B1271"/>
      <c r="D1271"/>
      <c r="E1271"/>
      <c r="F1271"/>
      <c r="H1271"/>
    </row>
    <row r="1272" spans="1:8" ht="15">
      <c r="A1272"/>
      <c r="B1272"/>
      <c r="D1272"/>
      <c r="E1272"/>
      <c r="F1272"/>
      <c r="H1272"/>
    </row>
    <row r="1273" spans="1:8" ht="15">
      <c r="A1273"/>
      <c r="B1273"/>
      <c r="D1273"/>
      <c r="E1273"/>
      <c r="F1273"/>
      <c r="H1273"/>
    </row>
    <row r="1274" spans="1:8" ht="15">
      <c r="A1274"/>
      <c r="B1274"/>
      <c r="D1274"/>
      <c r="E1274"/>
      <c r="F1274"/>
      <c r="H1274"/>
    </row>
    <row r="1275" spans="1:8" ht="15">
      <c r="A1275"/>
      <c r="B1275"/>
      <c r="D1275"/>
      <c r="E1275"/>
      <c r="F1275"/>
      <c r="H1275"/>
    </row>
    <row r="1276" spans="1:8" ht="15">
      <c r="A1276"/>
      <c r="B1276"/>
      <c r="D1276"/>
      <c r="E1276"/>
      <c r="F1276"/>
      <c r="H1276"/>
    </row>
    <row r="1277" spans="1:8" ht="15">
      <c r="A1277"/>
      <c r="B1277"/>
      <c r="D1277"/>
      <c r="E1277"/>
      <c r="F1277"/>
      <c r="H1277"/>
    </row>
    <row r="1278" spans="1:8" ht="15">
      <c r="A1278"/>
      <c r="B1278"/>
      <c r="D1278"/>
      <c r="E1278"/>
      <c r="F1278"/>
      <c r="H1278"/>
    </row>
    <row r="1279" spans="1:8" ht="15">
      <c r="A1279"/>
      <c r="B1279"/>
      <c r="D1279"/>
      <c r="E1279"/>
      <c r="F1279"/>
      <c r="H1279"/>
    </row>
    <row r="1280" spans="1:8" ht="15">
      <c r="A1280"/>
      <c r="B1280"/>
      <c r="D1280"/>
      <c r="E1280"/>
      <c r="F1280"/>
      <c r="H1280"/>
    </row>
    <row r="1281" spans="1:8" ht="15">
      <c r="A1281"/>
      <c r="B1281"/>
      <c r="D1281"/>
      <c r="E1281"/>
      <c r="F1281"/>
      <c r="H1281"/>
    </row>
    <row r="1282" spans="1:8" ht="15">
      <c r="A1282"/>
      <c r="B1282"/>
      <c r="D1282"/>
      <c r="E1282"/>
      <c r="F1282"/>
      <c r="H1282"/>
    </row>
    <row r="1283" spans="1:8" ht="15">
      <c r="A1283"/>
      <c r="B1283"/>
      <c r="D1283"/>
      <c r="E1283"/>
      <c r="F1283"/>
      <c r="H1283"/>
    </row>
    <row r="1284" spans="1:8" ht="15">
      <c r="A1284"/>
      <c r="B1284"/>
      <c r="D1284"/>
      <c r="E1284"/>
      <c r="F1284"/>
      <c r="H1284"/>
    </row>
    <row r="1285" spans="1:8" ht="15">
      <c r="A1285"/>
      <c r="B1285"/>
      <c r="D1285"/>
      <c r="E1285"/>
      <c r="F1285"/>
      <c r="H1285"/>
    </row>
    <row r="1286" spans="1:8" ht="15">
      <c r="A1286"/>
      <c r="B1286"/>
      <c r="D1286"/>
      <c r="E1286"/>
      <c r="F1286"/>
      <c r="H1286"/>
    </row>
    <row r="1287" spans="1:8" ht="15">
      <c r="A1287"/>
      <c r="B1287"/>
      <c r="D1287"/>
      <c r="E1287"/>
      <c r="F1287"/>
      <c r="H1287"/>
    </row>
    <row r="1288" spans="1:8" ht="15">
      <c r="A1288"/>
      <c r="B1288"/>
      <c r="D1288"/>
      <c r="E1288"/>
      <c r="F1288"/>
      <c r="H1288"/>
    </row>
    <row r="1289" spans="1:8" ht="15">
      <c r="A1289"/>
      <c r="B1289"/>
      <c r="D1289"/>
      <c r="E1289"/>
      <c r="F1289"/>
      <c r="H1289"/>
    </row>
    <row r="1290" spans="1:8" ht="15">
      <c r="A1290"/>
      <c r="B1290"/>
      <c r="D1290"/>
      <c r="E1290"/>
      <c r="F1290"/>
      <c r="H1290"/>
    </row>
    <row r="1291" spans="1:8" ht="15">
      <c r="A1291"/>
      <c r="B1291"/>
      <c r="D1291"/>
      <c r="E1291"/>
      <c r="F1291"/>
      <c r="H1291"/>
    </row>
    <row r="1292" spans="1:8" ht="15">
      <c r="A1292"/>
      <c r="B1292"/>
      <c r="D1292"/>
      <c r="E1292"/>
      <c r="F1292"/>
      <c r="H1292"/>
    </row>
    <row r="1293" spans="1:8" ht="15">
      <c r="A1293"/>
      <c r="B1293"/>
      <c r="D1293"/>
      <c r="E1293"/>
      <c r="F1293"/>
      <c r="H1293"/>
    </row>
    <row r="1294" spans="1:8" ht="15">
      <c r="A1294"/>
      <c r="B1294"/>
      <c r="D1294"/>
      <c r="E1294"/>
      <c r="F1294"/>
      <c r="H1294"/>
    </row>
    <row r="1295" spans="1:8" ht="15">
      <c r="A1295"/>
      <c r="B1295"/>
      <c r="D1295"/>
      <c r="E1295"/>
      <c r="F1295"/>
      <c r="H1295"/>
    </row>
    <row r="1296" spans="1:8" ht="15">
      <c r="A1296"/>
      <c r="B1296"/>
      <c r="D1296"/>
      <c r="E1296"/>
      <c r="F1296"/>
      <c r="H1296"/>
    </row>
    <row r="1297" spans="1:8" ht="15">
      <c r="A1297"/>
      <c r="B1297"/>
      <c r="D1297"/>
      <c r="E1297"/>
      <c r="F1297"/>
      <c r="H1297"/>
    </row>
    <row r="1298" spans="1:8" ht="15">
      <c r="A1298"/>
      <c r="B1298"/>
      <c r="D1298"/>
      <c r="E1298"/>
      <c r="F1298"/>
      <c r="H1298"/>
    </row>
    <row r="1299" spans="1:8" ht="15">
      <c r="A1299"/>
      <c r="B1299"/>
      <c r="D1299"/>
      <c r="E1299"/>
      <c r="F1299"/>
      <c r="H1299"/>
    </row>
    <row r="1300" spans="1:8" ht="15">
      <c r="A1300"/>
      <c r="B1300"/>
      <c r="D1300"/>
      <c r="E1300"/>
      <c r="F1300"/>
      <c r="H1300"/>
    </row>
    <row r="1301" spans="1:8" ht="15">
      <c r="A1301"/>
      <c r="B1301"/>
      <c r="D1301"/>
      <c r="E1301"/>
      <c r="F1301"/>
      <c r="H1301"/>
    </row>
    <row r="1302" spans="1:8" ht="15">
      <c r="A1302"/>
      <c r="B1302"/>
      <c r="D1302"/>
      <c r="E1302"/>
      <c r="F1302"/>
      <c r="H1302"/>
    </row>
    <row r="1303" spans="1:8" ht="15">
      <c r="A1303"/>
      <c r="B1303"/>
      <c r="D1303"/>
      <c r="E1303"/>
      <c r="F1303"/>
      <c r="H1303"/>
    </row>
    <row r="1304" spans="1:8" ht="15">
      <c r="A1304"/>
      <c r="B1304"/>
      <c r="D1304"/>
      <c r="E1304"/>
      <c r="F1304"/>
      <c r="H1304"/>
    </row>
    <row r="1305" spans="1:8" ht="15">
      <c r="A1305"/>
      <c r="B1305"/>
      <c r="D1305"/>
      <c r="E1305"/>
      <c r="F1305"/>
      <c r="H1305"/>
    </row>
    <row r="1306" spans="1:8" ht="15">
      <c r="A1306"/>
      <c r="B1306"/>
      <c r="D1306"/>
      <c r="E1306"/>
      <c r="F1306"/>
      <c r="H1306"/>
    </row>
    <row r="1307" spans="1:8" ht="15">
      <c r="A1307"/>
      <c r="B1307"/>
      <c r="D1307"/>
      <c r="E1307"/>
      <c r="F1307"/>
      <c r="H1307"/>
    </row>
    <row r="1308" spans="1:8" ht="15">
      <c r="A1308"/>
      <c r="B1308"/>
      <c r="D1308"/>
      <c r="E1308"/>
      <c r="F1308"/>
      <c r="H1308"/>
    </row>
    <row r="1309" spans="1:8" ht="15">
      <c r="A1309"/>
      <c r="B1309"/>
      <c r="D1309"/>
      <c r="E1309"/>
      <c r="F1309"/>
      <c r="H1309"/>
    </row>
    <row r="1310" spans="1:8" ht="15">
      <c r="A1310"/>
      <c r="B1310"/>
      <c r="D1310"/>
      <c r="E1310"/>
      <c r="F1310"/>
      <c r="H1310"/>
    </row>
    <row r="1311" spans="1:8" ht="15">
      <c r="A1311"/>
      <c r="B1311"/>
      <c r="D1311"/>
      <c r="E1311"/>
      <c r="F1311"/>
      <c r="H1311"/>
    </row>
    <row r="1312" spans="1:8" ht="15">
      <c r="A1312"/>
      <c r="B1312"/>
      <c r="D1312"/>
      <c r="E1312"/>
      <c r="F1312"/>
      <c r="H1312"/>
    </row>
    <row r="1313" spans="1:8" ht="15">
      <c r="A1313"/>
      <c r="B1313"/>
      <c r="D1313"/>
      <c r="E1313"/>
      <c r="F1313"/>
      <c r="H1313"/>
    </row>
    <row r="1314" spans="1:8" ht="15">
      <c r="A1314"/>
      <c r="B1314"/>
      <c r="D1314"/>
      <c r="E1314"/>
      <c r="F1314"/>
      <c r="H1314"/>
    </row>
    <row r="1315" spans="1:8" ht="15">
      <c r="A1315"/>
      <c r="B1315"/>
      <c r="D1315"/>
      <c r="E1315"/>
      <c r="F1315"/>
      <c r="H1315"/>
    </row>
    <row r="1316" spans="1:8" ht="15">
      <c r="A1316"/>
      <c r="B1316"/>
      <c r="D1316"/>
      <c r="E1316"/>
      <c r="F1316"/>
      <c r="H1316"/>
    </row>
    <row r="1317" spans="1:8" ht="15">
      <c r="A1317"/>
      <c r="B1317"/>
      <c r="D1317"/>
      <c r="E1317"/>
      <c r="F1317"/>
      <c r="H1317"/>
    </row>
    <row r="1318" spans="1:8" ht="15">
      <c r="A1318"/>
      <c r="B1318"/>
      <c r="D1318"/>
      <c r="E1318"/>
      <c r="F1318"/>
      <c r="H1318"/>
    </row>
    <row r="1319" spans="1:8" ht="15">
      <c r="A1319"/>
      <c r="B1319"/>
      <c r="D1319"/>
      <c r="E1319"/>
      <c r="F1319"/>
      <c r="H1319"/>
    </row>
    <row r="1320" spans="1:8" ht="15">
      <c r="A1320"/>
      <c r="B1320"/>
      <c r="D1320"/>
      <c r="E1320"/>
      <c r="F1320"/>
      <c r="H1320"/>
    </row>
    <row r="1321" spans="1:8" ht="15">
      <c r="A1321"/>
      <c r="B1321"/>
      <c r="D1321"/>
      <c r="E1321"/>
      <c r="F1321"/>
      <c r="H1321"/>
    </row>
    <row r="1322" spans="1:8" ht="15">
      <c r="A1322"/>
      <c r="B1322"/>
      <c r="D1322"/>
      <c r="E1322"/>
      <c r="F1322"/>
      <c r="H1322"/>
    </row>
    <row r="1323" spans="1:8" ht="15">
      <c r="A1323"/>
      <c r="B1323"/>
      <c r="D1323"/>
      <c r="E1323"/>
      <c r="F1323"/>
      <c r="H1323"/>
    </row>
    <row r="1324" spans="1:8" ht="15">
      <c r="A1324"/>
      <c r="B1324"/>
      <c r="D1324"/>
      <c r="E1324"/>
      <c r="F1324"/>
      <c r="H1324"/>
    </row>
    <row r="1325" spans="1:8" ht="15">
      <c r="A1325"/>
      <c r="B1325"/>
      <c r="D1325"/>
      <c r="E1325"/>
      <c r="F1325"/>
      <c r="H1325"/>
    </row>
    <row r="1326" spans="1:8" ht="15">
      <c r="A1326"/>
      <c r="B1326"/>
      <c r="D1326"/>
      <c r="E1326"/>
      <c r="F1326"/>
      <c r="H1326"/>
    </row>
    <row r="1327" spans="1:8" ht="15">
      <c r="A1327"/>
      <c r="B1327"/>
      <c r="D1327"/>
      <c r="E1327"/>
      <c r="F1327"/>
      <c r="H1327"/>
    </row>
    <row r="1328" spans="1:8" ht="15">
      <c r="A1328"/>
      <c r="B1328"/>
      <c r="D1328"/>
      <c r="E1328"/>
      <c r="F1328"/>
      <c r="H1328"/>
    </row>
    <row r="1329" spans="1:8" ht="15">
      <c r="A1329"/>
      <c r="B1329"/>
      <c r="D1329"/>
      <c r="E1329"/>
      <c r="F1329"/>
      <c r="H1329"/>
    </row>
    <row r="1330" spans="1:8" ht="15">
      <c r="A1330"/>
      <c r="B1330"/>
      <c r="D1330"/>
      <c r="E1330"/>
      <c r="F1330"/>
      <c r="H1330"/>
    </row>
    <row r="1331" spans="1:8" ht="15">
      <c r="A1331"/>
      <c r="B1331"/>
      <c r="D1331"/>
      <c r="E1331"/>
      <c r="F1331"/>
      <c r="H1331"/>
    </row>
    <row r="1332" spans="1:8" ht="15">
      <c r="A1332"/>
      <c r="B1332"/>
      <c r="D1332"/>
      <c r="E1332"/>
      <c r="F1332"/>
      <c r="H1332"/>
    </row>
    <row r="1333" spans="1:8" ht="15">
      <c r="A1333"/>
      <c r="B1333"/>
      <c r="D1333"/>
      <c r="E1333"/>
      <c r="F1333"/>
      <c r="H1333"/>
    </row>
    <row r="1334" spans="1:8" ht="15">
      <c r="A1334"/>
      <c r="B1334"/>
      <c r="D1334"/>
      <c r="E1334"/>
      <c r="F1334"/>
      <c r="H1334"/>
    </row>
    <row r="1335" spans="1:8" ht="15">
      <c r="A1335"/>
      <c r="B1335"/>
      <c r="D1335"/>
      <c r="E1335"/>
      <c r="F1335"/>
      <c r="H1335"/>
    </row>
    <row r="1336" spans="1:8" ht="15">
      <c r="A1336"/>
      <c r="B1336"/>
      <c r="D1336"/>
      <c r="E1336"/>
      <c r="F1336"/>
      <c r="H1336"/>
    </row>
    <row r="1337" spans="1:8" ht="15">
      <c r="A1337"/>
      <c r="B1337"/>
      <c r="D1337"/>
      <c r="E1337"/>
      <c r="F1337"/>
      <c r="H1337"/>
    </row>
    <row r="1338" spans="1:8" ht="15">
      <c r="A1338"/>
      <c r="B1338"/>
      <c r="D1338"/>
      <c r="E1338"/>
      <c r="F1338"/>
      <c r="H1338"/>
    </row>
    <row r="1339" spans="1:8" ht="15">
      <c r="A1339"/>
      <c r="B1339"/>
      <c r="D1339"/>
      <c r="E1339"/>
      <c r="F1339"/>
      <c r="H1339"/>
    </row>
    <row r="1340" spans="1:8" ht="15">
      <c r="A1340"/>
      <c r="B1340"/>
      <c r="D1340"/>
      <c r="E1340"/>
      <c r="F1340"/>
      <c r="H1340"/>
    </row>
    <row r="1341" spans="1:8" ht="15">
      <c r="A1341"/>
      <c r="B1341"/>
      <c r="D1341"/>
      <c r="E1341"/>
      <c r="F1341"/>
      <c r="H1341"/>
    </row>
    <row r="1342" spans="1:8" ht="15">
      <c r="A1342"/>
      <c r="B1342"/>
      <c r="D1342"/>
      <c r="E1342"/>
      <c r="F1342"/>
      <c r="H1342"/>
    </row>
    <row r="1343" spans="1:8" ht="15">
      <c r="A1343"/>
      <c r="B1343"/>
      <c r="D1343"/>
      <c r="E1343"/>
      <c r="F1343"/>
      <c r="H1343"/>
    </row>
    <row r="1344" spans="1:8" ht="15">
      <c r="A1344"/>
      <c r="B1344"/>
      <c r="D1344"/>
      <c r="E1344"/>
      <c r="F1344"/>
      <c r="H1344"/>
    </row>
    <row r="1345" spans="1:8" ht="15">
      <c r="A1345"/>
      <c r="B1345"/>
      <c r="D1345"/>
      <c r="E1345"/>
      <c r="F1345"/>
      <c r="H1345"/>
    </row>
    <row r="1346" spans="1:8" ht="15">
      <c r="A1346"/>
      <c r="B1346"/>
      <c r="D1346"/>
      <c r="E1346"/>
      <c r="F1346"/>
      <c r="H1346"/>
    </row>
    <row r="1347" spans="1:8" ht="15">
      <c r="A1347"/>
      <c r="B1347"/>
      <c r="D1347"/>
      <c r="E1347"/>
      <c r="F1347"/>
      <c r="H1347"/>
    </row>
    <row r="1348" spans="1:8" ht="15">
      <c r="A1348"/>
      <c r="B1348"/>
      <c r="D1348"/>
      <c r="E1348"/>
      <c r="F1348"/>
      <c r="H1348"/>
    </row>
    <row r="1349" spans="1:8" ht="15">
      <c r="A1349"/>
      <c r="B1349"/>
      <c r="D1349"/>
      <c r="E1349"/>
      <c r="F1349"/>
      <c r="H1349"/>
    </row>
    <row r="1350" spans="1:8" ht="15">
      <c r="A1350"/>
      <c r="B1350"/>
      <c r="D1350"/>
      <c r="E1350"/>
      <c r="F1350"/>
      <c r="H1350"/>
    </row>
    <row r="1351" spans="1:8" ht="15">
      <c r="A1351"/>
      <c r="B1351"/>
      <c r="D1351"/>
      <c r="E1351"/>
      <c r="F1351"/>
      <c r="H1351"/>
    </row>
    <row r="1352" spans="1:8" ht="15">
      <c r="A1352"/>
      <c r="B1352"/>
      <c r="D1352"/>
      <c r="E1352"/>
      <c r="F1352"/>
      <c r="H1352"/>
    </row>
    <row r="1353" spans="1:8" ht="15">
      <c r="A1353"/>
      <c r="B1353"/>
      <c r="D1353"/>
      <c r="E1353"/>
      <c r="F1353"/>
      <c r="H1353"/>
    </row>
    <row r="1354" spans="1:8" ht="15">
      <c r="A1354"/>
      <c r="B1354"/>
      <c r="D1354"/>
      <c r="E1354"/>
      <c r="F1354"/>
      <c r="H1354"/>
    </row>
    <row r="1355" spans="1:8" ht="15">
      <c r="A1355"/>
      <c r="B1355"/>
      <c r="D1355"/>
      <c r="E1355"/>
      <c r="F1355"/>
      <c r="H1355"/>
    </row>
    <row r="1356" spans="1:8" ht="15">
      <c r="A1356"/>
      <c r="B1356"/>
      <c r="D1356"/>
      <c r="E1356"/>
      <c r="F1356"/>
      <c r="H1356"/>
    </row>
    <row r="1357" spans="1:8" ht="15">
      <c r="A1357"/>
      <c r="B1357"/>
      <c r="D1357"/>
      <c r="E1357"/>
      <c r="F1357"/>
      <c r="H1357"/>
    </row>
    <row r="1358" spans="1:8" ht="15">
      <c r="A1358"/>
      <c r="B1358"/>
      <c r="D1358"/>
      <c r="E1358"/>
      <c r="F1358"/>
      <c r="H1358"/>
    </row>
    <row r="1359" spans="1:8" ht="15">
      <c r="A1359"/>
      <c r="B1359"/>
      <c r="D1359"/>
      <c r="E1359"/>
      <c r="F1359"/>
      <c r="H1359"/>
    </row>
    <row r="1360" spans="1:8" ht="15">
      <c r="A1360"/>
      <c r="B1360"/>
      <c r="D1360"/>
      <c r="E1360"/>
      <c r="F1360"/>
      <c r="H1360"/>
    </row>
    <row r="1361" spans="1:8" ht="15">
      <c r="A1361"/>
      <c r="B1361"/>
      <c r="D1361"/>
      <c r="E1361"/>
      <c r="F1361"/>
      <c r="H1361"/>
    </row>
    <row r="1362" spans="1:8" ht="15">
      <c r="A1362"/>
      <c r="B1362"/>
      <c r="D1362"/>
      <c r="E1362"/>
      <c r="F1362"/>
      <c r="H1362"/>
    </row>
    <row r="1363" spans="1:8" ht="15">
      <c r="A1363"/>
      <c r="B1363"/>
      <c r="D1363"/>
      <c r="E1363"/>
      <c r="F1363"/>
      <c r="H1363"/>
    </row>
    <row r="1364" spans="1:8" ht="15">
      <c r="A1364"/>
      <c r="B1364"/>
      <c r="D1364"/>
      <c r="E1364"/>
      <c r="F1364"/>
      <c r="H1364"/>
    </row>
    <row r="1365" spans="1:8" ht="15">
      <c r="A1365"/>
      <c r="B1365"/>
      <c r="D1365"/>
      <c r="E1365"/>
      <c r="F1365"/>
      <c r="H1365"/>
    </row>
    <row r="1366" spans="1:8" ht="15">
      <c r="A1366"/>
      <c r="B1366"/>
      <c r="D1366"/>
      <c r="E1366"/>
      <c r="F1366"/>
      <c r="H1366"/>
    </row>
    <row r="1367" spans="1:8" ht="15">
      <c r="A1367"/>
      <c r="B1367"/>
      <c r="D1367"/>
      <c r="E1367"/>
      <c r="F1367"/>
      <c r="H1367"/>
    </row>
    <row r="1368" spans="1:8" ht="15">
      <c r="A1368"/>
      <c r="B1368"/>
      <c r="D1368"/>
      <c r="E1368"/>
      <c r="F1368"/>
      <c r="H1368"/>
    </row>
    <row r="1369" spans="1:8" ht="15">
      <c r="A1369"/>
      <c r="B1369"/>
      <c r="D1369"/>
      <c r="E1369"/>
      <c r="F1369"/>
      <c r="H1369"/>
    </row>
    <row r="1370" spans="1:8" ht="15">
      <c r="A1370"/>
      <c r="B1370"/>
      <c r="D1370"/>
      <c r="E1370"/>
      <c r="F1370"/>
      <c r="H1370"/>
    </row>
    <row r="1371" spans="1:8" ht="15">
      <c r="A1371"/>
      <c r="B1371"/>
      <c r="D1371"/>
      <c r="E1371"/>
      <c r="F1371"/>
      <c r="H1371"/>
    </row>
    <row r="1372" spans="1:8" ht="15">
      <c r="A1372"/>
      <c r="B1372"/>
      <c r="D1372"/>
      <c r="E1372"/>
      <c r="F1372"/>
      <c r="H1372"/>
    </row>
    <row r="1373" spans="1:8" ht="15">
      <c r="A1373"/>
      <c r="B1373"/>
      <c r="D1373"/>
      <c r="E1373"/>
      <c r="F1373"/>
      <c r="H1373"/>
    </row>
    <row r="1374" spans="1:8" ht="15">
      <c r="A1374"/>
      <c r="B1374"/>
      <c r="D1374"/>
      <c r="E1374"/>
      <c r="F1374"/>
      <c r="H1374"/>
    </row>
    <row r="1375" spans="1:8" ht="15">
      <c r="A1375"/>
      <c r="B1375"/>
      <c r="D1375"/>
      <c r="E1375"/>
      <c r="F1375"/>
      <c r="H1375"/>
    </row>
    <row r="1376" spans="1:8" ht="15">
      <c r="A1376"/>
      <c r="B1376"/>
      <c r="D1376"/>
      <c r="E1376"/>
      <c r="F1376"/>
      <c r="H1376"/>
    </row>
    <row r="1377" spans="1:8" ht="15">
      <c r="A1377"/>
      <c r="B1377"/>
      <c r="D1377"/>
      <c r="E1377"/>
      <c r="F1377"/>
      <c r="H1377"/>
    </row>
    <row r="1378" spans="1:8" ht="15">
      <c r="A1378"/>
      <c r="B1378"/>
      <c r="D1378"/>
      <c r="E1378"/>
      <c r="F1378"/>
      <c r="H1378"/>
    </row>
    <row r="1379" spans="1:8" ht="15">
      <c r="A1379"/>
      <c r="B1379"/>
      <c r="D1379"/>
      <c r="E1379"/>
      <c r="F1379"/>
      <c r="H1379"/>
    </row>
    <row r="1380" spans="1:8" ht="15">
      <c r="A1380"/>
      <c r="B1380"/>
      <c r="D1380"/>
      <c r="E1380"/>
      <c r="F1380"/>
      <c r="H1380"/>
    </row>
    <row r="1381" spans="1:8" ht="15">
      <c r="A1381"/>
      <c r="B1381"/>
      <c r="D1381"/>
      <c r="E1381"/>
      <c r="F1381"/>
      <c r="H1381"/>
    </row>
    <row r="1382" spans="1:8" ht="15">
      <c r="A1382"/>
      <c r="B1382"/>
      <c r="D1382"/>
      <c r="E1382"/>
      <c r="F1382"/>
      <c r="H1382"/>
    </row>
    <row r="1383" spans="1:8" ht="15">
      <c r="A1383"/>
      <c r="B1383"/>
      <c r="D1383"/>
      <c r="E1383"/>
      <c r="F1383"/>
      <c r="H1383"/>
    </row>
    <row r="1384" spans="1:8" ht="15">
      <c r="A1384"/>
      <c r="B1384"/>
      <c r="D1384"/>
      <c r="E1384"/>
      <c r="F1384"/>
      <c r="H1384"/>
    </row>
    <row r="1385" spans="1:8" ht="15">
      <c r="A1385"/>
      <c r="B1385"/>
      <c r="D1385"/>
      <c r="E1385"/>
      <c r="F1385"/>
      <c r="H1385"/>
    </row>
    <row r="1386" spans="1:8" ht="15">
      <c r="A1386"/>
      <c r="B1386"/>
      <c r="D1386"/>
      <c r="E1386"/>
      <c r="F1386"/>
      <c r="H1386"/>
    </row>
    <row r="1387" spans="1:8" ht="15">
      <c r="A1387"/>
      <c r="B1387"/>
      <c r="D1387"/>
      <c r="E1387"/>
      <c r="F1387"/>
      <c r="H1387"/>
    </row>
    <row r="1388" spans="1:8" ht="15">
      <c r="A1388"/>
      <c r="B1388"/>
      <c r="D1388"/>
      <c r="E1388"/>
      <c r="F1388"/>
      <c r="H1388"/>
    </row>
    <row r="1389" spans="1:8" ht="15">
      <c r="A1389"/>
      <c r="B1389"/>
      <c r="D1389"/>
      <c r="E1389"/>
      <c r="F1389"/>
      <c r="H1389"/>
    </row>
    <row r="1390" spans="1:8" ht="15">
      <c r="A1390"/>
      <c r="B1390"/>
      <c r="D1390"/>
      <c r="E1390"/>
      <c r="F1390"/>
      <c r="H1390"/>
    </row>
    <row r="1391" spans="1:8" ht="15">
      <c r="A1391"/>
      <c r="B1391"/>
      <c r="D1391"/>
      <c r="E1391"/>
      <c r="F1391"/>
      <c r="H1391"/>
    </row>
    <row r="1392" spans="1:8" ht="15">
      <c r="A1392"/>
      <c r="B1392"/>
      <c r="D1392"/>
      <c r="E1392"/>
      <c r="F1392"/>
      <c r="H1392"/>
    </row>
    <row r="1393" spans="1:8" ht="15">
      <c r="A1393"/>
      <c r="B1393"/>
      <c r="D1393"/>
      <c r="E1393"/>
      <c r="F1393"/>
      <c r="H1393"/>
    </row>
    <row r="1394" spans="1:8" ht="15">
      <c r="A1394"/>
      <c r="B1394"/>
      <c r="D1394"/>
      <c r="E1394"/>
      <c r="F1394"/>
      <c r="H1394"/>
    </row>
    <row r="1395" spans="1:8" ht="15">
      <c r="A1395"/>
      <c r="B1395"/>
      <c r="D1395"/>
      <c r="E1395"/>
      <c r="F1395"/>
      <c r="H1395"/>
    </row>
    <row r="1396" spans="1:8" ht="15">
      <c r="A1396"/>
      <c r="B1396"/>
      <c r="D1396"/>
      <c r="E1396"/>
      <c r="F1396"/>
      <c r="H1396"/>
    </row>
    <row r="1397" spans="1:8" ht="15">
      <c r="A1397"/>
      <c r="B1397"/>
      <c r="D1397"/>
      <c r="E1397"/>
      <c r="F1397"/>
      <c r="H1397"/>
    </row>
    <row r="1398" spans="1:8" ht="15">
      <c r="A1398"/>
      <c r="B1398"/>
      <c r="D1398"/>
      <c r="E1398"/>
      <c r="F1398"/>
      <c r="H1398"/>
    </row>
    <row r="1399" spans="1:8" ht="15">
      <c r="A1399"/>
      <c r="B1399"/>
      <c r="D1399"/>
      <c r="E1399"/>
      <c r="F1399"/>
      <c r="H1399"/>
    </row>
    <row r="1400" spans="1:8" ht="15">
      <c r="A1400"/>
      <c r="B1400"/>
      <c r="D1400"/>
      <c r="E1400"/>
      <c r="F1400"/>
      <c r="H1400"/>
    </row>
    <row r="1401" spans="1:8" ht="15">
      <c r="A1401"/>
      <c r="B1401"/>
      <c r="D1401"/>
      <c r="E1401"/>
      <c r="F1401"/>
      <c r="H1401"/>
    </row>
    <row r="1402" spans="1:8" ht="15">
      <c r="A1402"/>
      <c r="B1402"/>
      <c r="D1402"/>
      <c r="E1402"/>
      <c r="F1402"/>
      <c r="H1402"/>
    </row>
    <row r="1403" spans="1:8" ht="15">
      <c r="A1403"/>
      <c r="B1403"/>
      <c r="D1403"/>
      <c r="E1403"/>
      <c r="F1403"/>
      <c r="H1403"/>
    </row>
    <row r="1404" spans="1:8" ht="15">
      <c r="A1404"/>
      <c r="B1404"/>
      <c r="D1404"/>
      <c r="E1404"/>
      <c r="F1404"/>
      <c r="H1404"/>
    </row>
    <row r="1405" spans="1:8" ht="15">
      <c r="A1405"/>
      <c r="B1405"/>
      <c r="D1405"/>
      <c r="E1405"/>
      <c r="F1405"/>
      <c r="H1405"/>
    </row>
    <row r="1406" spans="1:8" ht="15">
      <c r="A1406"/>
      <c r="B1406"/>
      <c r="D1406"/>
      <c r="E1406"/>
      <c r="F1406"/>
      <c r="H1406"/>
    </row>
    <row r="1407" spans="1:8" ht="15">
      <c r="A1407"/>
      <c r="B1407"/>
      <c r="D1407"/>
      <c r="E1407"/>
      <c r="F1407"/>
      <c r="H1407"/>
    </row>
    <row r="1408" spans="1:8" ht="15">
      <c r="A1408"/>
      <c r="B1408"/>
      <c r="D1408"/>
      <c r="E1408"/>
      <c r="F1408"/>
      <c r="H1408"/>
    </row>
    <row r="1409" spans="1:8" ht="15">
      <c r="A1409"/>
      <c r="B1409"/>
      <c r="D1409"/>
      <c r="E1409"/>
      <c r="F1409"/>
      <c r="H1409"/>
    </row>
    <row r="1410" spans="1:8" ht="15">
      <c r="A1410"/>
      <c r="B1410"/>
      <c r="D1410"/>
      <c r="E1410"/>
      <c r="F1410"/>
      <c r="H1410"/>
    </row>
    <row r="1411" spans="1:8" ht="15">
      <c r="A1411"/>
      <c r="B1411"/>
      <c r="D1411"/>
      <c r="E1411"/>
      <c r="F1411"/>
      <c r="H1411"/>
    </row>
    <row r="1412" spans="1:8" ht="15">
      <c r="A1412"/>
      <c r="B1412"/>
      <c r="D1412"/>
      <c r="E1412"/>
      <c r="F1412"/>
      <c r="H1412"/>
    </row>
    <row r="1413" spans="1:8" ht="15">
      <c r="A1413"/>
      <c r="B1413"/>
      <c r="D1413"/>
      <c r="E1413"/>
      <c r="F1413"/>
      <c r="H1413"/>
    </row>
    <row r="1414" spans="1:8" ht="15">
      <c r="A1414"/>
      <c r="B1414"/>
      <c r="D1414"/>
      <c r="E1414"/>
      <c r="F1414"/>
      <c r="H1414"/>
    </row>
    <row r="1415" spans="1:8" ht="15">
      <c r="A1415"/>
      <c r="B1415"/>
      <c r="D1415"/>
      <c r="E1415"/>
      <c r="F1415"/>
      <c r="H1415"/>
    </row>
    <row r="1416" spans="1:8" ht="15">
      <c r="A1416"/>
      <c r="B1416"/>
      <c r="D1416"/>
      <c r="E1416"/>
      <c r="F1416"/>
      <c r="H1416"/>
    </row>
    <row r="1417" spans="1:8" ht="15">
      <c r="A1417"/>
      <c r="B1417"/>
      <c r="D1417"/>
      <c r="E1417"/>
      <c r="F1417"/>
      <c r="H1417"/>
    </row>
    <row r="1418" spans="1:8" ht="15">
      <c r="A1418"/>
      <c r="B1418"/>
      <c r="D1418"/>
      <c r="E1418"/>
      <c r="F1418"/>
      <c r="H1418"/>
    </row>
    <row r="1419" spans="1:8" ht="15">
      <c r="A1419"/>
      <c r="B1419"/>
      <c r="D1419"/>
      <c r="E1419"/>
      <c r="F1419"/>
      <c r="H1419"/>
    </row>
    <row r="1420" spans="1:8" ht="15">
      <c r="A1420"/>
      <c r="B1420"/>
      <c r="D1420"/>
      <c r="E1420"/>
      <c r="F1420"/>
      <c r="H1420"/>
    </row>
    <row r="1421" spans="1:8" ht="15">
      <c r="A1421"/>
      <c r="B1421"/>
      <c r="D1421"/>
      <c r="E1421"/>
      <c r="F1421"/>
      <c r="H1421"/>
    </row>
    <row r="1422" spans="1:8" ht="15">
      <c r="A1422"/>
      <c r="B1422"/>
      <c r="D1422"/>
      <c r="E1422"/>
      <c r="F1422"/>
      <c r="H1422"/>
    </row>
    <row r="1423" spans="1:8" ht="15">
      <c r="A1423"/>
      <c r="B1423"/>
      <c r="D1423"/>
      <c r="E1423"/>
      <c r="F1423"/>
      <c r="H1423"/>
    </row>
    <row r="1424" spans="1:8" ht="15">
      <c r="A1424"/>
      <c r="B1424"/>
      <c r="D1424"/>
      <c r="E1424"/>
      <c r="F1424"/>
      <c r="H1424"/>
    </row>
    <row r="1425" spans="1:8" ht="15">
      <c r="A1425"/>
      <c r="B1425"/>
      <c r="D1425"/>
      <c r="E1425"/>
      <c r="F1425"/>
      <c r="H1425"/>
    </row>
    <row r="1426" spans="1:8" ht="15">
      <c r="A1426"/>
      <c r="B1426"/>
      <c r="D1426"/>
      <c r="E1426"/>
      <c r="F1426"/>
      <c r="H1426"/>
    </row>
    <row r="1427" spans="1:8" ht="15">
      <c r="A1427"/>
      <c r="B1427"/>
      <c r="D1427"/>
      <c r="E1427"/>
      <c r="F1427"/>
      <c r="H1427"/>
    </row>
    <row r="1428" spans="1:8" ht="15">
      <c r="A1428"/>
      <c r="B1428"/>
      <c r="D1428"/>
      <c r="E1428"/>
      <c r="F1428"/>
      <c r="H1428"/>
    </row>
    <row r="1429" spans="1:8" ht="15">
      <c r="A1429"/>
      <c r="B1429"/>
      <c r="D1429"/>
      <c r="E1429"/>
      <c r="F1429"/>
      <c r="H1429"/>
    </row>
    <row r="1430" spans="1:8" ht="15">
      <c r="A1430"/>
      <c r="B1430"/>
      <c r="D1430"/>
      <c r="E1430"/>
      <c r="F1430"/>
      <c r="H1430"/>
    </row>
    <row r="1431" spans="1:8" ht="15">
      <c r="A1431"/>
      <c r="B1431"/>
      <c r="D1431"/>
      <c r="E1431"/>
      <c r="F1431"/>
      <c r="H1431"/>
    </row>
    <row r="1432" spans="1:8" ht="15">
      <c r="A1432"/>
      <c r="B1432"/>
      <c r="D1432"/>
      <c r="E1432"/>
      <c r="F1432"/>
      <c r="H1432"/>
    </row>
    <row r="1433" spans="1:8" ht="15">
      <c r="A1433"/>
      <c r="B1433"/>
      <c r="D1433"/>
      <c r="E1433"/>
      <c r="F1433"/>
      <c r="H1433"/>
    </row>
    <row r="1434" spans="1:8" ht="15">
      <c r="A1434"/>
      <c r="B1434"/>
      <c r="D1434"/>
      <c r="E1434"/>
      <c r="F1434"/>
      <c r="H1434"/>
    </row>
    <row r="1435" spans="1:8" ht="15">
      <c r="A1435"/>
      <c r="B1435"/>
      <c r="D1435"/>
      <c r="E1435"/>
      <c r="F1435"/>
      <c r="H1435"/>
    </row>
    <row r="1436" spans="1:8" ht="15">
      <c r="A1436"/>
      <c r="B1436"/>
      <c r="D1436"/>
      <c r="E1436"/>
      <c r="F1436"/>
      <c r="H1436"/>
    </row>
    <row r="1437" spans="1:8" ht="15">
      <c r="A1437"/>
      <c r="B1437"/>
      <c r="D1437"/>
      <c r="E1437"/>
      <c r="F1437"/>
      <c r="H1437"/>
    </row>
    <row r="1438" spans="1:8" ht="15">
      <c r="A1438"/>
      <c r="B1438"/>
      <c r="D1438"/>
      <c r="E1438"/>
      <c r="F1438"/>
      <c r="H1438"/>
    </row>
    <row r="1439" spans="1:8" ht="15">
      <c r="A1439"/>
      <c r="B1439"/>
      <c r="D1439"/>
      <c r="E1439"/>
      <c r="F1439"/>
      <c r="H1439"/>
    </row>
    <row r="1440" spans="1:8" ht="15">
      <c r="A1440"/>
      <c r="B1440"/>
      <c r="D1440"/>
      <c r="E1440"/>
      <c r="F1440"/>
      <c r="H1440"/>
    </row>
    <row r="1441" spans="1:8" ht="15">
      <c r="A1441"/>
      <c r="B1441"/>
      <c r="D1441"/>
      <c r="E1441"/>
      <c r="F1441"/>
      <c r="H1441"/>
    </row>
    <row r="1442" spans="1:8" ht="15">
      <c r="A1442"/>
      <c r="B1442"/>
      <c r="D1442"/>
      <c r="E1442"/>
      <c r="F1442"/>
      <c r="H1442"/>
    </row>
    <row r="1443" spans="1:8" ht="15">
      <c r="A1443"/>
      <c r="B1443"/>
      <c r="D1443"/>
      <c r="E1443"/>
      <c r="F1443"/>
      <c r="H1443"/>
    </row>
    <row r="1444" spans="1:8" ht="15">
      <c r="A1444"/>
      <c r="B1444"/>
      <c r="D1444"/>
      <c r="E1444"/>
      <c r="F1444"/>
      <c r="H1444"/>
    </row>
    <row r="1445" spans="1:8" ht="15">
      <c r="A1445"/>
      <c r="B1445"/>
      <c r="D1445"/>
      <c r="E1445"/>
      <c r="F1445"/>
      <c r="H1445"/>
    </row>
    <row r="1446" spans="1:8" ht="15">
      <c r="A1446"/>
      <c r="B1446"/>
      <c r="D1446"/>
      <c r="E1446"/>
      <c r="F1446"/>
      <c r="H1446"/>
    </row>
    <row r="1447" spans="1:8" ht="15">
      <c r="A1447"/>
      <c r="B1447"/>
      <c r="D1447"/>
      <c r="E1447"/>
      <c r="F1447"/>
      <c r="H1447"/>
    </row>
    <row r="1448" spans="1:8" ht="15">
      <c r="A1448"/>
      <c r="B1448"/>
      <c r="D1448"/>
      <c r="E1448"/>
      <c r="F1448"/>
      <c r="H1448"/>
    </row>
    <row r="1449" spans="1:8" ht="15">
      <c r="A1449"/>
      <c r="B1449"/>
      <c r="D1449"/>
      <c r="E1449"/>
      <c r="F1449"/>
      <c r="H1449"/>
    </row>
    <row r="1450" spans="1:8" ht="15">
      <c r="A1450"/>
      <c r="B1450"/>
      <c r="D1450"/>
      <c r="E1450"/>
      <c r="F1450"/>
      <c r="H1450"/>
    </row>
    <row r="1451" spans="1:8" ht="15">
      <c r="A1451"/>
      <c r="B1451"/>
      <c r="D1451"/>
      <c r="E1451"/>
      <c r="F1451"/>
      <c r="H1451"/>
    </row>
    <row r="1452" spans="1:8" ht="15">
      <c r="A1452"/>
      <c r="B1452"/>
      <c r="D1452"/>
      <c r="E1452"/>
      <c r="F1452"/>
      <c r="H1452"/>
    </row>
    <row r="1453" spans="1:8" ht="15">
      <c r="A1453"/>
      <c r="B1453"/>
      <c r="D1453"/>
      <c r="E1453"/>
      <c r="F1453"/>
      <c r="H1453"/>
    </row>
    <row r="1454" spans="1:8" ht="15">
      <c r="A1454"/>
      <c r="B1454"/>
      <c r="D1454"/>
      <c r="E1454"/>
      <c r="F1454"/>
      <c r="H1454"/>
    </row>
    <row r="1455" spans="1:8" ht="15">
      <c r="A1455"/>
      <c r="B1455"/>
      <c r="D1455"/>
      <c r="E1455"/>
      <c r="F1455"/>
      <c r="H1455"/>
    </row>
    <row r="1456" spans="1:8" ht="15">
      <c r="A1456"/>
      <c r="B1456"/>
      <c r="D1456"/>
      <c r="E1456"/>
      <c r="F1456"/>
      <c r="H1456"/>
    </row>
    <row r="1457" spans="1:8" ht="15">
      <c r="A1457"/>
      <c r="B1457"/>
      <c r="D1457"/>
      <c r="E1457"/>
      <c r="F1457"/>
      <c r="H1457"/>
    </row>
    <row r="1458" spans="1:8" ht="15">
      <c r="A1458"/>
      <c r="B1458"/>
      <c r="D1458"/>
      <c r="E1458"/>
      <c r="F1458"/>
      <c r="H1458"/>
    </row>
    <row r="1459" spans="1:8" ht="15">
      <c r="A1459"/>
      <c r="B1459"/>
      <c r="D1459"/>
      <c r="E1459"/>
      <c r="F1459"/>
      <c r="H1459"/>
    </row>
    <row r="1460" spans="1:8" ht="15">
      <c r="A1460"/>
      <c r="B1460"/>
      <c r="D1460"/>
      <c r="E1460"/>
      <c r="F1460"/>
      <c r="H1460"/>
    </row>
    <row r="1461" spans="1:8" ht="15">
      <c r="A1461"/>
      <c r="B1461"/>
      <c r="D1461"/>
      <c r="E1461"/>
      <c r="F1461"/>
      <c r="H1461"/>
    </row>
    <row r="1462" spans="1:8" ht="15">
      <c r="A1462"/>
      <c r="B1462"/>
      <c r="D1462"/>
      <c r="E1462"/>
      <c r="F1462"/>
      <c r="H1462"/>
    </row>
    <row r="1463" spans="1:8" ht="15">
      <c r="A1463"/>
      <c r="B1463"/>
      <c r="D1463"/>
      <c r="E1463"/>
      <c r="F1463"/>
      <c r="H1463"/>
    </row>
    <row r="1464" spans="1:8" ht="15">
      <c r="A1464"/>
      <c r="B1464"/>
      <c r="D1464"/>
      <c r="E1464"/>
      <c r="F1464"/>
      <c r="H1464"/>
    </row>
    <row r="1465" spans="1:8" ht="15">
      <c r="A1465"/>
      <c r="B1465"/>
      <c r="D1465"/>
      <c r="E1465"/>
      <c r="F1465"/>
      <c r="H1465"/>
    </row>
    <row r="1466" spans="1:8" ht="15">
      <c r="A1466"/>
      <c r="B1466"/>
      <c r="D1466"/>
      <c r="E1466"/>
      <c r="F1466"/>
      <c r="H1466"/>
    </row>
    <row r="1467" spans="1:8" ht="15">
      <c r="A1467"/>
      <c r="B1467"/>
      <c r="D1467"/>
      <c r="E1467"/>
      <c r="F1467"/>
      <c r="H1467"/>
    </row>
    <row r="1468" spans="1:8" ht="15">
      <c r="A1468"/>
      <c r="B1468"/>
      <c r="D1468"/>
      <c r="E1468"/>
      <c r="F1468"/>
      <c r="H1468"/>
    </row>
    <row r="1469" spans="1:8" ht="15">
      <c r="A1469"/>
      <c r="B1469"/>
      <c r="D1469"/>
      <c r="E1469"/>
      <c r="F1469"/>
      <c r="H1469"/>
    </row>
    <row r="1470" spans="1:8" ht="15">
      <c r="A1470"/>
      <c r="B1470"/>
      <c r="D1470"/>
      <c r="E1470"/>
      <c r="F1470"/>
      <c r="H1470"/>
    </row>
    <row r="1471" spans="1:8" ht="15">
      <c r="A1471"/>
      <c r="B1471"/>
      <c r="D1471"/>
      <c r="E1471"/>
      <c r="F1471"/>
      <c r="H1471"/>
    </row>
    <row r="1472" spans="1:8" ht="15">
      <c r="A1472"/>
      <c r="B1472"/>
      <c r="D1472"/>
      <c r="E1472"/>
      <c r="F1472"/>
      <c r="H1472"/>
    </row>
    <row r="1473" spans="1:8" ht="15">
      <c r="A1473"/>
      <c r="B1473"/>
      <c r="D1473"/>
      <c r="E1473"/>
      <c r="F1473"/>
      <c r="H1473"/>
    </row>
    <row r="1474" spans="1:8" ht="15">
      <c r="A1474"/>
      <c r="B1474"/>
      <c r="D1474"/>
      <c r="E1474"/>
      <c r="F1474"/>
      <c r="H1474"/>
    </row>
    <row r="1475" spans="1:8" ht="15">
      <c r="A1475"/>
      <c r="B1475"/>
      <c r="D1475"/>
      <c r="E1475"/>
      <c r="F1475"/>
      <c r="H1475"/>
    </row>
    <row r="1476" spans="1:8" ht="15">
      <c r="A1476"/>
      <c r="B1476"/>
      <c r="D1476"/>
      <c r="E1476"/>
      <c r="F1476"/>
      <c r="H1476"/>
    </row>
    <row r="1477" spans="1:8" ht="15">
      <c r="A1477"/>
      <c r="B1477"/>
      <c r="D1477"/>
      <c r="E1477"/>
      <c r="F1477"/>
      <c r="H1477"/>
    </row>
    <row r="1478" spans="1:8" ht="15">
      <c r="A1478"/>
      <c r="B1478"/>
      <c r="D1478"/>
      <c r="E1478"/>
      <c r="F1478"/>
      <c r="H1478"/>
    </row>
    <row r="1479" spans="1:8" ht="15">
      <c r="A1479"/>
      <c r="B1479"/>
      <c r="D1479"/>
      <c r="E1479"/>
      <c r="F1479"/>
      <c r="H1479"/>
    </row>
    <row r="1480" spans="1:8" ht="15">
      <c r="A1480"/>
      <c r="B1480"/>
      <c r="D1480"/>
      <c r="E1480"/>
      <c r="F1480"/>
      <c r="H1480"/>
    </row>
    <row r="1481" spans="1:8" ht="15">
      <c r="A1481"/>
      <c r="B1481"/>
      <c r="D1481"/>
      <c r="E1481"/>
      <c r="F1481"/>
      <c r="H1481"/>
    </row>
    <row r="1482" spans="1:8" ht="15">
      <c r="A1482"/>
      <c r="B1482"/>
      <c r="D1482"/>
      <c r="E1482"/>
      <c r="F1482"/>
      <c r="H1482"/>
    </row>
    <row r="1483" spans="1:8" ht="15">
      <c r="A1483"/>
      <c r="B1483"/>
      <c r="D1483"/>
      <c r="E1483"/>
      <c r="F1483"/>
      <c r="H1483"/>
    </row>
    <row r="1484" spans="1:8" ht="15">
      <c r="A1484"/>
      <c r="B1484"/>
      <c r="D1484"/>
      <c r="E1484"/>
      <c r="F1484"/>
      <c r="H1484"/>
    </row>
    <row r="1485" spans="1:8" ht="15">
      <c r="A1485"/>
      <c r="B1485"/>
      <c r="D1485"/>
      <c r="E1485"/>
      <c r="F1485"/>
      <c r="H1485"/>
    </row>
    <row r="1486" spans="1:8" ht="15">
      <c r="A1486"/>
      <c r="B1486"/>
      <c r="D1486"/>
      <c r="E1486"/>
      <c r="F1486"/>
      <c r="H1486"/>
    </row>
    <row r="1487" spans="1:8" ht="15">
      <c r="A1487"/>
      <c r="B1487"/>
      <c r="D1487"/>
      <c r="E1487"/>
      <c r="F1487"/>
      <c r="H1487"/>
    </row>
    <row r="1488" spans="1:8" ht="15">
      <c r="A1488"/>
      <c r="B1488"/>
      <c r="D1488"/>
      <c r="E1488"/>
      <c r="F1488"/>
      <c r="H1488"/>
    </row>
    <row r="1489" spans="1:8" ht="15">
      <c r="A1489"/>
      <c r="B1489"/>
      <c r="D1489"/>
      <c r="E1489"/>
      <c r="F1489"/>
      <c r="H1489"/>
    </row>
    <row r="1490" spans="1:8" ht="15">
      <c r="A1490"/>
      <c r="B1490"/>
      <c r="D1490"/>
      <c r="E1490"/>
      <c r="F1490"/>
      <c r="H1490"/>
    </row>
    <row r="1491" spans="1:8" ht="15">
      <c r="A1491"/>
      <c r="B1491"/>
      <c r="D1491"/>
      <c r="E1491"/>
      <c r="F1491"/>
      <c r="H1491"/>
    </row>
    <row r="1492" spans="1:8" ht="15">
      <c r="A1492"/>
      <c r="B1492"/>
      <c r="D1492"/>
      <c r="E1492"/>
      <c r="F1492"/>
      <c r="H1492"/>
    </row>
    <row r="1493" spans="1:8" ht="15">
      <c r="A1493"/>
      <c r="B1493"/>
      <c r="D1493"/>
      <c r="E1493"/>
      <c r="F1493"/>
      <c r="H1493"/>
    </row>
    <row r="1494" spans="1:8" ht="15">
      <c r="A1494"/>
      <c r="B1494"/>
      <c r="D1494"/>
      <c r="E1494"/>
      <c r="F1494"/>
      <c r="H1494"/>
    </row>
    <row r="1495" spans="1:8" ht="15">
      <c r="A1495"/>
      <c r="B1495"/>
      <c r="D1495"/>
      <c r="E1495"/>
      <c r="F1495"/>
      <c r="H1495"/>
    </row>
    <row r="1496" spans="1:8" ht="15">
      <c r="A1496"/>
      <c r="B1496"/>
      <c r="D1496"/>
      <c r="E1496"/>
      <c r="F1496"/>
      <c r="H1496"/>
    </row>
    <row r="1497" spans="1:8" ht="15">
      <c r="A1497"/>
      <c r="B1497"/>
      <c r="D1497"/>
      <c r="E1497"/>
      <c r="F1497"/>
      <c r="H1497"/>
    </row>
    <row r="1498" spans="1:8" ht="15">
      <c r="A1498"/>
      <c r="B1498"/>
      <c r="D1498"/>
      <c r="E1498"/>
      <c r="F1498"/>
      <c r="H1498"/>
    </row>
    <row r="1499" spans="1:8" ht="15">
      <c r="A1499"/>
      <c r="B1499"/>
      <c r="D1499"/>
      <c r="E1499"/>
      <c r="F1499"/>
      <c r="H1499"/>
    </row>
    <row r="1500" spans="1:8" ht="15">
      <c r="A1500"/>
      <c r="B1500"/>
      <c r="D1500"/>
      <c r="E1500"/>
      <c r="F1500"/>
      <c r="H1500"/>
    </row>
    <row r="1501" spans="1:8" ht="15">
      <c r="A1501"/>
      <c r="B1501"/>
      <c r="D1501"/>
      <c r="E1501"/>
      <c r="F1501"/>
      <c r="H1501"/>
    </row>
    <row r="1502" spans="1:8" ht="15">
      <c r="A1502"/>
      <c r="B1502"/>
      <c r="D1502"/>
      <c r="E1502"/>
      <c r="F1502"/>
      <c r="H1502"/>
    </row>
    <row r="1503" spans="1:8" ht="15">
      <c r="A1503"/>
      <c r="B1503"/>
      <c r="D1503"/>
      <c r="E1503"/>
      <c r="F1503"/>
      <c r="H1503"/>
    </row>
    <row r="1504" spans="1:8" ht="15">
      <c r="A1504"/>
      <c r="B1504"/>
      <c r="D1504"/>
      <c r="E1504"/>
      <c r="F1504"/>
      <c r="H1504"/>
    </row>
    <row r="1505" spans="1:8" ht="15">
      <c r="A1505"/>
      <c r="B1505"/>
      <c r="D1505"/>
      <c r="E1505"/>
      <c r="F1505"/>
      <c r="H1505"/>
    </row>
    <row r="1506" spans="1:8" ht="15">
      <c r="A1506"/>
      <c r="B1506"/>
      <c r="D1506"/>
      <c r="E1506"/>
      <c r="F1506"/>
      <c r="H1506"/>
    </row>
    <row r="1507" spans="1:8" ht="15">
      <c r="A1507"/>
      <c r="B1507"/>
      <c r="D1507"/>
      <c r="E1507"/>
      <c r="F1507"/>
      <c r="H1507"/>
    </row>
    <row r="1508" spans="1:8" ht="15">
      <c r="A1508"/>
      <c r="B1508"/>
      <c r="D1508"/>
      <c r="E1508"/>
      <c r="F1508"/>
      <c r="H1508"/>
    </row>
    <row r="1509" spans="1:8" ht="15">
      <c r="A1509"/>
      <c r="B1509"/>
      <c r="D1509"/>
      <c r="E1509"/>
      <c r="F1509"/>
      <c r="H1509"/>
    </row>
    <row r="1510" spans="1:8" ht="15">
      <c r="A1510"/>
      <c r="B1510"/>
      <c r="D1510"/>
      <c r="E1510"/>
      <c r="F1510"/>
      <c r="H1510"/>
    </row>
    <row r="1511" spans="1:8" ht="15">
      <c r="A1511"/>
      <c r="B1511"/>
      <c r="D1511"/>
      <c r="E1511"/>
      <c r="F1511"/>
      <c r="H1511"/>
    </row>
    <row r="1512" spans="1:8" ht="15">
      <c r="A1512"/>
      <c r="B1512"/>
      <c r="D1512"/>
      <c r="E1512"/>
      <c r="F1512"/>
      <c r="H1512"/>
    </row>
    <row r="1513" spans="1:8" ht="15">
      <c r="A1513"/>
      <c r="B1513"/>
      <c r="D1513"/>
      <c r="E1513"/>
      <c r="F1513"/>
      <c r="H1513"/>
    </row>
    <row r="1514" spans="1:8" ht="15">
      <c r="A1514"/>
      <c r="B1514"/>
      <c r="D1514"/>
      <c r="E1514"/>
      <c r="F1514"/>
      <c r="H1514"/>
    </row>
    <row r="1515" spans="1:8" ht="15">
      <c r="A1515"/>
      <c r="B1515"/>
      <c r="D1515"/>
      <c r="E1515"/>
      <c r="F1515"/>
      <c r="H1515"/>
    </row>
    <row r="1516" spans="1:8" ht="15">
      <c r="A1516"/>
      <c r="B1516"/>
      <c r="D1516"/>
      <c r="E1516"/>
      <c r="F1516"/>
      <c r="H1516"/>
    </row>
    <row r="1517" spans="1:8" ht="15">
      <c r="A1517"/>
      <c r="B1517"/>
      <c r="D1517"/>
      <c r="E1517"/>
      <c r="F1517"/>
      <c r="H1517"/>
    </row>
    <row r="1518" spans="1:8" ht="15">
      <c r="A1518"/>
      <c r="B1518"/>
      <c r="D1518"/>
      <c r="E1518"/>
      <c r="F1518"/>
      <c r="H1518"/>
    </row>
    <row r="1519" spans="1:8" ht="15">
      <c r="A1519"/>
      <c r="B1519"/>
      <c r="D1519"/>
      <c r="E1519"/>
      <c r="F1519"/>
      <c r="H1519"/>
    </row>
    <row r="1520" spans="1:8" ht="15">
      <c r="A1520"/>
      <c r="B1520"/>
      <c r="D1520"/>
      <c r="E1520"/>
      <c r="F1520"/>
      <c r="H1520"/>
    </row>
    <row r="1521" spans="1:8" ht="15">
      <c r="A1521"/>
      <c r="B1521"/>
      <c r="D1521"/>
      <c r="E1521"/>
      <c r="F1521"/>
      <c r="H1521"/>
    </row>
    <row r="1522" spans="1:8" ht="15">
      <c r="A1522"/>
      <c r="B1522"/>
      <c r="D1522"/>
      <c r="E1522"/>
      <c r="F1522"/>
      <c r="H1522"/>
    </row>
    <row r="1523" spans="1:8" ht="15">
      <c r="A1523"/>
      <c r="B1523"/>
      <c r="D1523"/>
      <c r="E1523"/>
      <c r="F1523"/>
      <c r="H1523"/>
    </row>
    <row r="1524" spans="1:8" ht="15">
      <c r="A1524"/>
      <c r="B1524"/>
      <c r="D1524"/>
      <c r="E1524"/>
      <c r="F1524"/>
      <c r="H1524"/>
    </row>
    <row r="1525" spans="1:8" ht="15">
      <c r="A1525"/>
      <c r="B1525"/>
      <c r="D1525"/>
      <c r="E1525"/>
      <c r="F1525"/>
      <c r="H1525"/>
    </row>
    <row r="1526" spans="1:8" ht="15">
      <c r="A1526"/>
      <c r="B1526"/>
      <c r="D1526"/>
      <c r="E1526"/>
      <c r="F1526"/>
      <c r="H1526"/>
    </row>
    <row r="1527" spans="1:8" ht="15">
      <c r="A1527"/>
      <c r="B1527"/>
      <c r="D1527"/>
      <c r="E1527"/>
      <c r="F1527"/>
      <c r="H1527"/>
    </row>
    <row r="1528" spans="1:8" ht="15">
      <c r="A1528"/>
      <c r="B1528"/>
      <c r="D1528"/>
      <c r="E1528"/>
      <c r="F1528"/>
      <c r="H1528"/>
    </row>
    <row r="1529" spans="1:8" ht="15">
      <c r="A1529"/>
      <c r="B1529"/>
      <c r="D1529"/>
      <c r="E1529"/>
      <c r="F1529"/>
      <c r="H1529"/>
    </row>
    <row r="1530" spans="1:8" ht="15">
      <c r="A1530"/>
      <c r="B1530"/>
      <c r="D1530"/>
      <c r="E1530"/>
      <c r="F1530"/>
      <c r="H1530"/>
    </row>
    <row r="1531" spans="1:8" ht="15">
      <c r="A1531"/>
      <c r="B1531"/>
      <c r="D1531"/>
      <c r="E1531"/>
      <c r="F1531"/>
      <c r="H1531"/>
    </row>
    <row r="1532" spans="1:8" ht="15">
      <c r="A1532"/>
      <c r="B1532"/>
      <c r="D1532"/>
      <c r="E1532"/>
      <c r="F1532"/>
      <c r="H1532"/>
    </row>
    <row r="1533" spans="1:8" ht="15">
      <c r="A1533"/>
      <c r="B1533"/>
      <c r="D1533"/>
      <c r="E1533"/>
      <c r="F1533"/>
      <c r="H1533"/>
    </row>
    <row r="1534" spans="1:8" ht="15">
      <c r="A1534"/>
      <c r="B1534"/>
      <c r="D1534"/>
      <c r="E1534"/>
      <c r="F1534"/>
      <c r="H1534"/>
    </row>
    <row r="1535" spans="1:8" ht="15">
      <c r="A1535"/>
      <c r="B1535"/>
      <c r="D1535"/>
      <c r="E1535"/>
      <c r="F1535"/>
      <c r="H1535"/>
    </row>
    <row r="1536" spans="1:8" ht="15">
      <c r="A1536"/>
      <c r="B1536"/>
      <c r="D1536"/>
      <c r="E1536"/>
      <c r="F1536"/>
      <c r="H1536"/>
    </row>
    <row r="1537" spans="1:8" ht="15">
      <c r="A1537"/>
      <c r="B1537"/>
      <c r="D1537"/>
      <c r="E1537"/>
      <c r="F1537"/>
      <c r="H1537"/>
    </row>
    <row r="1538" spans="1:8" ht="15">
      <c r="A1538"/>
      <c r="B1538"/>
      <c r="D1538"/>
      <c r="E1538"/>
      <c r="F1538"/>
      <c r="H1538"/>
    </row>
    <row r="1539" spans="1:8" ht="15">
      <c r="A1539"/>
      <c r="B1539"/>
      <c r="D1539"/>
      <c r="E1539"/>
      <c r="F1539"/>
      <c r="H1539"/>
    </row>
    <row r="1540" spans="1:8" ht="15">
      <c r="A1540"/>
      <c r="B1540"/>
      <c r="D1540"/>
      <c r="E1540"/>
      <c r="F1540"/>
      <c r="H1540"/>
    </row>
    <row r="1541" spans="1:8" ht="15">
      <c r="A1541"/>
      <c r="B1541"/>
      <c r="D1541"/>
      <c r="E1541"/>
      <c r="F1541"/>
      <c r="H1541"/>
    </row>
    <row r="1542" spans="1:8" ht="15">
      <c r="A1542"/>
      <c r="B1542"/>
      <c r="D1542"/>
      <c r="E1542"/>
      <c r="F1542"/>
      <c r="H1542"/>
    </row>
    <row r="1543" spans="1:8" ht="15">
      <c r="A1543"/>
      <c r="B1543"/>
      <c r="D1543"/>
      <c r="E1543"/>
      <c r="F1543"/>
      <c r="H1543"/>
    </row>
    <row r="1544" spans="1:8" ht="15">
      <c r="A1544"/>
      <c r="B1544"/>
      <c r="D1544"/>
      <c r="E1544"/>
      <c r="F1544"/>
      <c r="H1544"/>
    </row>
    <row r="1545" spans="1:8" ht="15">
      <c r="A1545"/>
      <c r="B1545"/>
      <c r="D1545"/>
      <c r="E1545"/>
      <c r="F1545"/>
      <c r="H1545"/>
    </row>
    <row r="1546" spans="1:8" ht="15">
      <c r="A1546"/>
      <c r="B1546"/>
      <c r="D1546"/>
      <c r="E1546"/>
      <c r="F1546"/>
      <c r="H1546"/>
    </row>
    <row r="1547" spans="1:8" ht="15">
      <c r="A1547"/>
      <c r="B1547"/>
      <c r="D1547"/>
      <c r="E1547"/>
      <c r="F1547"/>
      <c r="H1547"/>
    </row>
    <row r="1548" spans="1:8" ht="15">
      <c r="A1548"/>
      <c r="B1548"/>
      <c r="D1548"/>
      <c r="E1548"/>
      <c r="F1548"/>
      <c r="H1548"/>
    </row>
    <row r="1549" spans="1:8" ht="15">
      <c r="A1549"/>
      <c r="B1549"/>
      <c r="D1549"/>
      <c r="E1549"/>
      <c r="F1549"/>
      <c r="H1549"/>
    </row>
    <row r="1550" spans="1:8" ht="15">
      <c r="A1550"/>
      <c r="B1550"/>
      <c r="D1550"/>
      <c r="E1550"/>
      <c r="F1550"/>
      <c r="H1550"/>
    </row>
    <row r="1551" spans="1:8" ht="15">
      <c r="A1551"/>
      <c r="B1551"/>
      <c r="D1551"/>
      <c r="E1551"/>
      <c r="F1551"/>
      <c r="H1551"/>
    </row>
    <row r="1552" spans="1:8" ht="15">
      <c r="A1552"/>
      <c r="B1552"/>
      <c r="D1552"/>
      <c r="E1552"/>
      <c r="F1552"/>
      <c r="H1552"/>
    </row>
    <row r="1553" spans="1:8" ht="15">
      <c r="A1553"/>
      <c r="B1553"/>
      <c r="D1553"/>
      <c r="E1553"/>
      <c r="F1553"/>
      <c r="H1553"/>
    </row>
    <row r="1554" spans="1:8" ht="15">
      <c r="A1554"/>
      <c r="B1554"/>
      <c r="D1554"/>
      <c r="E1554"/>
      <c r="F1554"/>
      <c r="H1554"/>
    </row>
    <row r="1555" spans="1:8" ht="15">
      <c r="A1555"/>
      <c r="B1555"/>
      <c r="D1555"/>
      <c r="E1555"/>
      <c r="F1555"/>
      <c r="H1555"/>
    </row>
    <row r="1556" spans="1:8" ht="15">
      <c r="A1556"/>
      <c r="B1556"/>
      <c r="D1556"/>
      <c r="E1556"/>
      <c r="F1556"/>
      <c r="H1556"/>
    </row>
    <row r="1557" spans="1:8" ht="15">
      <c r="A1557"/>
      <c r="B1557"/>
      <c r="D1557"/>
      <c r="E1557"/>
      <c r="F1557"/>
      <c r="H1557"/>
    </row>
    <row r="1558" spans="1:8" ht="15">
      <c r="A1558"/>
      <c r="B1558"/>
      <c r="D1558"/>
      <c r="E1558"/>
      <c r="F1558"/>
      <c r="H1558"/>
    </row>
    <row r="1559" spans="1:8" ht="15">
      <c r="A1559"/>
      <c r="B1559"/>
      <c r="D1559"/>
      <c r="E1559"/>
      <c r="F1559"/>
      <c r="H1559"/>
    </row>
    <row r="1560" spans="1:8" ht="15">
      <c r="A1560"/>
      <c r="B1560"/>
      <c r="D1560"/>
      <c r="E1560"/>
      <c r="F1560"/>
      <c r="H1560"/>
    </row>
    <row r="1561" spans="1:8" ht="15">
      <c r="A1561"/>
      <c r="B1561"/>
      <c r="D1561"/>
      <c r="E1561"/>
      <c r="F1561"/>
      <c r="H1561"/>
    </row>
    <row r="1562" spans="1:8" ht="15">
      <c r="A1562"/>
      <c r="B1562"/>
      <c r="D1562"/>
      <c r="E1562"/>
      <c r="F1562"/>
      <c r="H1562"/>
    </row>
    <row r="1563" spans="1:8" ht="15">
      <c r="A1563"/>
      <c r="B1563"/>
      <c r="D1563"/>
      <c r="E1563"/>
      <c r="F1563"/>
      <c r="H1563"/>
    </row>
    <row r="1564" spans="1:8" ht="15">
      <c r="A1564"/>
      <c r="B1564"/>
      <c r="D1564"/>
      <c r="E1564"/>
      <c r="F1564"/>
      <c r="H1564"/>
    </row>
    <row r="1565" spans="1:8" ht="15">
      <c r="A1565"/>
      <c r="B1565"/>
      <c r="D1565"/>
      <c r="E1565"/>
      <c r="F1565"/>
      <c r="H1565"/>
    </row>
    <row r="1566" spans="1:8" ht="15">
      <c r="A1566"/>
      <c r="B1566"/>
      <c r="D1566"/>
      <c r="E1566"/>
      <c r="F1566"/>
      <c r="H1566"/>
    </row>
    <row r="1567" spans="1:8" ht="15">
      <c r="A1567"/>
      <c r="B1567"/>
      <c r="D1567"/>
      <c r="E1567"/>
      <c r="F1567"/>
      <c r="H1567"/>
    </row>
    <row r="1568" spans="1:8" ht="15">
      <c r="A1568"/>
      <c r="B1568"/>
      <c r="D1568"/>
      <c r="E1568"/>
      <c r="F1568"/>
      <c r="H1568"/>
    </row>
    <row r="1569" spans="1:8" ht="15">
      <c r="A1569"/>
      <c r="B1569"/>
      <c r="D1569"/>
      <c r="E1569"/>
      <c r="F1569"/>
      <c r="H1569"/>
    </row>
    <row r="1570" spans="1:8" ht="15">
      <c r="A1570"/>
      <c r="B1570"/>
      <c r="D1570"/>
      <c r="E1570"/>
      <c r="F1570"/>
      <c r="H1570"/>
    </row>
    <row r="1571" spans="1:8" ht="15">
      <c r="A1571"/>
      <c r="B1571"/>
      <c r="D1571"/>
      <c r="E1571"/>
      <c r="F1571"/>
      <c r="H1571"/>
    </row>
    <row r="1572" spans="1:8" ht="15">
      <c r="A1572"/>
      <c r="B1572"/>
      <c r="D1572"/>
      <c r="E1572"/>
      <c r="F1572"/>
      <c r="H1572"/>
    </row>
    <row r="1573" spans="1:8" ht="15">
      <c r="A1573"/>
      <c r="B1573"/>
      <c r="D1573"/>
      <c r="E1573"/>
      <c r="F1573"/>
      <c r="H1573"/>
    </row>
    <row r="1574" spans="1:8" ht="15">
      <c r="A1574"/>
      <c r="B1574"/>
      <c r="D1574"/>
      <c r="E1574"/>
      <c r="F1574"/>
      <c r="H1574"/>
    </row>
    <row r="1575" spans="1:8" ht="15">
      <c r="A1575"/>
      <c r="B1575"/>
      <c r="D1575"/>
      <c r="E1575"/>
      <c r="F1575"/>
      <c r="H1575"/>
    </row>
    <row r="1576" spans="1:8" ht="15">
      <c r="A1576"/>
      <c r="B1576"/>
      <c r="D1576"/>
      <c r="E1576"/>
      <c r="F1576"/>
      <c r="H1576"/>
    </row>
    <row r="1577" spans="1:8" ht="15">
      <c r="A1577"/>
      <c r="B1577"/>
      <c r="D1577"/>
      <c r="E1577"/>
      <c r="F1577"/>
      <c r="H1577"/>
    </row>
    <row r="1578" spans="1:8" ht="15">
      <c r="A1578"/>
      <c r="B1578"/>
      <c r="D1578"/>
      <c r="E1578"/>
      <c r="F1578"/>
      <c r="H1578"/>
    </row>
    <row r="1579" spans="1:8" ht="15">
      <c r="A1579"/>
      <c r="B1579"/>
      <c r="D1579"/>
      <c r="E1579"/>
      <c r="F1579"/>
      <c r="H1579"/>
    </row>
    <row r="1580" spans="1:8" ht="15">
      <c r="A1580"/>
      <c r="B1580"/>
      <c r="D1580"/>
      <c r="E1580"/>
      <c r="F1580"/>
      <c r="H1580"/>
    </row>
    <row r="1581" spans="1:8" ht="15">
      <c r="A1581"/>
      <c r="B1581"/>
      <c r="D1581"/>
      <c r="E1581"/>
      <c r="F1581"/>
      <c r="H1581"/>
    </row>
    <row r="1582" spans="1:8" ht="15">
      <c r="A1582"/>
      <c r="B1582"/>
      <c r="D1582"/>
      <c r="E1582"/>
      <c r="F1582"/>
      <c r="H1582"/>
    </row>
    <row r="1583" spans="1:8" ht="15">
      <c r="A1583"/>
      <c r="B1583"/>
      <c r="D1583"/>
      <c r="E1583"/>
      <c r="F1583"/>
      <c r="H1583"/>
    </row>
    <row r="1584" spans="1:8" ht="15">
      <c r="A1584"/>
      <c r="B1584"/>
      <c r="D1584"/>
      <c r="E1584"/>
      <c r="F1584"/>
      <c r="H1584"/>
    </row>
    <row r="1585" spans="1:8" ht="15">
      <c r="A1585"/>
      <c r="B1585"/>
      <c r="D1585"/>
      <c r="E1585"/>
      <c r="F1585"/>
      <c r="H1585"/>
    </row>
    <row r="1586" spans="1:8" ht="15">
      <c r="A1586"/>
      <c r="B1586"/>
      <c r="D1586"/>
      <c r="E1586"/>
      <c r="F1586"/>
      <c r="H1586"/>
    </row>
    <row r="1587" spans="1:8" ht="15">
      <c r="A1587"/>
      <c r="B1587"/>
      <c r="D1587"/>
      <c r="E1587"/>
      <c r="F1587"/>
      <c r="H1587"/>
    </row>
    <row r="1588" spans="1:8" ht="15">
      <c r="A1588"/>
      <c r="B1588"/>
      <c r="D1588"/>
      <c r="E1588"/>
      <c r="F1588"/>
      <c r="H1588"/>
    </row>
    <row r="1589" spans="1:8" ht="15">
      <c r="A1589"/>
      <c r="B1589"/>
      <c r="D1589"/>
      <c r="E1589"/>
      <c r="F1589"/>
      <c r="H1589"/>
    </row>
    <row r="1590" spans="1:8" ht="15">
      <c r="A1590"/>
      <c r="B1590"/>
      <c r="D1590"/>
      <c r="E1590"/>
      <c r="F1590"/>
      <c r="H1590"/>
    </row>
    <row r="1591" spans="1:8" ht="15">
      <c r="A1591"/>
      <c r="B1591"/>
      <c r="D1591"/>
      <c r="E1591"/>
      <c r="F1591"/>
      <c r="H1591"/>
    </row>
    <row r="1592" spans="1:8" ht="15">
      <c r="A1592"/>
      <c r="B1592"/>
      <c r="D1592"/>
      <c r="E1592"/>
      <c r="F1592"/>
      <c r="H1592"/>
    </row>
    <row r="1593" spans="1:8" ht="15">
      <c r="A1593"/>
      <c r="B1593"/>
      <c r="D1593"/>
      <c r="E1593"/>
      <c r="F1593"/>
      <c r="H1593"/>
    </row>
    <row r="1594" spans="1:8" ht="15">
      <c r="A1594"/>
      <c r="B1594"/>
      <c r="D1594"/>
      <c r="E1594"/>
      <c r="F1594"/>
      <c r="H1594"/>
    </row>
    <row r="1595" spans="1:8" ht="15">
      <c r="A1595"/>
      <c r="B1595"/>
      <c r="D1595"/>
      <c r="E1595"/>
      <c r="F1595"/>
      <c r="H1595"/>
    </row>
    <row r="1596" spans="1:8" ht="15">
      <c r="A1596"/>
      <c r="B1596"/>
      <c r="D1596"/>
      <c r="E1596"/>
      <c r="F1596"/>
      <c r="H1596"/>
    </row>
    <row r="1597" spans="1:8" ht="15">
      <c r="A1597"/>
      <c r="B1597"/>
      <c r="D1597"/>
      <c r="E1597"/>
      <c r="F1597"/>
      <c r="H1597"/>
    </row>
    <row r="1598" spans="1:8" ht="15">
      <c r="A1598"/>
      <c r="B1598"/>
      <c r="D1598"/>
      <c r="E1598"/>
      <c r="F1598"/>
      <c r="H1598"/>
    </row>
    <row r="1599" spans="1:8" ht="15">
      <c r="A1599"/>
      <c r="B1599"/>
      <c r="D1599"/>
      <c r="E1599"/>
      <c r="F1599"/>
      <c r="H1599"/>
    </row>
    <row r="1600" spans="1:8" ht="15">
      <c r="A1600"/>
      <c r="B1600"/>
      <c r="D1600"/>
      <c r="E1600"/>
      <c r="F1600"/>
      <c r="H1600"/>
    </row>
    <row r="1601" spans="1:8" ht="15">
      <c r="A1601"/>
      <c r="B1601"/>
      <c r="D1601"/>
      <c r="E1601"/>
      <c r="F1601"/>
      <c r="H1601"/>
    </row>
    <row r="1602" spans="1:8" ht="15">
      <c r="A1602"/>
      <c r="B1602"/>
      <c r="D1602"/>
      <c r="E1602"/>
      <c r="F1602"/>
      <c r="H1602"/>
    </row>
    <row r="1603" spans="1:8" ht="15">
      <c r="A1603"/>
      <c r="B1603"/>
      <c r="D1603"/>
      <c r="E1603"/>
      <c r="F1603"/>
      <c r="H1603"/>
    </row>
    <row r="1604" spans="1:8" ht="15">
      <c r="A1604"/>
      <c r="B1604"/>
      <c r="D1604"/>
      <c r="E1604"/>
      <c r="F1604"/>
      <c r="H1604"/>
    </row>
    <row r="1605" spans="1:8" ht="15">
      <c r="A1605"/>
      <c r="B1605"/>
      <c r="D1605"/>
      <c r="E1605"/>
      <c r="F1605"/>
      <c r="H1605"/>
    </row>
    <row r="1606" spans="1:8" ht="15">
      <c r="A1606"/>
      <c r="B1606"/>
      <c r="D1606"/>
      <c r="E1606"/>
      <c r="F1606"/>
      <c r="H1606"/>
    </row>
    <row r="1607" spans="1:8" ht="15">
      <c r="A1607"/>
      <c r="B1607"/>
      <c r="D1607"/>
      <c r="E1607"/>
      <c r="F1607"/>
      <c r="H1607"/>
    </row>
    <row r="1608" spans="1:8" ht="15">
      <c r="A1608"/>
      <c r="B1608"/>
      <c r="D1608"/>
      <c r="E1608"/>
      <c r="F1608"/>
      <c r="H1608"/>
    </row>
    <row r="1609" spans="1:8" ht="15">
      <c r="A1609"/>
      <c r="B1609"/>
      <c r="D1609"/>
      <c r="E1609"/>
      <c r="F1609"/>
      <c r="H1609"/>
    </row>
    <row r="1610" spans="1:8" ht="15">
      <c r="A1610"/>
      <c r="B1610"/>
      <c r="D1610"/>
      <c r="E1610"/>
      <c r="F1610"/>
      <c r="H1610"/>
    </row>
    <row r="1611" spans="1:8" ht="15">
      <c r="A1611"/>
      <c r="B1611"/>
      <c r="D1611"/>
      <c r="E1611"/>
      <c r="F1611"/>
      <c r="H1611"/>
    </row>
    <row r="1612" spans="1:8" ht="15">
      <c r="A1612"/>
      <c r="B1612"/>
      <c r="D1612"/>
      <c r="E1612"/>
      <c r="F1612"/>
      <c r="H1612"/>
    </row>
    <row r="1613" spans="1:8" ht="15">
      <c r="A1613"/>
      <c r="B1613"/>
      <c r="D1613"/>
      <c r="E1613"/>
      <c r="F1613"/>
      <c r="H1613"/>
    </row>
    <row r="1614" spans="1:8" ht="15">
      <c r="A1614"/>
      <c r="B1614"/>
      <c r="D1614"/>
      <c r="E1614"/>
      <c r="F1614"/>
      <c r="H1614"/>
    </row>
    <row r="1615" spans="1:8" ht="15">
      <c r="A1615"/>
      <c r="B1615"/>
      <c r="D1615"/>
      <c r="E1615"/>
      <c r="F1615"/>
      <c r="H1615"/>
    </row>
    <row r="1616" spans="1:8" ht="15">
      <c r="A1616"/>
      <c r="B1616"/>
      <c r="D1616"/>
      <c r="E1616"/>
      <c r="F1616"/>
      <c r="H1616"/>
    </row>
    <row r="1617" spans="1:8" ht="15">
      <c r="A1617"/>
      <c r="B1617"/>
      <c r="D1617"/>
      <c r="E1617"/>
      <c r="F1617"/>
      <c r="H1617"/>
    </row>
    <row r="1618" spans="1:8" ht="15">
      <c r="A1618"/>
      <c r="B1618"/>
      <c r="D1618"/>
      <c r="E1618"/>
      <c r="F1618"/>
      <c r="H1618"/>
    </row>
    <row r="1619" spans="1:8" ht="15">
      <c r="A1619"/>
      <c r="B1619"/>
      <c r="D1619"/>
      <c r="E1619"/>
      <c r="F1619"/>
      <c r="H1619"/>
    </row>
    <row r="1620" spans="1:8" ht="15">
      <c r="A1620"/>
      <c r="B1620"/>
      <c r="D1620"/>
      <c r="E1620"/>
      <c r="F1620"/>
      <c r="H1620"/>
    </row>
    <row r="1621" spans="1:8" ht="15">
      <c r="A1621"/>
      <c r="B1621"/>
      <c r="D1621"/>
      <c r="E1621"/>
      <c r="F1621"/>
      <c r="H1621"/>
    </row>
    <row r="1622" spans="1:8" ht="15">
      <c r="A1622"/>
      <c r="B1622"/>
      <c r="D1622"/>
      <c r="E1622"/>
      <c r="F1622"/>
      <c r="H1622"/>
    </row>
    <row r="1623" spans="1:8" ht="15">
      <c r="A1623"/>
      <c r="B1623"/>
      <c r="D1623"/>
      <c r="E1623"/>
      <c r="F1623"/>
      <c r="H1623"/>
    </row>
    <row r="1624" spans="1:8" ht="15">
      <c r="A1624"/>
      <c r="B1624"/>
      <c r="D1624"/>
      <c r="E1624"/>
      <c r="F1624"/>
      <c r="H1624"/>
    </row>
    <row r="1625" spans="1:8" ht="15">
      <c r="A1625"/>
      <c r="B1625"/>
      <c r="D1625"/>
      <c r="E1625"/>
      <c r="F1625"/>
      <c r="H1625"/>
    </row>
    <row r="1626" spans="1:8" ht="15">
      <c r="A1626"/>
      <c r="B1626"/>
      <c r="D1626"/>
      <c r="E1626"/>
      <c r="F1626"/>
      <c r="H1626"/>
    </row>
    <row r="1627" spans="1:8" ht="15">
      <c r="A1627"/>
      <c r="B1627"/>
      <c r="D1627"/>
      <c r="E1627"/>
      <c r="F1627"/>
      <c r="H1627"/>
    </row>
    <row r="1628" spans="1:8" ht="15">
      <c r="A1628"/>
      <c r="B1628"/>
      <c r="D1628"/>
      <c r="E1628"/>
      <c r="F1628"/>
      <c r="H1628"/>
    </row>
    <row r="1629" spans="1:8" ht="15">
      <c r="A1629"/>
      <c r="B1629"/>
      <c r="D1629"/>
      <c r="E1629"/>
      <c r="F1629"/>
      <c r="H1629"/>
    </row>
    <row r="1630" spans="1:8" ht="15">
      <c r="A1630"/>
      <c r="B1630"/>
      <c r="D1630"/>
      <c r="E1630"/>
      <c r="F1630"/>
      <c r="H1630"/>
    </row>
    <row r="1631" spans="1:8" ht="15">
      <c r="A1631"/>
      <c r="B1631"/>
      <c r="D1631"/>
      <c r="E1631"/>
      <c r="F1631"/>
      <c r="H1631"/>
    </row>
    <row r="1632" spans="1:8" ht="15">
      <c r="A1632"/>
      <c r="B1632"/>
      <c r="D1632"/>
      <c r="E1632"/>
      <c r="F1632"/>
      <c r="H1632"/>
    </row>
    <row r="1633" spans="1:8" ht="15">
      <c r="A1633"/>
      <c r="B1633"/>
      <c r="D1633"/>
      <c r="E1633"/>
      <c r="F1633"/>
      <c r="H1633"/>
    </row>
    <row r="1634" spans="1:8" ht="15">
      <c r="A1634"/>
      <c r="B1634"/>
      <c r="D1634"/>
      <c r="E1634"/>
      <c r="F1634"/>
      <c r="H1634"/>
    </row>
    <row r="1635" spans="1:8" ht="15">
      <c r="A1635"/>
      <c r="B1635"/>
      <c r="D1635"/>
      <c r="E1635"/>
      <c r="F1635"/>
      <c r="H1635"/>
    </row>
    <row r="1636" spans="1:8" ht="15">
      <c r="A1636"/>
      <c r="B1636"/>
      <c r="D1636"/>
      <c r="E1636"/>
      <c r="F1636"/>
      <c r="H1636"/>
    </row>
    <row r="1637" spans="1:8" ht="15">
      <c r="A1637"/>
      <c r="B1637"/>
      <c r="D1637"/>
      <c r="E1637"/>
      <c r="F1637"/>
      <c r="H1637"/>
    </row>
    <row r="1638" spans="1:8" ht="15">
      <c r="A1638"/>
      <c r="B1638"/>
      <c r="D1638"/>
      <c r="E1638"/>
      <c r="F1638"/>
      <c r="H1638"/>
    </row>
    <row r="1639" spans="1:8" ht="15">
      <c r="A1639"/>
      <c r="B1639"/>
      <c r="D1639"/>
      <c r="E1639"/>
      <c r="F1639"/>
      <c r="H1639"/>
    </row>
    <row r="1640" spans="1:8" ht="15">
      <c r="A1640"/>
      <c r="B1640"/>
      <c r="D1640"/>
      <c r="E1640"/>
      <c r="F1640"/>
      <c r="H1640"/>
    </row>
    <row r="1641" spans="1:8" ht="15">
      <c r="A1641"/>
      <c r="B1641"/>
      <c r="D1641"/>
      <c r="E1641"/>
      <c r="F1641"/>
      <c r="H1641"/>
    </row>
    <row r="1642" spans="1:8" ht="15">
      <c r="A1642"/>
      <c r="B1642"/>
      <c r="D1642"/>
      <c r="E1642"/>
      <c r="F1642"/>
      <c r="H1642"/>
    </row>
    <row r="1643" spans="1:8" ht="15">
      <c r="A1643"/>
      <c r="B1643"/>
      <c r="D1643"/>
      <c r="E1643"/>
      <c r="F1643"/>
      <c r="H1643"/>
    </row>
    <row r="1644" spans="1:8" ht="15">
      <c r="A1644"/>
      <c r="B1644"/>
      <c r="D1644"/>
      <c r="E1644"/>
      <c r="F1644"/>
      <c r="H1644"/>
    </row>
    <row r="1645" spans="1:8" ht="15">
      <c r="A1645"/>
      <c r="B1645"/>
      <c r="D1645"/>
      <c r="E1645"/>
      <c r="F1645"/>
      <c r="H1645"/>
    </row>
    <row r="1646" spans="1:8" ht="15">
      <c r="A1646"/>
      <c r="B1646"/>
      <c r="D1646"/>
      <c r="E1646"/>
      <c r="F1646"/>
      <c r="H1646"/>
    </row>
    <row r="1647" spans="1:8" ht="15">
      <c r="A1647"/>
      <c r="B1647"/>
      <c r="D1647"/>
      <c r="E1647"/>
      <c r="F1647"/>
      <c r="H1647"/>
    </row>
    <row r="1648" spans="1:8" ht="15">
      <c r="A1648"/>
      <c r="B1648"/>
      <c r="D1648"/>
      <c r="E1648"/>
      <c r="F1648"/>
      <c r="H1648"/>
    </row>
    <row r="1649" spans="1:8" ht="15">
      <c r="A1649"/>
      <c r="B1649"/>
      <c r="D1649"/>
      <c r="E1649"/>
      <c r="F1649"/>
      <c r="H1649"/>
    </row>
    <row r="1650" spans="1:8" ht="15">
      <c r="A1650"/>
      <c r="B1650"/>
      <c r="D1650"/>
      <c r="E1650"/>
      <c r="F1650"/>
      <c r="H1650"/>
    </row>
    <row r="1651" spans="1:8" ht="15">
      <c r="A1651"/>
      <c r="B1651"/>
      <c r="D1651"/>
      <c r="E1651"/>
      <c r="F1651"/>
      <c r="H1651"/>
    </row>
    <row r="1652" spans="1:8" ht="15">
      <c r="A1652"/>
      <c r="B1652"/>
      <c r="D1652"/>
      <c r="E1652"/>
      <c r="F1652"/>
      <c r="H1652"/>
    </row>
    <row r="1653" spans="1:8" ht="15">
      <c r="A1653"/>
      <c r="B1653"/>
      <c r="D1653"/>
      <c r="E1653"/>
      <c r="F1653"/>
      <c r="H1653"/>
    </row>
    <row r="1654" spans="1:8" ht="15">
      <c r="A1654"/>
      <c r="B1654"/>
      <c r="D1654"/>
      <c r="E1654"/>
      <c r="F1654"/>
      <c r="H1654"/>
    </row>
    <row r="1655" spans="1:8" ht="15">
      <c r="A1655"/>
      <c r="B1655"/>
      <c r="D1655"/>
      <c r="E1655"/>
      <c r="F1655"/>
      <c r="H1655"/>
    </row>
    <row r="1656" spans="1:8" ht="15">
      <c r="A1656"/>
      <c r="B1656"/>
      <c r="D1656"/>
      <c r="E1656"/>
      <c r="F1656"/>
      <c r="H1656"/>
    </row>
    <row r="1657" spans="1:8" ht="15">
      <c r="A1657"/>
      <c r="B1657"/>
      <c r="D1657"/>
      <c r="E1657"/>
      <c r="F1657"/>
      <c r="H1657"/>
    </row>
    <row r="1658" spans="1:8" ht="15">
      <c r="A1658"/>
      <c r="B1658"/>
      <c r="D1658"/>
      <c r="E1658"/>
      <c r="F1658"/>
      <c r="H1658"/>
    </row>
    <row r="1659" spans="1:8" ht="15">
      <c r="A1659"/>
      <c r="B1659"/>
      <c r="D1659"/>
      <c r="E1659"/>
      <c r="F1659"/>
      <c r="H1659"/>
    </row>
    <row r="1660" spans="1:8" ht="15">
      <c r="A1660"/>
      <c r="B1660"/>
      <c r="D1660"/>
      <c r="E1660"/>
      <c r="F1660"/>
      <c r="H1660"/>
    </row>
    <row r="1661" spans="1:8" ht="15">
      <c r="A1661"/>
      <c r="B1661"/>
      <c r="D1661"/>
      <c r="E1661"/>
      <c r="F1661"/>
      <c r="H1661"/>
    </row>
    <row r="1662" spans="1:8" ht="15">
      <c r="A1662"/>
      <c r="B1662"/>
      <c r="D1662"/>
      <c r="E1662"/>
      <c r="F1662"/>
      <c r="H1662"/>
    </row>
    <row r="1663" spans="1:8" ht="15">
      <c r="A1663"/>
      <c r="B1663"/>
      <c r="D1663"/>
      <c r="E1663"/>
      <c r="F1663"/>
      <c r="H1663"/>
    </row>
    <row r="1664" spans="1:8" ht="15">
      <c r="A1664"/>
      <c r="B1664"/>
      <c r="D1664"/>
      <c r="E1664"/>
      <c r="F1664"/>
      <c r="H1664"/>
    </row>
    <row r="1665" spans="1:8" ht="15">
      <c r="A1665"/>
      <c r="B1665"/>
      <c r="D1665"/>
      <c r="E1665"/>
      <c r="F1665"/>
      <c r="H1665"/>
    </row>
    <row r="1666" spans="1:8" ht="15">
      <c r="A1666"/>
      <c r="B1666"/>
      <c r="D1666"/>
      <c r="E1666"/>
      <c r="F1666"/>
      <c r="H1666"/>
    </row>
    <row r="1667" spans="1:8" ht="15">
      <c r="A1667"/>
      <c r="B1667"/>
      <c r="D1667"/>
      <c r="E1667"/>
      <c r="F1667"/>
      <c r="H1667"/>
    </row>
    <row r="1668" spans="1:8" ht="15">
      <c r="A1668"/>
      <c r="B1668"/>
      <c r="D1668"/>
      <c r="E1668"/>
      <c r="F1668"/>
      <c r="H1668"/>
    </row>
    <row r="1669" spans="1:8" ht="15">
      <c r="A1669"/>
      <c r="B1669"/>
      <c r="D1669"/>
      <c r="E1669"/>
      <c r="F1669"/>
      <c r="H1669"/>
    </row>
    <row r="1670" spans="1:8" ht="15">
      <c r="A1670"/>
      <c r="B1670"/>
      <c r="D1670"/>
      <c r="E1670"/>
      <c r="F1670"/>
      <c r="H1670"/>
    </row>
    <row r="1671" spans="1:8" ht="15">
      <c r="A1671"/>
      <c r="B1671"/>
      <c r="D1671"/>
      <c r="E1671"/>
      <c r="F1671"/>
      <c r="H1671"/>
    </row>
    <row r="1672" spans="1:8" ht="15">
      <c r="A1672"/>
      <c r="B1672"/>
      <c r="D1672"/>
      <c r="E1672"/>
      <c r="F1672"/>
      <c r="H1672"/>
    </row>
    <row r="1673" spans="1:8" ht="15">
      <c r="A1673"/>
      <c r="B1673"/>
      <c r="D1673"/>
      <c r="E1673"/>
      <c r="F1673"/>
      <c r="H1673"/>
    </row>
    <row r="1674" spans="1:8" ht="15">
      <c r="A1674"/>
      <c r="B1674"/>
      <c r="D1674"/>
      <c r="E1674"/>
      <c r="F1674"/>
      <c r="H1674"/>
    </row>
    <row r="1675" spans="1:8" ht="15">
      <c r="A1675"/>
      <c r="B1675"/>
      <c r="D1675"/>
      <c r="E1675"/>
      <c r="F1675"/>
      <c r="H1675"/>
    </row>
    <row r="1676" spans="1:8" ht="15">
      <c r="A1676"/>
      <c r="B1676"/>
      <c r="D1676"/>
      <c r="E1676"/>
      <c r="F1676"/>
      <c r="H1676"/>
    </row>
    <row r="1677" spans="1:8" ht="15">
      <c r="A1677"/>
      <c r="B1677"/>
      <c r="D1677"/>
      <c r="E1677"/>
      <c r="F1677"/>
      <c r="H1677"/>
    </row>
    <row r="1678" spans="1:8" ht="15">
      <c r="A1678"/>
      <c r="B1678"/>
      <c r="D1678"/>
      <c r="E1678"/>
      <c r="F1678"/>
      <c r="H1678"/>
    </row>
    <row r="1679" spans="1:8" ht="15">
      <c r="A1679"/>
      <c r="B1679"/>
      <c r="D1679"/>
      <c r="E1679"/>
      <c r="F1679"/>
      <c r="H1679"/>
    </row>
    <row r="1680" spans="1:8" ht="15">
      <c r="A1680"/>
      <c r="B1680"/>
      <c r="D1680"/>
      <c r="E1680"/>
      <c r="F1680"/>
      <c r="H1680"/>
    </row>
    <row r="1681" spans="1:8" ht="15">
      <c r="A1681"/>
      <c r="B1681"/>
      <c r="D1681"/>
      <c r="E1681"/>
      <c r="F1681"/>
      <c r="H1681"/>
    </row>
    <row r="1682" spans="1:8" ht="15">
      <c r="A1682"/>
      <c r="B1682"/>
      <c r="D1682"/>
      <c r="E1682"/>
      <c r="F1682"/>
      <c r="H1682"/>
    </row>
    <row r="1683" spans="1:8" ht="15">
      <c r="A1683"/>
      <c r="B1683"/>
      <c r="D1683"/>
      <c r="E1683"/>
      <c r="F1683"/>
      <c r="H1683"/>
    </row>
    <row r="1684" spans="1:8" ht="15">
      <c r="A1684"/>
      <c r="B1684"/>
      <c r="D1684"/>
      <c r="E1684"/>
      <c r="F1684"/>
      <c r="H1684"/>
    </row>
    <row r="1685" spans="1:8" ht="15">
      <c r="A1685"/>
      <c r="B1685"/>
      <c r="D1685"/>
      <c r="E1685"/>
      <c r="F1685"/>
      <c r="H1685"/>
    </row>
    <row r="1686" spans="1:8" ht="15">
      <c r="A1686"/>
      <c r="B1686"/>
      <c r="D1686"/>
      <c r="E1686"/>
      <c r="F1686"/>
      <c r="H1686"/>
    </row>
    <row r="1687" spans="1:8" ht="15">
      <c r="A1687"/>
      <c r="B1687"/>
      <c r="D1687"/>
      <c r="E1687"/>
      <c r="F1687"/>
      <c r="H1687"/>
    </row>
    <row r="1688" spans="1:8" ht="15">
      <c r="A1688"/>
      <c r="B1688"/>
      <c r="D1688"/>
      <c r="E1688"/>
      <c r="F1688"/>
      <c r="H1688"/>
    </row>
    <row r="1689" spans="1:8" ht="15">
      <c r="A1689"/>
      <c r="B1689"/>
      <c r="D1689"/>
      <c r="E1689"/>
      <c r="F1689"/>
      <c r="H1689"/>
    </row>
    <row r="1690" spans="1:8" ht="15">
      <c r="A1690"/>
      <c r="B1690"/>
      <c r="D1690"/>
      <c r="E1690"/>
      <c r="F1690"/>
      <c r="H1690"/>
    </row>
    <row r="1691" spans="1:8" ht="15">
      <c r="A1691"/>
      <c r="B1691"/>
      <c r="D1691"/>
      <c r="E1691"/>
      <c r="F1691"/>
      <c r="H1691"/>
    </row>
    <row r="1692" spans="1:8" ht="15">
      <c r="A1692"/>
      <c r="B1692"/>
      <c r="D1692"/>
      <c r="E1692"/>
      <c r="F1692"/>
      <c r="H1692"/>
    </row>
    <row r="1693" spans="1:8" ht="15">
      <c r="A1693"/>
      <c r="B1693"/>
      <c r="D1693"/>
      <c r="E1693"/>
      <c r="F1693"/>
      <c r="H1693"/>
    </row>
    <row r="1694" spans="1:8" ht="15">
      <c r="A1694"/>
      <c r="B1694"/>
      <c r="D1694"/>
      <c r="E1694"/>
      <c r="F1694"/>
      <c r="H1694"/>
    </row>
    <row r="1695" spans="1:8" ht="15">
      <c r="A1695"/>
      <c r="B1695"/>
      <c r="D1695"/>
      <c r="E1695"/>
      <c r="F1695"/>
      <c r="H1695"/>
    </row>
    <row r="1696" spans="1:8" ht="15">
      <c r="A1696"/>
      <c r="B1696"/>
      <c r="D1696"/>
      <c r="E1696"/>
      <c r="F1696"/>
      <c r="H1696"/>
    </row>
    <row r="1697" spans="1:8" ht="15">
      <c r="A1697"/>
      <c r="B1697"/>
      <c r="D1697"/>
      <c r="E1697"/>
      <c r="F1697"/>
      <c r="H1697"/>
    </row>
    <row r="1698" spans="1:8" ht="15">
      <c r="A1698"/>
      <c r="B1698"/>
      <c r="D1698"/>
      <c r="E1698"/>
      <c r="F1698"/>
      <c r="H1698"/>
    </row>
    <row r="1699" spans="1:8" ht="15">
      <c r="A1699"/>
      <c r="B1699"/>
      <c r="D1699"/>
      <c r="E1699"/>
      <c r="F1699"/>
      <c r="H1699"/>
    </row>
    <row r="1700" spans="1:8" ht="15">
      <c r="A1700"/>
      <c r="B1700"/>
      <c r="D1700"/>
      <c r="E1700"/>
      <c r="F1700"/>
      <c r="H1700"/>
    </row>
    <row r="1701" spans="1:8" ht="15">
      <c r="A1701"/>
      <c r="B1701"/>
      <c r="D1701"/>
      <c r="E1701"/>
      <c r="F1701"/>
      <c r="H1701"/>
    </row>
    <row r="1702" spans="1:8" ht="15">
      <c r="A1702"/>
      <c r="B1702"/>
      <c r="D1702"/>
      <c r="E1702"/>
      <c r="F1702"/>
      <c r="H1702"/>
    </row>
    <row r="1703" spans="1:8" ht="15">
      <c r="A1703"/>
      <c r="B1703"/>
      <c r="D1703"/>
      <c r="E1703"/>
      <c r="F1703"/>
      <c r="H1703"/>
    </row>
    <row r="1704" spans="1:8" ht="15">
      <c r="A1704"/>
      <c r="B1704"/>
      <c r="D1704"/>
      <c r="E1704"/>
      <c r="F1704"/>
      <c r="H1704"/>
    </row>
    <row r="1705" spans="1:8" ht="15">
      <c r="A1705"/>
      <c r="B1705"/>
      <c r="D1705"/>
      <c r="E1705"/>
      <c r="F1705"/>
      <c r="H1705"/>
    </row>
    <row r="1706" spans="1:8" ht="15">
      <c r="A1706"/>
      <c r="B1706"/>
      <c r="D1706"/>
      <c r="E1706"/>
      <c r="F1706"/>
      <c r="H1706"/>
    </row>
    <row r="1707" spans="1:8" ht="15">
      <c r="A1707"/>
      <c r="B1707"/>
      <c r="D1707"/>
      <c r="E1707"/>
      <c r="F1707"/>
      <c r="H1707"/>
    </row>
    <row r="1708" spans="1:8" ht="15">
      <c r="A1708"/>
      <c r="B1708"/>
      <c r="D1708"/>
      <c r="E1708"/>
      <c r="F1708"/>
      <c r="H1708"/>
    </row>
    <row r="1709" spans="1:8" ht="15">
      <c r="A1709"/>
      <c r="B1709"/>
      <c r="D1709"/>
      <c r="E1709"/>
      <c r="F1709"/>
      <c r="H1709"/>
    </row>
    <row r="1710" spans="1:8" ht="15">
      <c r="A1710"/>
      <c r="B1710"/>
      <c r="D1710"/>
      <c r="E1710"/>
      <c r="F1710"/>
      <c r="H1710"/>
    </row>
    <row r="1711" spans="1:8" ht="15">
      <c r="A1711"/>
      <c r="B1711"/>
      <c r="D1711"/>
      <c r="E1711"/>
      <c r="F1711"/>
      <c r="H1711"/>
    </row>
    <row r="1712" spans="1:8" ht="15">
      <c r="A1712"/>
      <c r="B1712"/>
      <c r="D1712"/>
      <c r="E1712"/>
      <c r="F1712"/>
      <c r="H1712"/>
    </row>
    <row r="1713" spans="1:8" ht="15">
      <c r="A1713"/>
      <c r="B1713"/>
      <c r="D1713"/>
      <c r="E1713"/>
      <c r="F1713"/>
      <c r="H1713"/>
    </row>
    <row r="1714" spans="1:8" ht="15">
      <c r="A1714"/>
      <c r="B1714"/>
      <c r="D1714"/>
      <c r="E1714"/>
      <c r="F1714"/>
      <c r="H1714"/>
    </row>
    <row r="1715" spans="1:8" ht="15">
      <c r="A1715"/>
      <c r="B1715"/>
      <c r="D1715"/>
      <c r="E1715"/>
      <c r="F1715"/>
      <c r="H1715"/>
    </row>
    <row r="1716" spans="1:8" ht="15">
      <c r="A1716"/>
      <c r="B1716"/>
      <c r="D1716"/>
      <c r="E1716"/>
      <c r="F1716"/>
      <c r="H1716"/>
    </row>
    <row r="1717" spans="1:8" ht="15">
      <c r="A1717"/>
      <c r="B1717"/>
      <c r="D1717"/>
      <c r="E1717"/>
      <c r="F1717"/>
      <c r="H1717"/>
    </row>
    <row r="1718" spans="1:8" ht="15">
      <c r="A1718"/>
      <c r="B1718"/>
      <c r="D1718"/>
      <c r="E1718"/>
      <c r="F1718"/>
      <c r="H1718"/>
    </row>
    <row r="1719" spans="1:8" ht="15">
      <c r="A1719"/>
      <c r="B1719"/>
      <c r="D1719"/>
      <c r="E1719"/>
      <c r="F1719"/>
      <c r="H1719"/>
    </row>
    <row r="1720" spans="1:8" ht="15">
      <c r="A1720"/>
      <c r="B1720"/>
      <c r="D1720"/>
      <c r="E1720"/>
      <c r="F1720"/>
      <c r="H1720"/>
    </row>
    <row r="1721" spans="1:8" ht="15">
      <c r="A1721"/>
      <c r="B1721"/>
      <c r="D1721"/>
      <c r="E1721"/>
      <c r="F1721"/>
      <c r="H1721"/>
    </row>
    <row r="1722" spans="1:8" ht="15">
      <c r="A1722"/>
      <c r="B1722"/>
      <c r="D1722"/>
      <c r="E1722"/>
      <c r="F1722"/>
      <c r="H1722"/>
    </row>
    <row r="1723" spans="1:8" ht="15">
      <c r="A1723"/>
      <c r="B1723"/>
      <c r="D1723"/>
      <c r="E1723"/>
      <c r="F1723"/>
      <c r="H1723"/>
    </row>
    <row r="1724" spans="1:8" ht="15">
      <c r="A1724"/>
      <c r="B1724"/>
      <c r="D1724"/>
      <c r="E1724"/>
      <c r="F1724"/>
      <c r="H1724"/>
    </row>
    <row r="1725" spans="1:8" ht="15">
      <c r="A1725"/>
      <c r="B1725"/>
      <c r="D1725"/>
      <c r="E1725"/>
      <c r="F1725"/>
      <c r="H1725"/>
    </row>
    <row r="1726" spans="1:8" ht="15">
      <c r="A1726"/>
      <c r="B1726"/>
      <c r="D1726"/>
      <c r="E1726"/>
      <c r="F1726"/>
      <c r="H1726"/>
    </row>
    <row r="1727" spans="1:8" ht="15">
      <c r="A1727"/>
      <c r="B1727"/>
      <c r="D1727"/>
      <c r="E1727"/>
      <c r="F1727"/>
      <c r="H1727"/>
    </row>
    <row r="1728" spans="1:8" ht="15">
      <c r="A1728"/>
      <c r="B1728"/>
      <c r="D1728"/>
      <c r="E1728"/>
      <c r="F1728"/>
      <c r="H1728"/>
    </row>
    <row r="1729" spans="1:8" ht="15">
      <c r="A1729"/>
      <c r="B1729"/>
      <c r="D1729"/>
      <c r="E1729"/>
      <c r="F1729"/>
      <c r="H1729"/>
    </row>
    <row r="1730" spans="1:8" ht="15">
      <c r="A1730"/>
      <c r="B1730"/>
      <c r="D1730"/>
      <c r="E1730"/>
      <c r="F1730"/>
      <c r="H1730"/>
    </row>
    <row r="1731" spans="1:8" ht="15">
      <c r="A1731"/>
      <c r="B1731"/>
      <c r="D1731"/>
      <c r="E1731"/>
      <c r="F1731"/>
      <c r="H1731"/>
    </row>
    <row r="1732" spans="1:8" ht="15">
      <c r="A1732"/>
      <c r="B1732"/>
      <c r="D1732"/>
      <c r="E1732"/>
      <c r="F1732"/>
      <c r="H1732"/>
    </row>
    <row r="1733" spans="1:8" ht="15">
      <c r="A1733"/>
      <c r="B1733"/>
      <c r="D1733"/>
      <c r="E1733"/>
      <c r="F1733"/>
      <c r="H1733"/>
    </row>
    <row r="1734" spans="1:8" ht="15">
      <c r="A1734"/>
      <c r="B1734"/>
      <c r="D1734"/>
      <c r="E1734"/>
      <c r="F1734"/>
      <c r="H1734"/>
    </row>
    <row r="1735" spans="1:8" ht="15">
      <c r="A1735"/>
      <c r="B1735"/>
      <c r="D1735"/>
      <c r="E1735"/>
      <c r="F1735"/>
      <c r="H1735"/>
    </row>
    <row r="1736" spans="1:8" ht="15">
      <c r="A1736"/>
      <c r="B1736"/>
      <c r="D1736"/>
      <c r="E1736"/>
      <c r="F1736"/>
      <c r="H1736"/>
    </row>
    <row r="1737" spans="1:8" ht="15">
      <c r="A1737"/>
      <c r="B1737"/>
      <c r="D1737"/>
      <c r="E1737"/>
      <c r="F1737"/>
      <c r="H1737"/>
    </row>
    <row r="1738" spans="1:8" ht="15">
      <c r="A1738"/>
      <c r="B1738"/>
      <c r="D1738"/>
      <c r="E1738"/>
      <c r="F1738"/>
      <c r="H1738"/>
    </row>
    <row r="1739" spans="1:8" ht="15">
      <c r="A1739"/>
      <c r="B1739"/>
      <c r="D1739"/>
      <c r="E1739"/>
      <c r="F1739"/>
      <c r="H1739"/>
    </row>
    <row r="1740" spans="1:8" ht="15">
      <c r="A1740"/>
      <c r="B1740"/>
      <c r="D1740"/>
      <c r="E1740"/>
      <c r="F1740"/>
      <c r="H1740"/>
    </row>
    <row r="1741" spans="1:8" ht="15">
      <c r="A1741"/>
      <c r="B1741"/>
      <c r="D1741"/>
      <c r="E1741"/>
      <c r="F1741"/>
      <c r="H1741"/>
    </row>
    <row r="1742" spans="1:8" ht="15">
      <c r="A1742"/>
      <c r="B1742"/>
      <c r="D1742"/>
      <c r="E1742"/>
      <c r="F1742"/>
      <c r="H1742"/>
    </row>
    <row r="1743" spans="1:8" ht="15">
      <c r="A1743"/>
      <c r="B1743"/>
      <c r="D1743"/>
      <c r="E1743"/>
      <c r="F1743"/>
      <c r="H1743"/>
    </row>
    <row r="1744" spans="1:8" ht="15">
      <c r="A1744"/>
      <c r="B1744"/>
      <c r="D1744"/>
      <c r="E1744"/>
      <c r="F1744"/>
      <c r="H1744"/>
    </row>
    <row r="1745" spans="1:8" ht="15">
      <c r="A1745"/>
      <c r="B1745"/>
      <c r="D1745"/>
      <c r="E1745"/>
      <c r="F1745"/>
      <c r="H1745"/>
    </row>
    <row r="1746" spans="1:8" ht="15">
      <c r="A1746"/>
      <c r="B1746"/>
      <c r="D1746"/>
      <c r="E1746"/>
      <c r="F1746"/>
      <c r="H1746"/>
    </row>
    <row r="1747" spans="1:8" ht="15">
      <c r="A1747"/>
      <c r="B1747"/>
      <c r="D1747"/>
      <c r="E1747"/>
      <c r="F1747"/>
      <c r="H1747"/>
    </row>
    <row r="1748" spans="1:8" ht="15">
      <c r="A1748"/>
      <c r="B1748"/>
      <c r="D1748"/>
      <c r="E1748"/>
      <c r="F1748"/>
      <c r="H1748"/>
    </row>
    <row r="1749" spans="1:8" ht="15">
      <c r="A1749"/>
      <c r="B1749"/>
      <c r="D1749"/>
      <c r="E1749"/>
      <c r="F1749"/>
      <c r="H1749"/>
    </row>
    <row r="1750" spans="1:8" ht="15">
      <c r="A1750"/>
      <c r="B1750"/>
      <c r="D1750"/>
      <c r="E1750"/>
      <c r="F1750"/>
      <c r="H1750"/>
    </row>
    <row r="1751" spans="1:8" ht="15">
      <c r="A1751"/>
      <c r="B1751"/>
      <c r="D1751"/>
      <c r="E1751"/>
      <c r="F1751"/>
      <c r="H1751"/>
    </row>
    <row r="1752" spans="1:8" ht="15">
      <c r="A1752"/>
      <c r="B1752"/>
      <c r="D1752"/>
      <c r="E1752"/>
      <c r="F1752"/>
      <c r="H1752"/>
    </row>
    <row r="1753" spans="1:8" ht="15">
      <c r="A1753"/>
      <c r="B1753"/>
      <c r="D1753"/>
      <c r="E1753"/>
      <c r="F1753"/>
      <c r="H1753"/>
    </row>
    <row r="1754" spans="1:8" ht="15">
      <c r="A1754"/>
      <c r="B1754"/>
      <c r="D1754"/>
      <c r="E1754"/>
      <c r="F1754"/>
      <c r="H1754"/>
    </row>
    <row r="1755" spans="1:8" ht="15">
      <c r="A1755"/>
      <c r="B1755"/>
      <c r="D1755"/>
      <c r="E1755"/>
      <c r="F1755"/>
      <c r="H1755"/>
    </row>
    <row r="1756" spans="1:8" ht="15">
      <c r="A1756"/>
      <c r="B1756"/>
      <c r="D1756"/>
      <c r="E1756"/>
      <c r="F1756"/>
      <c r="H1756"/>
    </row>
    <row r="1757" spans="1:8" ht="15">
      <c r="A1757"/>
      <c r="B1757"/>
      <c r="D1757"/>
      <c r="E1757"/>
      <c r="F1757"/>
      <c r="H1757"/>
    </row>
    <row r="1758" spans="1:8" ht="15">
      <c r="A1758"/>
      <c r="B1758"/>
      <c r="D1758"/>
      <c r="E1758"/>
      <c r="F1758"/>
      <c r="H1758"/>
    </row>
    <row r="1759" spans="1:8" ht="15">
      <c r="A1759"/>
      <c r="B1759"/>
      <c r="D1759"/>
      <c r="E1759"/>
      <c r="F1759"/>
      <c r="H1759"/>
    </row>
    <row r="1760" spans="1:8" ht="15">
      <c r="A1760"/>
      <c r="B1760"/>
      <c r="D1760"/>
      <c r="E1760"/>
      <c r="F1760"/>
      <c r="H1760"/>
    </row>
    <row r="1761" spans="1:8" ht="15">
      <c r="A1761"/>
      <c r="B1761"/>
      <c r="D1761"/>
      <c r="E1761"/>
      <c r="F1761"/>
      <c r="H1761"/>
    </row>
    <row r="1762" spans="1:8" ht="15">
      <c r="A1762"/>
      <c r="B1762"/>
      <c r="D1762"/>
      <c r="E1762"/>
      <c r="F1762"/>
      <c r="H1762"/>
    </row>
    <row r="1763" spans="1:8" ht="15">
      <c r="A1763"/>
      <c r="B1763"/>
      <c r="D1763"/>
      <c r="E1763"/>
      <c r="F1763"/>
      <c r="H1763"/>
    </row>
    <row r="1764" spans="1:8" ht="15">
      <c r="A1764"/>
      <c r="B1764"/>
      <c r="D1764"/>
      <c r="E1764"/>
      <c r="F1764"/>
      <c r="H1764"/>
    </row>
    <row r="1765" spans="1:8" ht="15">
      <c r="A1765"/>
      <c r="B1765"/>
      <c r="D1765"/>
      <c r="E1765"/>
      <c r="F1765"/>
      <c r="H1765"/>
    </row>
    <row r="1766" spans="1:8" ht="15">
      <c r="A1766"/>
      <c r="B1766"/>
      <c r="D1766"/>
      <c r="E1766"/>
      <c r="F1766"/>
      <c r="H1766"/>
    </row>
    <row r="1767" spans="1:8" ht="15">
      <c r="A1767"/>
      <c r="B1767"/>
      <c r="D1767"/>
      <c r="E1767"/>
      <c r="F1767"/>
      <c r="H1767"/>
    </row>
    <row r="1768" spans="1:8" ht="15">
      <c r="A1768"/>
      <c r="B1768"/>
      <c r="D1768"/>
      <c r="E1768"/>
      <c r="F1768"/>
      <c r="H1768"/>
    </row>
    <row r="1769" spans="1:8" ht="15">
      <c r="A1769"/>
      <c r="B1769"/>
      <c r="D1769"/>
      <c r="E1769"/>
      <c r="F1769"/>
      <c r="H1769"/>
    </row>
    <row r="1770" spans="1:8" ht="15">
      <c r="A1770"/>
      <c r="B1770"/>
      <c r="D1770"/>
      <c r="E1770"/>
      <c r="F1770"/>
      <c r="H1770"/>
    </row>
    <row r="1771" spans="1:8" ht="15">
      <c r="A1771"/>
      <c r="B1771"/>
      <c r="D1771"/>
      <c r="E1771"/>
      <c r="F1771"/>
      <c r="H1771"/>
    </row>
    <row r="1772" spans="1:8" ht="15">
      <c r="A1772"/>
      <c r="B1772"/>
      <c r="D1772"/>
      <c r="E1772"/>
      <c r="F1772"/>
      <c r="H1772"/>
    </row>
    <row r="1773" spans="1:8" ht="15">
      <c r="A1773"/>
      <c r="B1773"/>
      <c r="D1773"/>
      <c r="E1773"/>
      <c r="F1773"/>
      <c r="H1773"/>
    </row>
    <row r="1774" spans="1:8" ht="15">
      <c r="A1774"/>
      <c r="B1774"/>
      <c r="D1774"/>
      <c r="E1774"/>
      <c r="F1774"/>
      <c r="H1774"/>
    </row>
    <row r="1775" spans="1:8" ht="15">
      <c r="A1775"/>
      <c r="B1775"/>
      <c r="D1775"/>
      <c r="E1775"/>
      <c r="F1775"/>
      <c r="H1775"/>
    </row>
    <row r="1776" spans="1:8" ht="15">
      <c r="A1776"/>
      <c r="B1776"/>
      <c r="D1776"/>
      <c r="E1776"/>
      <c r="F1776"/>
      <c r="H1776"/>
    </row>
    <row r="1777" spans="1:8" ht="15">
      <c r="A1777"/>
      <c r="B1777"/>
      <c r="D1777"/>
      <c r="E1777"/>
      <c r="F1777"/>
      <c r="H1777"/>
    </row>
    <row r="1778" spans="1:8" ht="15">
      <c r="A1778"/>
      <c r="B1778"/>
      <c r="D1778"/>
      <c r="E1778"/>
      <c r="F1778"/>
      <c r="H1778"/>
    </row>
    <row r="1779" spans="1:8" ht="15">
      <c r="A1779"/>
      <c r="B1779"/>
      <c r="D1779"/>
      <c r="E1779"/>
      <c r="F1779"/>
      <c r="H1779"/>
    </row>
    <row r="1780" spans="1:8" ht="15">
      <c r="A1780"/>
      <c r="B1780"/>
      <c r="D1780"/>
      <c r="E1780"/>
      <c r="F1780"/>
      <c r="H1780"/>
    </row>
    <row r="1781" spans="1:8" ht="15">
      <c r="A1781"/>
      <c r="B1781"/>
      <c r="D1781"/>
      <c r="E1781"/>
      <c r="F1781"/>
      <c r="H1781"/>
    </row>
    <row r="1782" spans="1:8" ht="15">
      <c r="A1782"/>
      <c r="B1782"/>
      <c r="D1782"/>
      <c r="E1782"/>
      <c r="F1782"/>
      <c r="H1782"/>
    </row>
    <row r="1783" spans="1:8" ht="15">
      <c r="A1783"/>
      <c r="B1783"/>
      <c r="D1783"/>
      <c r="E1783"/>
      <c r="F1783"/>
      <c r="H1783"/>
    </row>
    <row r="1784" spans="1:8" ht="15">
      <c r="A1784"/>
      <c r="B1784"/>
      <c r="D1784"/>
      <c r="E1784"/>
      <c r="F1784"/>
      <c r="H1784"/>
    </row>
    <row r="1785" spans="1:8" ht="15">
      <c r="A1785"/>
      <c r="B1785"/>
      <c r="D1785"/>
      <c r="E1785"/>
      <c r="F1785"/>
      <c r="H1785"/>
    </row>
    <row r="1786" spans="1:8" ht="15">
      <c r="A1786"/>
      <c r="B1786"/>
      <c r="D1786"/>
      <c r="E1786"/>
      <c r="F1786"/>
      <c r="H1786"/>
    </row>
    <row r="1787" spans="1:8" ht="15">
      <c r="A1787"/>
      <c r="B1787"/>
      <c r="D1787"/>
      <c r="E1787"/>
      <c r="F1787"/>
      <c r="H1787"/>
    </row>
    <row r="1788" spans="1:8" ht="15">
      <c r="A1788"/>
      <c r="B1788"/>
      <c r="D1788"/>
      <c r="E1788"/>
      <c r="F1788"/>
      <c r="H1788"/>
    </row>
    <row r="1789" spans="1:8" ht="15">
      <c r="A1789"/>
      <c r="B1789"/>
      <c r="D1789"/>
      <c r="E1789"/>
      <c r="F1789"/>
      <c r="H1789"/>
    </row>
    <row r="1790" spans="1:8" ht="15">
      <c r="A1790"/>
      <c r="B1790"/>
      <c r="D1790"/>
      <c r="E1790"/>
      <c r="F1790"/>
      <c r="H1790"/>
    </row>
    <row r="1791" spans="1:8" ht="15">
      <c r="A1791"/>
      <c r="B1791"/>
      <c r="D1791"/>
      <c r="E1791"/>
      <c r="F1791"/>
      <c r="H1791"/>
    </row>
    <row r="1792" spans="1:8" ht="15">
      <c r="A1792"/>
      <c r="B1792"/>
      <c r="D1792"/>
      <c r="E1792"/>
      <c r="F1792"/>
      <c r="H1792"/>
    </row>
    <row r="1793" spans="1:8" ht="15">
      <c r="A1793"/>
      <c r="B1793"/>
      <c r="D1793"/>
      <c r="E1793"/>
      <c r="F1793"/>
      <c r="H1793"/>
    </row>
    <row r="1794" spans="1:8" ht="15">
      <c r="A1794"/>
      <c r="B1794"/>
      <c r="D1794"/>
      <c r="E1794"/>
      <c r="F1794"/>
      <c r="H1794"/>
    </row>
    <row r="1795" spans="1:8" ht="15">
      <c r="A1795"/>
      <c r="B1795"/>
      <c r="D1795"/>
      <c r="E1795"/>
      <c r="F1795"/>
      <c r="H1795"/>
    </row>
    <row r="1796" spans="1:8" ht="15">
      <c r="A1796"/>
      <c r="B1796"/>
      <c r="D1796"/>
      <c r="E1796"/>
      <c r="F1796"/>
      <c r="H1796"/>
    </row>
    <row r="1797" spans="1:8" ht="15">
      <c r="A1797"/>
      <c r="B1797"/>
      <c r="D1797"/>
      <c r="E1797"/>
      <c r="F1797"/>
      <c r="H1797"/>
    </row>
    <row r="1798" spans="1:8" ht="15">
      <c r="A1798"/>
      <c r="B1798"/>
      <c r="D1798"/>
      <c r="E1798"/>
      <c r="F1798"/>
      <c r="H1798"/>
    </row>
    <row r="1799" spans="1:8" ht="15">
      <c r="A1799"/>
      <c r="B1799"/>
      <c r="D1799"/>
      <c r="E1799"/>
      <c r="F1799"/>
      <c r="H1799"/>
    </row>
    <row r="1800" spans="1:8" ht="15">
      <c r="A1800"/>
      <c r="B1800"/>
      <c r="D1800"/>
      <c r="E1800"/>
      <c r="F1800"/>
      <c r="H1800"/>
    </row>
    <row r="1801" spans="1:8" ht="15">
      <c r="A1801"/>
      <c r="B1801"/>
      <c r="D1801"/>
      <c r="E1801"/>
      <c r="F1801"/>
      <c r="H1801"/>
    </row>
    <row r="1802" spans="1:8" ht="15">
      <c r="A1802"/>
      <c r="B1802"/>
      <c r="D1802"/>
      <c r="E1802"/>
      <c r="F1802"/>
      <c r="H1802"/>
    </row>
    <row r="1803" spans="1:8" ht="15">
      <c r="A1803"/>
      <c r="B1803"/>
      <c r="D1803"/>
      <c r="E1803"/>
      <c r="F1803"/>
      <c r="H1803"/>
    </row>
    <row r="1804" spans="1:8" ht="15">
      <c r="A1804"/>
      <c r="B1804"/>
      <c r="D1804"/>
      <c r="E1804"/>
      <c r="F1804"/>
      <c r="H1804"/>
    </row>
    <row r="1805" spans="1:8" ht="15">
      <c r="A1805"/>
      <c r="B1805"/>
      <c r="D1805"/>
      <c r="E1805"/>
      <c r="F1805"/>
      <c r="H1805"/>
    </row>
    <row r="1806" spans="1:8" ht="15">
      <c r="A1806"/>
      <c r="B1806"/>
      <c r="D1806"/>
      <c r="E1806"/>
      <c r="F1806"/>
      <c r="H1806"/>
    </row>
    <row r="1807" spans="1:8" ht="15">
      <c r="A1807"/>
      <c r="B1807"/>
      <c r="D1807"/>
      <c r="E1807"/>
      <c r="F1807"/>
      <c r="H1807"/>
    </row>
    <row r="1808" spans="1:8" ht="15">
      <c r="A1808"/>
      <c r="B1808"/>
      <c r="D1808"/>
      <c r="E1808"/>
      <c r="F1808"/>
      <c r="H1808"/>
    </row>
    <row r="1809" spans="1:8" ht="15">
      <c r="A1809"/>
      <c r="B1809"/>
      <c r="D1809"/>
      <c r="E1809"/>
      <c r="F1809"/>
      <c r="H1809"/>
    </row>
    <row r="1810" spans="1:8" ht="15">
      <c r="A1810"/>
      <c r="B1810"/>
      <c r="D1810"/>
      <c r="E1810"/>
      <c r="F1810"/>
      <c r="H1810"/>
    </row>
    <row r="1811" spans="1:8" ht="15">
      <c r="A1811"/>
      <c r="B1811"/>
      <c r="D1811"/>
      <c r="E1811"/>
      <c r="F1811"/>
      <c r="H1811"/>
    </row>
    <row r="1812" spans="1:8" ht="15">
      <c r="A1812"/>
      <c r="B1812"/>
      <c r="D1812"/>
      <c r="E1812"/>
      <c r="F1812"/>
      <c r="H1812"/>
    </row>
    <row r="1813" spans="1:8" ht="15">
      <c r="A1813"/>
      <c r="B1813"/>
      <c r="D1813"/>
      <c r="E1813"/>
      <c r="F1813"/>
      <c r="H1813"/>
    </row>
    <row r="1814" spans="1:8" ht="15">
      <c r="A1814"/>
      <c r="B1814"/>
      <c r="D1814"/>
      <c r="E1814"/>
      <c r="F1814"/>
      <c r="H1814"/>
    </row>
    <row r="1815" spans="1:8" ht="15">
      <c r="A1815"/>
      <c r="B1815"/>
      <c r="D1815"/>
      <c r="E1815"/>
      <c r="F1815"/>
      <c r="H1815"/>
    </row>
    <row r="1816" spans="1:8" ht="15">
      <c r="A1816"/>
      <c r="B1816"/>
      <c r="D1816"/>
      <c r="E1816"/>
      <c r="F1816"/>
      <c r="H1816"/>
    </row>
    <row r="1817" spans="1:8" ht="15">
      <c r="A1817"/>
      <c r="B1817"/>
      <c r="D1817"/>
      <c r="E1817"/>
      <c r="F1817"/>
      <c r="H1817"/>
    </row>
    <row r="1818" spans="1:8" ht="15">
      <c r="A1818"/>
      <c r="B1818"/>
      <c r="D1818"/>
      <c r="E1818"/>
      <c r="F1818"/>
      <c r="H1818"/>
    </row>
    <row r="1819" spans="1:8" ht="15">
      <c r="A1819"/>
      <c r="B1819"/>
      <c r="D1819"/>
      <c r="E1819"/>
      <c r="F1819"/>
      <c r="H1819"/>
    </row>
    <row r="1820" spans="1:8" ht="15">
      <c r="A1820"/>
      <c r="B1820"/>
      <c r="D1820"/>
      <c r="E1820"/>
      <c r="F1820"/>
      <c r="H1820"/>
    </row>
    <row r="1821" spans="1:8" ht="15">
      <c r="A1821"/>
      <c r="B1821"/>
      <c r="D1821"/>
      <c r="E1821"/>
      <c r="F1821"/>
      <c r="H1821"/>
    </row>
    <row r="1822" spans="1:8" ht="15">
      <c r="A1822"/>
      <c r="B1822"/>
      <c r="D1822"/>
      <c r="E1822"/>
      <c r="F1822"/>
      <c r="H1822"/>
    </row>
    <row r="1823" spans="1:8" ht="15">
      <c r="A1823"/>
      <c r="B1823"/>
      <c r="D1823"/>
      <c r="E1823"/>
      <c r="F1823"/>
      <c r="H1823"/>
    </row>
    <row r="1824" spans="1:8" ht="15">
      <c r="A1824"/>
      <c r="B1824"/>
      <c r="D1824"/>
      <c r="E1824"/>
      <c r="F1824"/>
      <c r="H1824"/>
    </row>
    <row r="1825" spans="1:8" ht="15">
      <c r="A1825"/>
      <c r="B1825"/>
      <c r="D1825"/>
      <c r="E1825"/>
      <c r="F1825"/>
      <c r="H1825"/>
    </row>
    <row r="1826" spans="1:8" ht="15">
      <c r="A1826"/>
      <c r="B1826"/>
      <c r="D1826"/>
      <c r="E1826"/>
      <c r="F1826"/>
      <c r="H1826"/>
    </row>
    <row r="1827" spans="1:8" ht="15">
      <c r="A1827"/>
      <c r="B1827"/>
      <c r="D1827"/>
      <c r="E1827"/>
      <c r="F1827"/>
      <c r="H1827"/>
    </row>
    <row r="1828" spans="1:8" ht="15">
      <c r="A1828"/>
      <c r="B1828"/>
      <c r="D1828"/>
      <c r="E1828"/>
      <c r="F1828"/>
      <c r="H1828"/>
    </row>
    <row r="1829" spans="1:8" ht="15">
      <c r="A1829"/>
      <c r="B1829"/>
      <c r="D1829"/>
      <c r="E1829"/>
      <c r="F1829"/>
      <c r="H1829"/>
    </row>
    <row r="1830" spans="1:8" ht="15">
      <c r="A1830"/>
      <c r="B1830"/>
      <c r="D1830"/>
      <c r="E1830"/>
      <c r="F1830"/>
      <c r="H1830"/>
    </row>
    <row r="1831" spans="1:8" ht="15">
      <c r="A1831"/>
      <c r="B1831"/>
      <c r="D1831"/>
      <c r="E1831"/>
      <c r="F1831"/>
      <c r="H1831"/>
    </row>
    <row r="1832" spans="1:8" ht="15">
      <c r="A1832"/>
      <c r="B1832"/>
      <c r="D1832"/>
      <c r="E1832"/>
      <c r="F1832"/>
      <c r="H1832"/>
    </row>
    <row r="1833" spans="1:8" ht="15">
      <c r="A1833"/>
      <c r="B1833"/>
      <c r="D1833"/>
      <c r="E1833"/>
      <c r="F1833"/>
      <c r="H1833"/>
    </row>
    <row r="1834" spans="1:8" ht="15">
      <c r="A1834"/>
      <c r="B1834"/>
      <c r="D1834"/>
      <c r="E1834"/>
      <c r="F1834"/>
      <c r="H1834"/>
    </row>
    <row r="1835" spans="1:8" ht="15">
      <c r="A1835"/>
      <c r="B1835"/>
      <c r="D1835"/>
      <c r="E1835"/>
      <c r="F1835"/>
      <c r="H1835"/>
    </row>
    <row r="1836" spans="1:8" ht="15">
      <c r="A1836"/>
      <c r="B1836"/>
      <c r="D1836"/>
      <c r="E1836"/>
      <c r="F1836"/>
      <c r="H1836"/>
    </row>
    <row r="1837" spans="1:8" ht="15">
      <c r="A1837"/>
      <c r="B1837"/>
      <c r="D1837"/>
      <c r="E1837"/>
      <c r="F1837"/>
      <c r="H1837"/>
    </row>
    <row r="1838" spans="1:8" ht="15">
      <c r="A1838"/>
      <c r="B1838"/>
      <c r="D1838"/>
      <c r="E1838"/>
      <c r="F1838"/>
      <c r="H1838"/>
    </row>
    <row r="1839" spans="1:8" ht="15">
      <c r="A1839"/>
      <c r="B1839"/>
      <c r="D1839"/>
      <c r="E1839"/>
      <c r="F1839"/>
      <c r="H1839"/>
    </row>
    <row r="1840" spans="1:8" ht="15">
      <c r="A1840"/>
      <c r="B1840"/>
      <c r="D1840"/>
      <c r="E1840"/>
      <c r="F1840"/>
      <c r="H1840"/>
    </row>
    <row r="1841" spans="1:8" ht="15">
      <c r="A1841"/>
      <c r="B1841"/>
      <c r="D1841"/>
      <c r="E1841"/>
      <c r="F1841"/>
      <c r="H1841"/>
    </row>
    <row r="1842" spans="1:8" ht="15">
      <c r="A1842"/>
      <c r="B1842"/>
      <c r="D1842"/>
      <c r="E1842"/>
      <c r="F1842"/>
      <c r="H1842"/>
    </row>
    <row r="1843" spans="1:8" ht="15">
      <c r="A1843"/>
      <c r="B1843"/>
      <c r="D1843"/>
      <c r="E1843"/>
      <c r="F1843"/>
      <c r="H1843"/>
    </row>
    <row r="1844" spans="1:8" ht="15">
      <c r="A1844"/>
      <c r="B1844"/>
      <c r="D1844"/>
      <c r="E1844"/>
      <c r="F1844"/>
      <c r="H1844"/>
    </row>
    <row r="1845" spans="1:8" ht="15">
      <c r="A1845"/>
      <c r="B1845"/>
      <c r="D1845"/>
      <c r="E1845"/>
      <c r="F1845"/>
      <c r="H1845"/>
    </row>
    <row r="1846" spans="1:8" ht="15">
      <c r="A1846"/>
      <c r="B1846"/>
      <c r="D1846"/>
      <c r="E1846"/>
      <c r="F1846"/>
      <c r="H1846"/>
    </row>
    <row r="1847" spans="1:8" ht="15">
      <c r="A1847"/>
      <c r="B1847"/>
      <c r="D1847"/>
      <c r="E1847"/>
      <c r="F1847"/>
      <c r="H1847"/>
    </row>
    <row r="1848" spans="1:8" ht="15">
      <c r="A1848"/>
      <c r="B1848"/>
      <c r="D1848"/>
      <c r="E1848"/>
      <c r="F1848"/>
      <c r="H1848"/>
    </row>
    <row r="1849" spans="1:8" ht="15">
      <c r="A1849"/>
      <c r="B1849"/>
      <c r="D1849"/>
      <c r="E1849"/>
      <c r="F1849"/>
      <c r="H1849"/>
    </row>
    <row r="1850" spans="1:8" ht="15">
      <c r="A1850"/>
      <c r="B1850"/>
      <c r="D1850"/>
      <c r="E1850"/>
      <c r="F1850"/>
      <c r="H1850"/>
    </row>
    <row r="1851" spans="1:8" ht="15">
      <c r="A1851"/>
      <c r="B1851"/>
      <c r="D1851"/>
      <c r="E1851"/>
      <c r="F1851"/>
      <c r="H1851"/>
    </row>
    <row r="1852" spans="1:8" ht="15">
      <c r="A1852"/>
      <c r="B1852"/>
      <c r="D1852"/>
      <c r="E1852"/>
      <c r="F1852"/>
      <c r="H1852"/>
    </row>
    <row r="1853" spans="1:8" ht="15">
      <c r="A1853"/>
      <c r="B1853"/>
      <c r="D1853"/>
      <c r="E1853"/>
      <c r="F1853"/>
      <c r="H1853"/>
    </row>
    <row r="1854" spans="1:8" ht="15">
      <c r="A1854"/>
      <c r="B1854"/>
      <c r="D1854"/>
      <c r="E1854"/>
      <c r="F1854"/>
      <c r="H1854"/>
    </row>
    <row r="1855" spans="1:8" ht="15">
      <c r="A1855"/>
      <c r="B1855"/>
      <c r="D1855"/>
      <c r="E1855"/>
      <c r="F1855"/>
      <c r="H1855"/>
    </row>
    <row r="1856" spans="1:8" ht="15">
      <c r="A1856"/>
      <c r="B1856"/>
      <c r="D1856"/>
      <c r="E1856"/>
      <c r="F1856"/>
      <c r="H1856"/>
    </row>
    <row r="1857" spans="1:8" ht="15">
      <c r="A1857"/>
      <c r="B1857"/>
      <c r="D1857"/>
      <c r="E1857"/>
      <c r="F1857"/>
      <c r="H1857"/>
    </row>
    <row r="1858" spans="1:8" ht="15">
      <c r="A1858"/>
      <c r="B1858"/>
      <c r="D1858"/>
      <c r="E1858"/>
      <c r="F1858"/>
      <c r="H1858"/>
    </row>
    <row r="1859" spans="1:8" ht="15">
      <c r="A1859"/>
      <c r="B1859"/>
      <c r="D1859"/>
      <c r="E1859"/>
      <c r="F1859"/>
      <c r="H1859"/>
    </row>
    <row r="1860" spans="1:8" ht="15">
      <c r="A1860"/>
      <c r="B1860"/>
      <c r="D1860"/>
      <c r="E1860"/>
      <c r="F1860"/>
      <c r="H1860"/>
    </row>
    <row r="1861" spans="1:8" ht="15">
      <c r="A1861"/>
      <c r="B1861"/>
      <c r="D1861"/>
      <c r="E1861"/>
      <c r="F1861"/>
      <c r="H1861"/>
    </row>
    <row r="1862" spans="1:8" ht="15">
      <c r="A1862"/>
      <c r="B1862"/>
      <c r="D1862"/>
      <c r="E1862"/>
      <c r="F1862"/>
      <c r="H1862"/>
    </row>
    <row r="1863" spans="1:8" ht="15">
      <c r="A1863"/>
      <c r="B1863"/>
      <c r="D1863"/>
      <c r="E1863"/>
      <c r="F1863"/>
      <c r="H1863"/>
    </row>
    <row r="1864" spans="1:8" ht="15">
      <c r="A1864"/>
      <c r="B1864"/>
      <c r="D1864"/>
      <c r="E1864"/>
      <c r="F1864"/>
      <c r="H1864"/>
    </row>
    <row r="1865" spans="1:8" ht="15">
      <c r="A1865"/>
      <c r="B1865"/>
      <c r="D1865"/>
      <c r="E1865"/>
      <c r="F1865"/>
      <c r="H1865"/>
    </row>
    <row r="1866" spans="1:8" ht="15">
      <c r="A1866"/>
      <c r="B1866"/>
      <c r="D1866"/>
      <c r="E1866"/>
      <c r="F1866"/>
      <c r="H1866"/>
    </row>
    <row r="1867" spans="1:8" ht="15">
      <c r="A1867"/>
      <c r="B1867"/>
      <c r="D1867"/>
      <c r="E1867"/>
      <c r="F1867"/>
      <c r="H1867"/>
    </row>
    <row r="1868" spans="1:8" ht="15">
      <c r="A1868"/>
      <c r="B1868"/>
      <c r="D1868"/>
      <c r="E1868"/>
      <c r="F1868"/>
      <c r="H1868"/>
    </row>
    <row r="1869" spans="1:8" ht="15">
      <c r="A1869"/>
      <c r="B1869"/>
      <c r="D1869"/>
      <c r="E1869"/>
      <c r="F1869"/>
      <c r="H1869"/>
    </row>
    <row r="1870" spans="1:8" ht="15">
      <c r="A1870"/>
      <c r="B1870"/>
      <c r="D1870"/>
      <c r="E1870"/>
      <c r="F1870"/>
      <c r="H1870"/>
    </row>
    <row r="1871" spans="1:8" ht="15">
      <c r="A1871"/>
      <c r="B1871"/>
      <c r="D1871"/>
      <c r="E1871"/>
      <c r="F1871"/>
      <c r="H1871"/>
    </row>
    <row r="1872" spans="1:8" ht="15">
      <c r="A1872"/>
      <c r="B1872"/>
      <c r="D1872"/>
      <c r="E1872"/>
      <c r="F1872"/>
      <c r="H1872"/>
    </row>
    <row r="1873" spans="1:8" ht="15">
      <c r="A1873"/>
      <c r="B1873"/>
      <c r="D1873"/>
      <c r="E1873"/>
      <c r="F1873"/>
      <c r="H1873"/>
    </row>
    <row r="1874" spans="1:8" ht="15">
      <c r="A1874"/>
      <c r="B1874"/>
      <c r="D1874"/>
      <c r="E1874"/>
      <c r="F1874"/>
      <c r="H1874"/>
    </row>
    <row r="1875" spans="1:8" ht="15">
      <c r="A1875"/>
      <c r="B1875"/>
      <c r="D1875"/>
      <c r="E1875"/>
      <c r="F1875"/>
      <c r="H1875"/>
    </row>
    <row r="1876" spans="1:8" ht="15">
      <c r="A1876"/>
      <c r="B1876"/>
      <c r="D1876"/>
      <c r="E1876"/>
      <c r="F1876"/>
      <c r="H1876"/>
    </row>
    <row r="1877" spans="1:8" ht="15">
      <c r="A1877"/>
      <c r="B1877"/>
      <c r="D1877"/>
      <c r="E1877"/>
      <c r="F1877"/>
      <c r="H1877"/>
    </row>
    <row r="1878" spans="1:8" ht="15">
      <c r="A1878"/>
      <c r="B1878"/>
      <c r="D1878"/>
      <c r="E1878"/>
      <c r="F1878"/>
      <c r="H1878"/>
    </row>
    <row r="1879" spans="1:8" ht="15">
      <c r="A1879"/>
      <c r="B1879"/>
      <c r="D1879"/>
      <c r="E1879"/>
      <c r="F1879"/>
      <c r="H1879"/>
    </row>
    <row r="1880" spans="1:8" ht="15">
      <c r="A1880"/>
      <c r="B1880"/>
      <c r="D1880"/>
      <c r="E1880"/>
      <c r="F1880"/>
      <c r="H1880"/>
    </row>
    <row r="1881" spans="1:8" ht="15">
      <c r="A1881"/>
      <c r="B1881"/>
      <c r="D1881"/>
      <c r="E1881"/>
      <c r="F1881"/>
      <c r="H1881"/>
    </row>
    <row r="1882" spans="1:8" ht="15">
      <c r="A1882"/>
      <c r="B1882"/>
      <c r="D1882"/>
      <c r="E1882"/>
      <c r="F1882"/>
      <c r="H1882"/>
    </row>
    <row r="1883" spans="1:8" ht="15">
      <c r="A1883"/>
      <c r="B1883"/>
      <c r="D1883"/>
      <c r="E1883"/>
      <c r="F1883"/>
      <c r="H1883"/>
    </row>
    <row r="1884" spans="1:8" ht="15">
      <c r="A1884"/>
      <c r="B1884"/>
      <c r="D1884"/>
      <c r="E1884"/>
      <c r="F1884"/>
      <c r="H1884"/>
    </row>
    <row r="1885" spans="1:8" ht="15">
      <c r="A1885"/>
      <c r="B1885"/>
      <c r="D1885"/>
      <c r="E1885"/>
      <c r="F1885"/>
      <c r="H1885"/>
    </row>
    <row r="1886" spans="1:8" ht="15">
      <c r="A1886"/>
      <c r="B1886"/>
      <c r="D1886"/>
      <c r="E1886"/>
      <c r="F1886"/>
      <c r="H1886"/>
    </row>
    <row r="1887" spans="1:8" ht="15">
      <c r="A1887"/>
      <c r="B1887"/>
      <c r="D1887"/>
      <c r="E1887"/>
      <c r="F1887"/>
      <c r="H1887"/>
    </row>
    <row r="1888" spans="1:8" ht="15">
      <c r="A1888"/>
      <c r="B1888"/>
      <c r="D1888"/>
      <c r="E1888"/>
      <c r="F1888"/>
      <c r="H1888"/>
    </row>
    <row r="1889" spans="1:8" ht="15">
      <c r="A1889"/>
      <c r="B1889"/>
      <c r="D1889"/>
      <c r="E1889"/>
      <c r="F1889"/>
      <c r="H1889"/>
    </row>
    <row r="1890" spans="1:8" ht="15">
      <c r="A1890"/>
      <c r="B1890"/>
      <c r="D1890"/>
      <c r="E1890"/>
      <c r="F1890"/>
      <c r="H1890"/>
    </row>
    <row r="1891" spans="1:8" ht="15">
      <c r="A1891"/>
      <c r="B1891"/>
      <c r="D1891"/>
      <c r="E1891"/>
      <c r="F1891"/>
      <c r="H1891"/>
    </row>
    <row r="1892" spans="1:8" ht="15">
      <c r="A1892"/>
      <c r="B1892"/>
      <c r="D1892"/>
      <c r="E1892"/>
      <c r="F1892"/>
      <c r="H1892"/>
    </row>
    <row r="1893" spans="1:8" ht="15">
      <c r="A1893"/>
      <c r="B1893"/>
      <c r="D1893"/>
      <c r="E1893"/>
      <c r="F1893"/>
      <c r="H1893"/>
    </row>
    <row r="1894" spans="1:8" ht="15">
      <c r="A1894"/>
      <c r="B1894"/>
      <c r="D1894"/>
      <c r="E1894"/>
      <c r="F1894"/>
      <c r="H1894"/>
    </row>
    <row r="1895" spans="1:8" ht="15">
      <c r="A1895"/>
      <c r="B1895"/>
      <c r="D1895"/>
      <c r="E1895"/>
      <c r="F1895"/>
      <c r="H1895"/>
    </row>
    <row r="1896" spans="1:8" ht="15">
      <c r="A1896"/>
      <c r="B1896"/>
      <c r="D1896"/>
      <c r="E1896"/>
      <c r="F1896"/>
      <c r="H1896"/>
    </row>
    <row r="1897" spans="1:8" ht="15">
      <c r="A1897"/>
      <c r="B1897"/>
      <c r="D1897"/>
      <c r="E1897"/>
      <c r="F1897"/>
      <c r="H1897"/>
    </row>
    <row r="1898" spans="1:8" ht="15">
      <c r="A1898"/>
      <c r="B1898"/>
      <c r="D1898"/>
      <c r="E1898"/>
      <c r="F1898"/>
      <c r="H1898"/>
    </row>
    <row r="1899" spans="1:8" ht="15">
      <c r="A1899"/>
      <c r="B1899"/>
      <c r="D1899"/>
      <c r="E1899"/>
      <c r="F1899"/>
      <c r="H1899"/>
    </row>
    <row r="1900" spans="1:8" ht="15">
      <c r="A1900"/>
      <c r="B1900"/>
      <c r="D1900"/>
      <c r="E1900"/>
      <c r="F1900"/>
      <c r="H1900"/>
    </row>
    <row r="1901" spans="1:8" ht="15">
      <c r="A1901"/>
      <c r="B1901"/>
      <c r="D1901"/>
      <c r="E1901"/>
      <c r="F1901"/>
      <c r="H1901"/>
    </row>
    <row r="1902" spans="1:8" ht="15">
      <c r="A1902"/>
      <c r="B1902"/>
      <c r="D1902"/>
      <c r="E1902"/>
      <c r="F1902"/>
      <c r="H1902"/>
    </row>
    <row r="1903" spans="1:8" ht="15">
      <c r="A1903"/>
      <c r="B1903"/>
      <c r="D1903"/>
      <c r="E1903"/>
      <c r="F1903"/>
      <c r="H1903"/>
    </row>
    <row r="1904" spans="1:8" ht="15">
      <c r="A1904"/>
      <c r="B1904"/>
      <c r="D1904"/>
      <c r="E1904"/>
      <c r="F1904"/>
      <c r="H1904"/>
    </row>
    <row r="1905" spans="1:8" ht="15">
      <c r="A1905"/>
      <c r="B1905"/>
      <c r="D1905"/>
      <c r="E1905"/>
      <c r="F1905"/>
      <c r="H1905"/>
    </row>
    <row r="1906" spans="1:8" ht="15">
      <c r="A1906"/>
      <c r="B1906"/>
      <c r="D1906"/>
      <c r="E1906"/>
      <c r="F1906"/>
      <c r="H1906"/>
    </row>
    <row r="1907" spans="1:8" ht="15">
      <c r="A1907"/>
      <c r="B1907"/>
      <c r="D1907"/>
      <c r="E1907"/>
      <c r="F1907"/>
      <c r="H1907"/>
    </row>
    <row r="1908" spans="1:8" ht="15">
      <c r="A1908"/>
      <c r="B1908"/>
      <c r="D1908"/>
      <c r="E1908"/>
      <c r="F1908"/>
      <c r="H1908"/>
    </row>
    <row r="1909" spans="1:8" ht="15">
      <c r="A1909"/>
      <c r="B1909"/>
      <c r="D1909"/>
      <c r="E1909"/>
      <c r="F1909"/>
      <c r="H1909"/>
    </row>
    <row r="1910" spans="1:8" ht="15">
      <c r="A1910"/>
      <c r="B1910"/>
      <c r="D1910"/>
      <c r="E1910"/>
      <c r="F1910"/>
      <c r="H1910"/>
    </row>
    <row r="1911" spans="1:8" ht="15">
      <c r="A1911"/>
      <c r="B1911"/>
      <c r="D1911"/>
      <c r="E1911"/>
      <c r="F1911"/>
      <c r="H1911"/>
    </row>
    <row r="1912" spans="1:8" ht="15">
      <c r="A1912"/>
      <c r="B1912"/>
      <c r="D1912"/>
      <c r="E1912"/>
      <c r="F1912"/>
      <c r="H1912"/>
    </row>
    <row r="1913" spans="1:8" ht="15">
      <c r="A1913"/>
      <c r="B1913"/>
      <c r="D1913"/>
      <c r="E1913"/>
      <c r="F1913"/>
      <c r="H1913"/>
    </row>
    <row r="1914" spans="1:8" ht="15">
      <c r="A1914"/>
      <c r="B1914"/>
      <c r="D1914"/>
      <c r="E1914"/>
      <c r="F1914"/>
      <c r="H1914"/>
    </row>
    <row r="1915" spans="1:8" ht="15">
      <c r="A1915"/>
      <c r="B1915"/>
      <c r="D1915"/>
      <c r="E1915"/>
      <c r="F1915"/>
      <c r="H1915"/>
    </row>
    <row r="1916" spans="1:8" ht="15">
      <c r="A1916"/>
      <c r="B1916"/>
      <c r="D1916"/>
      <c r="E1916"/>
      <c r="F1916"/>
      <c r="H1916"/>
    </row>
    <row r="1917" spans="1:8" ht="15">
      <c r="A1917"/>
      <c r="B1917"/>
      <c r="D1917"/>
      <c r="E1917"/>
      <c r="F1917"/>
      <c r="H1917"/>
    </row>
    <row r="1918" spans="1:8" ht="15">
      <c r="A1918"/>
      <c r="B1918"/>
      <c r="D1918"/>
      <c r="E1918"/>
      <c r="F1918"/>
      <c r="H1918"/>
    </row>
    <row r="1919" spans="1:8" ht="15">
      <c r="A1919"/>
      <c r="B1919"/>
      <c r="D1919"/>
      <c r="E1919"/>
      <c r="F1919"/>
      <c r="H1919"/>
    </row>
    <row r="1920" spans="1:8" ht="15">
      <c r="A1920"/>
      <c r="B1920"/>
      <c r="D1920"/>
      <c r="E1920"/>
      <c r="F1920"/>
      <c r="H1920"/>
    </row>
    <row r="1921" spans="1:8" ht="15">
      <c r="A1921"/>
      <c r="B1921"/>
      <c r="D1921"/>
      <c r="E1921"/>
      <c r="F1921"/>
      <c r="H1921"/>
    </row>
    <row r="1922" spans="1:8" ht="15">
      <c r="A1922"/>
      <c r="B1922"/>
      <c r="D1922"/>
      <c r="E1922"/>
      <c r="F1922"/>
      <c r="H1922"/>
    </row>
    <row r="1923" spans="1:8" ht="15">
      <c r="A1923"/>
      <c r="B1923"/>
      <c r="D1923"/>
      <c r="E1923"/>
      <c r="F1923"/>
      <c r="H1923"/>
    </row>
    <row r="1924" spans="1:8" ht="15">
      <c r="A1924"/>
      <c r="B1924"/>
      <c r="D1924"/>
      <c r="E1924"/>
      <c r="F1924"/>
      <c r="H1924"/>
    </row>
    <row r="1925" spans="1:8" ht="15">
      <c r="A1925"/>
      <c r="B1925"/>
      <c r="D1925"/>
      <c r="E1925"/>
      <c r="F1925"/>
      <c r="H1925"/>
    </row>
    <row r="1926" spans="1:8" ht="15">
      <c r="A1926"/>
      <c r="B1926"/>
      <c r="D1926"/>
      <c r="E1926"/>
      <c r="F1926"/>
      <c r="H1926"/>
    </row>
    <row r="1927" spans="1:8" ht="15">
      <c r="A1927"/>
      <c r="B1927"/>
      <c r="D1927"/>
      <c r="E1927"/>
      <c r="F1927"/>
      <c r="H1927"/>
    </row>
    <row r="1928" spans="1:8" ht="15">
      <c r="A1928"/>
      <c r="B1928"/>
      <c r="D1928"/>
      <c r="E1928"/>
      <c r="F1928"/>
      <c r="H1928"/>
    </row>
    <row r="1929" spans="1:8" ht="15">
      <c r="A1929"/>
      <c r="B1929"/>
      <c r="D1929"/>
      <c r="E1929"/>
      <c r="F1929"/>
      <c r="H1929"/>
    </row>
    <row r="1930" spans="1:8" ht="15">
      <c r="A1930"/>
      <c r="B1930"/>
      <c r="D1930"/>
      <c r="E1930"/>
      <c r="F1930"/>
      <c r="H1930"/>
    </row>
    <row r="1931" spans="1:8" ht="15">
      <c r="A1931"/>
      <c r="B1931"/>
      <c r="D1931"/>
      <c r="E1931"/>
      <c r="F1931"/>
      <c r="H1931"/>
    </row>
    <row r="1932" spans="1:8" ht="15">
      <c r="A1932"/>
      <c r="B1932"/>
      <c r="D1932"/>
      <c r="E1932"/>
      <c r="F1932"/>
      <c r="H1932"/>
    </row>
    <row r="1933" spans="1:8" ht="15">
      <c r="A1933"/>
      <c r="B1933"/>
      <c r="D1933"/>
      <c r="E1933"/>
      <c r="F1933"/>
      <c r="H1933"/>
    </row>
    <row r="1934" spans="1:8" ht="15">
      <c r="A1934"/>
      <c r="B1934"/>
      <c r="D1934"/>
      <c r="E1934"/>
      <c r="F1934"/>
      <c r="H1934"/>
    </row>
    <row r="1935" spans="1:8" ht="15">
      <c r="A1935"/>
      <c r="B1935"/>
      <c r="D1935"/>
      <c r="E1935"/>
      <c r="F1935"/>
      <c r="H1935"/>
    </row>
    <row r="1936" spans="1:8" ht="15">
      <c r="A1936"/>
      <c r="B1936"/>
      <c r="D1936"/>
      <c r="E1936"/>
      <c r="F1936"/>
      <c r="H1936"/>
    </row>
    <row r="1937" spans="1:8" ht="15">
      <c r="A1937"/>
      <c r="B1937"/>
      <c r="D1937"/>
      <c r="E1937"/>
      <c r="F1937"/>
      <c r="H1937"/>
    </row>
    <row r="1938" spans="1:8" ht="15">
      <c r="A1938"/>
      <c r="B1938"/>
      <c r="D1938"/>
      <c r="E1938"/>
      <c r="F1938"/>
      <c r="H1938"/>
    </row>
    <row r="1939" spans="1:8" ht="15">
      <c r="A1939"/>
      <c r="B1939"/>
      <c r="D1939"/>
      <c r="E1939"/>
      <c r="F1939"/>
      <c r="H1939"/>
    </row>
    <row r="1940" spans="1:8" ht="15">
      <c r="A1940"/>
      <c r="B1940"/>
      <c r="D1940"/>
      <c r="E1940"/>
      <c r="F1940"/>
      <c r="H1940"/>
    </row>
    <row r="1941" spans="1:8" ht="15">
      <c r="A1941"/>
      <c r="B1941"/>
      <c r="D1941"/>
      <c r="E1941"/>
      <c r="F1941"/>
      <c r="H1941"/>
    </row>
    <row r="1942" spans="1:8" ht="15">
      <c r="A1942"/>
      <c r="B1942"/>
      <c r="D1942"/>
      <c r="E1942"/>
      <c r="F1942"/>
      <c r="H1942"/>
    </row>
    <row r="1943" spans="1:8" ht="15">
      <c r="A1943"/>
      <c r="B1943"/>
      <c r="D1943"/>
      <c r="E1943"/>
      <c r="F1943"/>
      <c r="H1943"/>
    </row>
    <row r="1944" spans="1:8" ht="15">
      <c r="A1944"/>
      <c r="B1944"/>
      <c r="D1944"/>
      <c r="E1944"/>
      <c r="F1944"/>
      <c r="H1944"/>
    </row>
    <row r="1945" spans="1:8" ht="15">
      <c r="A1945"/>
      <c r="B1945"/>
      <c r="D1945"/>
      <c r="E1945"/>
      <c r="F1945"/>
      <c r="H1945"/>
    </row>
    <row r="1946" spans="1:8" ht="15">
      <c r="A1946"/>
      <c r="B1946"/>
      <c r="D1946"/>
      <c r="E1946"/>
      <c r="F1946"/>
      <c r="H1946"/>
    </row>
    <row r="1947" spans="1:8" ht="15">
      <c r="A1947"/>
      <c r="B1947"/>
      <c r="D1947"/>
      <c r="E1947"/>
      <c r="F1947"/>
      <c r="H1947"/>
    </row>
    <row r="1948" spans="1:8" ht="15">
      <c r="A1948"/>
      <c r="B1948"/>
      <c r="D1948"/>
      <c r="E1948"/>
      <c r="F1948"/>
      <c r="H1948"/>
    </row>
    <row r="1949" spans="1:8" ht="15">
      <c r="A1949"/>
      <c r="B1949"/>
      <c r="D1949"/>
      <c r="E1949"/>
      <c r="F1949"/>
      <c r="H1949"/>
    </row>
    <row r="1950" spans="1:8" ht="15">
      <c r="A1950"/>
      <c r="B1950"/>
      <c r="D1950"/>
      <c r="E1950"/>
      <c r="F1950"/>
      <c r="H1950"/>
    </row>
    <row r="1951" spans="1:8" ht="15">
      <c r="A1951"/>
      <c r="B1951"/>
      <c r="D1951"/>
      <c r="E1951"/>
      <c r="F1951"/>
      <c r="H1951"/>
    </row>
    <row r="1952" spans="1:8" ht="15">
      <c r="A1952"/>
      <c r="B1952"/>
      <c r="D1952"/>
      <c r="E1952"/>
      <c r="F1952"/>
      <c r="H1952"/>
    </row>
    <row r="1953" spans="1:8" ht="15">
      <c r="A1953"/>
      <c r="B1953"/>
      <c r="D1953"/>
      <c r="E1953"/>
      <c r="F1953"/>
      <c r="H1953"/>
    </row>
    <row r="1954" spans="1:8" ht="15">
      <c r="A1954"/>
      <c r="B1954"/>
      <c r="D1954"/>
      <c r="E1954"/>
      <c r="F1954"/>
      <c r="H1954"/>
    </row>
    <row r="1955" spans="1:8" ht="15">
      <c r="A1955"/>
      <c r="B1955"/>
      <c r="D1955"/>
      <c r="E1955"/>
      <c r="F1955"/>
      <c r="H1955"/>
    </row>
    <row r="1956" spans="1:8" ht="15">
      <c r="A1956"/>
      <c r="B1956"/>
      <c r="D1956"/>
      <c r="E1956"/>
      <c r="F1956"/>
      <c r="H1956"/>
    </row>
    <row r="1957" spans="1:8" ht="15">
      <c r="A1957"/>
      <c r="B1957"/>
      <c r="D1957"/>
      <c r="E1957"/>
      <c r="F1957"/>
      <c r="H1957"/>
    </row>
    <row r="1958" spans="1:8" ht="15">
      <c r="A1958"/>
      <c r="B1958"/>
      <c r="D1958"/>
      <c r="E1958"/>
      <c r="F1958"/>
      <c r="H1958"/>
    </row>
    <row r="1959" spans="1:8" ht="15">
      <c r="A1959"/>
      <c r="B1959"/>
      <c r="D1959"/>
      <c r="E1959"/>
      <c r="F1959"/>
      <c r="H1959"/>
    </row>
    <row r="1960" spans="1:8" ht="15">
      <c r="A1960"/>
      <c r="B1960"/>
      <c r="D1960"/>
      <c r="E1960"/>
      <c r="F1960"/>
      <c r="H1960"/>
    </row>
    <row r="1961" spans="1:8" ht="15">
      <c r="A1961"/>
      <c r="B1961"/>
      <c r="D1961"/>
      <c r="E1961"/>
      <c r="F1961"/>
      <c r="H1961"/>
    </row>
    <row r="1962" spans="1:8" ht="15">
      <c r="A1962"/>
      <c r="B1962"/>
      <c r="D1962"/>
      <c r="E1962"/>
      <c r="F1962"/>
      <c r="H1962"/>
    </row>
    <row r="1963" spans="1:8" ht="15">
      <c r="A1963"/>
      <c r="B1963"/>
      <c r="D1963"/>
      <c r="E1963"/>
      <c r="F1963"/>
      <c r="H1963"/>
    </row>
    <row r="1964" spans="1:8" ht="15">
      <c r="A1964"/>
      <c r="B1964"/>
      <c r="D1964"/>
      <c r="E1964"/>
      <c r="F1964"/>
      <c r="H1964"/>
    </row>
    <row r="1965" spans="1:8" ht="15">
      <c r="A1965"/>
      <c r="B1965"/>
      <c r="D1965"/>
      <c r="E1965"/>
      <c r="F1965"/>
      <c r="H1965"/>
    </row>
    <row r="1966" spans="1:8" ht="15">
      <c r="A1966"/>
      <c r="B1966"/>
      <c r="D1966"/>
      <c r="E1966"/>
      <c r="F1966"/>
      <c r="H1966"/>
    </row>
    <row r="1967" spans="1:8" ht="15">
      <c r="A1967"/>
      <c r="B1967"/>
      <c r="D1967"/>
      <c r="E1967"/>
      <c r="F1967"/>
      <c r="H1967"/>
    </row>
    <row r="1968" spans="1:8" ht="15">
      <c r="A1968"/>
      <c r="B1968"/>
      <c r="D1968"/>
      <c r="E1968"/>
      <c r="F1968"/>
      <c r="H1968"/>
    </row>
    <row r="1969" spans="1:8" ht="15">
      <c r="A1969"/>
      <c r="B1969"/>
      <c r="D1969"/>
      <c r="E1969"/>
      <c r="F1969"/>
      <c r="H1969"/>
    </row>
    <row r="1970" spans="1:8" ht="15">
      <c r="A1970"/>
      <c r="B1970"/>
      <c r="D1970"/>
      <c r="E1970"/>
      <c r="F1970"/>
      <c r="H1970"/>
    </row>
    <row r="1971" spans="1:8" ht="15">
      <c r="A1971"/>
      <c r="B1971"/>
      <c r="D1971"/>
      <c r="E1971"/>
      <c r="F1971"/>
      <c r="H1971"/>
    </row>
    <row r="1972" spans="1:8" ht="15">
      <c r="A1972"/>
      <c r="B1972"/>
      <c r="D1972"/>
      <c r="E1972"/>
      <c r="F1972"/>
      <c r="H1972"/>
    </row>
    <row r="1973" spans="1:8" ht="15">
      <c r="A1973"/>
      <c r="B1973"/>
      <c r="D1973"/>
      <c r="E1973"/>
      <c r="F1973"/>
      <c r="H1973"/>
    </row>
    <row r="1974" spans="1:8" ht="15">
      <c r="A1974"/>
      <c r="B1974"/>
      <c r="D1974"/>
      <c r="E1974"/>
      <c r="F1974"/>
      <c r="H1974"/>
    </row>
    <row r="1975" spans="1:8" ht="15">
      <c r="A1975"/>
      <c r="B1975"/>
      <c r="D1975"/>
      <c r="E1975"/>
      <c r="F1975"/>
      <c r="H1975"/>
    </row>
    <row r="1976" spans="1:8" ht="15">
      <c r="A1976"/>
      <c r="B1976"/>
      <c r="D1976"/>
      <c r="E1976"/>
      <c r="F1976"/>
      <c r="H1976"/>
    </row>
    <row r="1977" spans="1:8" ht="15">
      <c r="A1977"/>
      <c r="B1977"/>
      <c r="D1977"/>
      <c r="E1977"/>
      <c r="F1977"/>
      <c r="H1977"/>
    </row>
    <row r="1978" spans="1:8" ht="15">
      <c r="A1978"/>
      <c r="B1978"/>
      <c r="D1978"/>
      <c r="E1978"/>
      <c r="F1978"/>
      <c r="H1978"/>
    </row>
    <row r="1979" spans="1:8" ht="15">
      <c r="A1979"/>
      <c r="B1979"/>
      <c r="D1979"/>
      <c r="E1979"/>
      <c r="F1979"/>
      <c r="H1979"/>
    </row>
    <row r="1980" spans="1:8" ht="15">
      <c r="A1980"/>
      <c r="B1980"/>
      <c r="D1980"/>
      <c r="E1980"/>
      <c r="F1980"/>
      <c r="H1980"/>
    </row>
    <row r="1981" spans="1:8" ht="15">
      <c r="A1981"/>
      <c r="B1981"/>
      <c r="D1981"/>
      <c r="E1981"/>
      <c r="F1981"/>
      <c r="H1981"/>
    </row>
    <row r="1982" spans="1:8" ht="15">
      <c r="A1982"/>
      <c r="B1982"/>
      <c r="D1982"/>
      <c r="E1982"/>
      <c r="F1982"/>
      <c r="H1982"/>
    </row>
    <row r="1983" spans="1:8" ht="15">
      <c r="A1983"/>
      <c r="B1983"/>
      <c r="D1983"/>
      <c r="E1983"/>
      <c r="F1983"/>
      <c r="H1983"/>
    </row>
    <row r="1984" spans="1:8" ht="15">
      <c r="A1984"/>
      <c r="B1984"/>
      <c r="D1984"/>
      <c r="E1984"/>
      <c r="F1984"/>
      <c r="H1984"/>
    </row>
    <row r="1985" spans="1:8" ht="15">
      <c r="A1985"/>
      <c r="B1985"/>
      <c r="D1985"/>
      <c r="E1985"/>
      <c r="F1985"/>
      <c r="H1985"/>
    </row>
    <row r="1986" spans="1:8" ht="15">
      <c r="A1986"/>
      <c r="B1986"/>
      <c r="D1986"/>
      <c r="E1986"/>
      <c r="F1986"/>
      <c r="H1986"/>
    </row>
    <row r="1987" spans="1:8" ht="15">
      <c r="A1987"/>
      <c r="B1987"/>
      <c r="D1987"/>
      <c r="E1987"/>
      <c r="F1987"/>
      <c r="H1987"/>
    </row>
    <row r="1988" spans="1:8" ht="15">
      <c r="A1988"/>
      <c r="B1988"/>
      <c r="D1988"/>
      <c r="E1988"/>
      <c r="F1988"/>
      <c r="H1988"/>
    </row>
    <row r="1989" spans="1:8" ht="15">
      <c r="A1989"/>
      <c r="B1989"/>
      <c r="D1989"/>
      <c r="E1989"/>
      <c r="F1989"/>
      <c r="H1989"/>
    </row>
    <row r="1990" spans="1:8" ht="15">
      <c r="A1990"/>
      <c r="B1990"/>
      <c r="D1990"/>
      <c r="E1990"/>
      <c r="F1990"/>
      <c r="H1990"/>
    </row>
    <row r="1991" spans="1:8" ht="15">
      <c r="A1991"/>
      <c r="B1991"/>
      <c r="D1991"/>
      <c r="E1991"/>
      <c r="F1991"/>
      <c r="H1991"/>
    </row>
    <row r="1992" spans="1:8" ht="15">
      <c r="A1992"/>
      <c r="B1992"/>
      <c r="D1992"/>
      <c r="E1992"/>
      <c r="F1992"/>
      <c r="H1992"/>
    </row>
    <row r="1993" spans="1:8" ht="15">
      <c r="A1993"/>
      <c r="B1993"/>
      <c r="D1993"/>
      <c r="E1993"/>
      <c r="F1993"/>
      <c r="H1993"/>
    </row>
    <row r="1994" spans="1:8" ht="15">
      <c r="A1994"/>
      <c r="B1994"/>
      <c r="D1994"/>
      <c r="E1994"/>
      <c r="F1994"/>
      <c r="H1994"/>
    </row>
    <row r="1995" spans="1:8" ht="15">
      <c r="A1995"/>
      <c r="B1995"/>
      <c r="D1995"/>
      <c r="E1995"/>
      <c r="F1995"/>
      <c r="H1995"/>
    </row>
    <row r="1996" spans="1:8" ht="15">
      <c r="A1996"/>
      <c r="B1996"/>
      <c r="D1996"/>
      <c r="E1996"/>
      <c r="F1996"/>
      <c r="H1996"/>
    </row>
    <row r="1997" spans="1:8" ht="15">
      <c r="A1997"/>
      <c r="B1997"/>
      <c r="D1997"/>
      <c r="E1997"/>
      <c r="F1997"/>
      <c r="H1997"/>
    </row>
    <row r="1998" spans="1:8" ht="15">
      <c r="A1998"/>
      <c r="B1998"/>
      <c r="D1998"/>
      <c r="E1998"/>
      <c r="F1998"/>
      <c r="H1998"/>
    </row>
    <row r="1999" spans="1:8" ht="15">
      <c r="A1999"/>
      <c r="B1999"/>
      <c r="D1999"/>
      <c r="E1999"/>
      <c r="F1999"/>
      <c r="H1999"/>
    </row>
    <row r="2000" spans="1:8" ht="15">
      <c r="A2000"/>
      <c r="B2000"/>
      <c r="D2000"/>
      <c r="E2000"/>
      <c r="F2000"/>
      <c r="H2000"/>
    </row>
    <row r="2001" spans="1:8" ht="15">
      <c r="A2001"/>
      <c r="B2001"/>
      <c r="D2001"/>
      <c r="E2001"/>
      <c r="F2001"/>
      <c r="H2001"/>
    </row>
    <row r="2002" spans="1:8" ht="15">
      <c r="A2002"/>
      <c r="B2002"/>
      <c r="D2002"/>
      <c r="E2002"/>
      <c r="F2002"/>
      <c r="H2002"/>
    </row>
    <row r="2003" spans="1:8" ht="15">
      <c r="A2003"/>
      <c r="B2003"/>
      <c r="D2003"/>
      <c r="E2003"/>
      <c r="F2003"/>
      <c r="H2003"/>
    </row>
    <row r="2004" spans="1:8" ht="15">
      <c r="A2004"/>
      <c r="B2004"/>
      <c r="D2004"/>
      <c r="E2004"/>
      <c r="F2004"/>
      <c r="H2004"/>
    </row>
    <row r="2005" spans="1:8" ht="15">
      <c r="A2005"/>
      <c r="B2005"/>
      <c r="D2005"/>
      <c r="E2005"/>
      <c r="F2005"/>
      <c r="H2005"/>
    </row>
    <row r="2006" spans="1:8" ht="15">
      <c r="A2006"/>
      <c r="B2006"/>
      <c r="D2006"/>
      <c r="E2006"/>
      <c r="F2006"/>
      <c r="H2006"/>
    </row>
    <row r="2007" spans="1:8" ht="15">
      <c r="A2007"/>
      <c r="B2007"/>
      <c r="D2007"/>
      <c r="E2007"/>
      <c r="F2007"/>
      <c r="H2007"/>
    </row>
    <row r="2008" spans="1:8" ht="15">
      <c r="A2008"/>
      <c r="B2008"/>
      <c r="D2008"/>
      <c r="E2008"/>
      <c r="F2008"/>
      <c r="H2008"/>
    </row>
    <row r="2009" spans="1:8" ht="15">
      <c r="A2009"/>
      <c r="B2009"/>
      <c r="D2009"/>
      <c r="E2009"/>
      <c r="F2009"/>
      <c r="H2009"/>
    </row>
    <row r="2010" spans="1:8" ht="15">
      <c r="A2010"/>
      <c r="B2010"/>
      <c r="D2010"/>
      <c r="E2010"/>
      <c r="F2010"/>
      <c r="H2010"/>
    </row>
    <row r="2011" spans="1:8" ht="15">
      <c r="A2011"/>
      <c r="B2011"/>
      <c r="D2011"/>
      <c r="E2011"/>
      <c r="F2011"/>
      <c r="H2011"/>
    </row>
    <row r="2012" spans="1:8" ht="15">
      <c r="A2012"/>
      <c r="B2012"/>
      <c r="D2012"/>
      <c r="E2012"/>
      <c r="F2012"/>
      <c r="H2012"/>
    </row>
    <row r="2013" spans="1:8" ht="15">
      <c r="A2013"/>
      <c r="B2013"/>
      <c r="D2013"/>
      <c r="E2013"/>
      <c r="F2013"/>
      <c r="H2013"/>
    </row>
    <row r="2014" spans="1:8" ht="15">
      <c r="A2014"/>
      <c r="B2014"/>
      <c r="D2014"/>
      <c r="E2014"/>
      <c r="F2014"/>
      <c r="H2014"/>
    </row>
    <row r="2015" spans="1:8" ht="15">
      <c r="A2015"/>
      <c r="B2015"/>
      <c r="D2015"/>
      <c r="E2015"/>
      <c r="F2015"/>
      <c r="H2015"/>
    </row>
    <row r="2016" spans="1:8" ht="15">
      <c r="A2016"/>
      <c r="B2016"/>
      <c r="D2016"/>
      <c r="E2016"/>
      <c r="F2016"/>
      <c r="H2016"/>
    </row>
    <row r="2017" spans="1:8" ht="15">
      <c r="A2017"/>
      <c r="B2017"/>
      <c r="D2017"/>
      <c r="E2017"/>
      <c r="F2017"/>
      <c r="H2017"/>
    </row>
    <row r="2018" spans="1:8" ht="15">
      <c r="A2018"/>
      <c r="B2018"/>
      <c r="D2018"/>
      <c r="E2018"/>
      <c r="F2018"/>
      <c r="H2018"/>
    </row>
    <row r="2019" spans="1:8" ht="15">
      <c r="A2019"/>
      <c r="B2019"/>
      <c r="D2019"/>
      <c r="E2019"/>
      <c r="F2019"/>
      <c r="H2019"/>
    </row>
    <row r="2020" spans="1:8" ht="15">
      <c r="A2020"/>
      <c r="B2020"/>
      <c r="D2020"/>
      <c r="E2020"/>
      <c r="F2020"/>
      <c r="H2020"/>
    </row>
    <row r="2021" spans="1:8" ht="15">
      <c r="A2021"/>
      <c r="B2021"/>
      <c r="D2021"/>
      <c r="E2021"/>
      <c r="F2021"/>
      <c r="H2021"/>
    </row>
    <row r="2022" spans="1:8" ht="15">
      <c r="A2022"/>
      <c r="B2022"/>
      <c r="D2022"/>
      <c r="E2022"/>
      <c r="F2022"/>
      <c r="H2022"/>
    </row>
    <row r="2023" spans="1:8" ht="15">
      <c r="A2023"/>
      <c r="B2023"/>
      <c r="D2023"/>
      <c r="E2023"/>
      <c r="F2023"/>
      <c r="H2023"/>
    </row>
    <row r="2024" spans="1:8" ht="15">
      <c r="A2024"/>
      <c r="B2024"/>
      <c r="D2024"/>
      <c r="E2024"/>
      <c r="F2024"/>
      <c r="H2024"/>
    </row>
    <row r="2025" spans="1:8" ht="15">
      <c r="A2025"/>
      <c r="B2025"/>
      <c r="D2025"/>
      <c r="E2025"/>
      <c r="F2025"/>
      <c r="H2025"/>
    </row>
    <row r="2026" spans="1:8" ht="15">
      <c r="A2026"/>
      <c r="B2026"/>
      <c r="D2026"/>
      <c r="E2026"/>
      <c r="F2026"/>
      <c r="H2026"/>
    </row>
    <row r="2027" spans="1:8" ht="15">
      <c r="A2027"/>
      <c r="B2027"/>
      <c r="D2027"/>
      <c r="E2027"/>
      <c r="F2027"/>
      <c r="H2027"/>
    </row>
    <row r="2028" spans="1:8" ht="15">
      <c r="A2028"/>
      <c r="B2028"/>
      <c r="D2028"/>
      <c r="E2028"/>
      <c r="F2028"/>
      <c r="H2028"/>
    </row>
    <row r="2029" spans="1:8" ht="15">
      <c r="A2029"/>
      <c r="B2029"/>
      <c r="D2029"/>
      <c r="E2029"/>
      <c r="F2029"/>
      <c r="H2029"/>
    </row>
    <row r="2030" spans="1:8" ht="15">
      <c r="A2030"/>
      <c r="B2030"/>
      <c r="D2030"/>
      <c r="E2030"/>
      <c r="F2030"/>
      <c r="H2030"/>
    </row>
    <row r="2031" spans="1:8" ht="15">
      <c r="A2031"/>
      <c r="B2031"/>
      <c r="D2031"/>
      <c r="E2031"/>
      <c r="F2031"/>
      <c r="H2031"/>
    </row>
    <row r="2032" spans="1:8" ht="15">
      <c r="A2032"/>
      <c r="B2032"/>
      <c r="D2032"/>
      <c r="E2032"/>
      <c r="F2032"/>
      <c r="H2032"/>
    </row>
    <row r="2033" spans="1:8" ht="15">
      <c r="A2033"/>
      <c r="B2033"/>
      <c r="D2033"/>
      <c r="E2033"/>
      <c r="F2033"/>
      <c r="H2033"/>
    </row>
    <row r="2034" spans="1:8" ht="15">
      <c r="A2034"/>
      <c r="B2034"/>
      <c r="D2034"/>
      <c r="E2034"/>
      <c r="F2034"/>
      <c r="H2034"/>
    </row>
    <row r="2035" spans="1:8" ht="15">
      <c r="A2035"/>
      <c r="B2035"/>
      <c r="D2035"/>
      <c r="E2035"/>
      <c r="F2035"/>
      <c r="H2035"/>
    </row>
    <row r="2036" spans="1:8" ht="15">
      <c r="A2036"/>
      <c r="B2036"/>
      <c r="D2036"/>
      <c r="E2036"/>
      <c r="F2036"/>
      <c r="H2036"/>
    </row>
    <row r="2037" spans="1:8" ht="15">
      <c r="A2037"/>
      <c r="B2037"/>
      <c r="D2037"/>
      <c r="E2037"/>
      <c r="F2037"/>
      <c r="H2037"/>
    </row>
    <row r="2038" spans="1:8" ht="15">
      <c r="A2038"/>
      <c r="B2038"/>
      <c r="D2038"/>
      <c r="E2038"/>
      <c r="F2038"/>
      <c r="H2038"/>
    </row>
    <row r="2039" spans="1:8" ht="15">
      <c r="A2039"/>
      <c r="B2039"/>
      <c r="D2039"/>
      <c r="E2039"/>
      <c r="F2039"/>
      <c r="H2039"/>
    </row>
    <row r="2040" spans="1:8" ht="15">
      <c r="A2040"/>
      <c r="B2040"/>
      <c r="D2040"/>
      <c r="E2040"/>
      <c r="F2040"/>
      <c r="H2040"/>
    </row>
    <row r="2041" spans="1:8" ht="15">
      <c r="A2041"/>
      <c r="B2041"/>
      <c r="D2041"/>
      <c r="E2041"/>
      <c r="F2041"/>
      <c r="H2041"/>
    </row>
    <row r="2042" spans="1:8" ht="15">
      <c r="A2042"/>
      <c r="B2042"/>
      <c r="D2042"/>
      <c r="E2042"/>
      <c r="F2042"/>
      <c r="H2042"/>
    </row>
    <row r="2043" spans="1:8" ht="15">
      <c r="A2043"/>
      <c r="B2043"/>
      <c r="D2043"/>
      <c r="E2043"/>
      <c r="F2043"/>
      <c r="H2043"/>
    </row>
    <row r="2044" spans="1:8" ht="15">
      <c r="A2044"/>
      <c r="B2044"/>
      <c r="D2044"/>
      <c r="E2044"/>
      <c r="F2044"/>
      <c r="H2044"/>
    </row>
    <row r="2045" spans="1:8" ht="15">
      <c r="A2045"/>
      <c r="B2045"/>
      <c r="D2045"/>
      <c r="E2045"/>
      <c r="F2045"/>
      <c r="H2045"/>
    </row>
    <row r="2046" spans="1:8" ht="15">
      <c r="A2046"/>
      <c r="B2046"/>
      <c r="D2046"/>
      <c r="E2046"/>
      <c r="F2046"/>
      <c r="H2046"/>
    </row>
    <row r="2047" spans="1:8" ht="15">
      <c r="A2047"/>
      <c r="B2047"/>
      <c r="D2047"/>
      <c r="E2047"/>
      <c r="F2047"/>
      <c r="H2047"/>
    </row>
    <row r="2048" spans="1:8" ht="15">
      <c r="A2048"/>
      <c r="B2048"/>
      <c r="D2048"/>
      <c r="E2048"/>
      <c r="F2048"/>
      <c r="H2048"/>
    </row>
    <row r="2049" spans="1:8" ht="15">
      <c r="A2049"/>
      <c r="B2049"/>
      <c r="D2049"/>
      <c r="E2049"/>
      <c r="F2049"/>
      <c r="H2049"/>
    </row>
    <row r="2050" spans="1:8" ht="15">
      <c r="A2050"/>
      <c r="B2050"/>
      <c r="D2050"/>
      <c r="E2050"/>
      <c r="F2050"/>
      <c r="H2050"/>
    </row>
    <row r="2051" spans="1:8" ht="15">
      <c r="A2051"/>
      <c r="B2051"/>
      <c r="D2051"/>
      <c r="E2051"/>
      <c r="F2051"/>
      <c r="H2051"/>
    </row>
    <row r="2052" spans="1:8" ht="15">
      <c r="A2052"/>
      <c r="B2052"/>
      <c r="D2052"/>
      <c r="E2052"/>
      <c r="F2052"/>
      <c r="H2052"/>
    </row>
    <row r="2053" spans="1:8" ht="15">
      <c r="A2053"/>
      <c r="B2053"/>
      <c r="D2053"/>
      <c r="E2053"/>
      <c r="F2053"/>
      <c r="H2053"/>
    </row>
    <row r="2054" spans="1:8" ht="15">
      <c r="A2054"/>
      <c r="B2054"/>
      <c r="D2054"/>
      <c r="E2054"/>
      <c r="F2054"/>
      <c r="H2054"/>
    </row>
    <row r="2055" spans="1:8" ht="15">
      <c r="A2055"/>
      <c r="B2055"/>
      <c r="D2055"/>
      <c r="E2055"/>
      <c r="F2055"/>
      <c r="H2055"/>
    </row>
    <row r="2056" spans="1:8" ht="15">
      <c r="A2056"/>
      <c r="B2056"/>
      <c r="D2056"/>
      <c r="E2056"/>
      <c r="F2056"/>
      <c r="H2056"/>
    </row>
    <row r="2057" spans="1:8" ht="15">
      <c r="A2057"/>
      <c r="B2057"/>
      <c r="D2057"/>
      <c r="E2057"/>
      <c r="F2057"/>
      <c r="H2057"/>
    </row>
    <row r="2058" spans="1:8" ht="15">
      <c r="A2058"/>
      <c r="B2058"/>
      <c r="D2058"/>
      <c r="E2058"/>
      <c r="F2058"/>
      <c r="H2058"/>
    </row>
    <row r="2059" spans="1:8" ht="15">
      <c r="A2059"/>
      <c r="B2059"/>
      <c r="D2059"/>
      <c r="E2059"/>
      <c r="F2059"/>
      <c r="H2059"/>
    </row>
    <row r="2060" spans="1:8" ht="15">
      <c r="A2060"/>
      <c r="B2060"/>
      <c r="D2060"/>
      <c r="E2060"/>
      <c r="F2060"/>
      <c r="H2060"/>
    </row>
    <row r="2061" spans="1:8" ht="15">
      <c r="A2061"/>
      <c r="B2061"/>
      <c r="D2061"/>
      <c r="E2061"/>
      <c r="F2061"/>
      <c r="H2061"/>
    </row>
    <row r="2062" spans="1:8" ht="15">
      <c r="A2062"/>
      <c r="B2062"/>
      <c r="D2062"/>
      <c r="E2062"/>
      <c r="F2062"/>
      <c r="H2062"/>
    </row>
    <row r="2063" spans="1:8" ht="15">
      <c r="A2063"/>
      <c r="B2063"/>
      <c r="D2063"/>
      <c r="E2063"/>
      <c r="F2063"/>
      <c r="H2063"/>
    </row>
    <row r="2064" spans="1:8" ht="15">
      <c r="A2064"/>
      <c r="B2064"/>
      <c r="D2064"/>
      <c r="E2064"/>
      <c r="F2064"/>
      <c r="H2064"/>
    </row>
    <row r="2065" spans="1:8" ht="15">
      <c r="A2065"/>
      <c r="B2065"/>
      <c r="D2065"/>
      <c r="E2065"/>
      <c r="F2065"/>
      <c r="H2065"/>
    </row>
    <row r="2066" spans="1:8" ht="15">
      <c r="A2066"/>
      <c r="B2066"/>
      <c r="D2066"/>
      <c r="E2066"/>
      <c r="F2066"/>
      <c r="H2066"/>
    </row>
    <row r="2067" spans="1:8" ht="15">
      <c r="A2067"/>
      <c r="B2067"/>
      <c r="D2067"/>
      <c r="E2067"/>
      <c r="F2067"/>
      <c r="H2067"/>
    </row>
    <row r="2068" spans="1:8" ht="15">
      <c r="A2068"/>
      <c r="B2068"/>
      <c r="D2068"/>
      <c r="E2068"/>
      <c r="F2068"/>
      <c r="H2068"/>
    </row>
    <row r="2069" spans="1:8" ht="15">
      <c r="A2069"/>
      <c r="B2069"/>
      <c r="D2069"/>
      <c r="E2069"/>
      <c r="F2069"/>
      <c r="H2069"/>
    </row>
    <row r="2070" spans="1:8" ht="15">
      <c r="A2070"/>
      <c r="B2070"/>
      <c r="D2070"/>
      <c r="E2070"/>
      <c r="F2070"/>
      <c r="H2070"/>
    </row>
    <row r="2071" spans="1:8" ht="15">
      <c r="A2071"/>
      <c r="B2071"/>
      <c r="D2071"/>
      <c r="E2071"/>
      <c r="F2071"/>
      <c r="H2071"/>
    </row>
    <row r="2072" spans="1:8" ht="15">
      <c r="A2072"/>
      <c r="B2072"/>
      <c r="D2072"/>
      <c r="E2072"/>
      <c r="F2072"/>
      <c r="H2072"/>
    </row>
    <row r="2073" spans="1:8" ht="15">
      <c r="A2073"/>
      <c r="B2073"/>
      <c r="D2073"/>
      <c r="E2073"/>
      <c r="F2073"/>
      <c r="H2073"/>
    </row>
    <row r="2074" spans="1:8" ht="15">
      <c r="A2074"/>
      <c r="B2074"/>
      <c r="D2074"/>
      <c r="E2074"/>
      <c r="F2074"/>
      <c r="H2074"/>
    </row>
    <row r="2075" spans="1:8" ht="15">
      <c r="A2075"/>
      <c r="B2075"/>
      <c r="D2075"/>
      <c r="E2075"/>
      <c r="F2075"/>
      <c r="H2075"/>
    </row>
    <row r="2076" spans="1:8" ht="15">
      <c r="A2076"/>
      <c r="B2076"/>
      <c r="D2076"/>
      <c r="E2076"/>
      <c r="F2076"/>
      <c r="H2076"/>
    </row>
    <row r="2077" spans="1:8" ht="15">
      <c r="A2077"/>
      <c r="B2077"/>
      <c r="D2077"/>
      <c r="E2077"/>
      <c r="F2077"/>
      <c r="H2077"/>
    </row>
    <row r="2078" spans="1:8" ht="15">
      <c r="A2078"/>
      <c r="B2078"/>
      <c r="D2078"/>
      <c r="E2078"/>
      <c r="F2078"/>
      <c r="H2078"/>
    </row>
    <row r="2079" spans="1:8" ht="15">
      <c r="A2079"/>
      <c r="B2079"/>
      <c r="D2079"/>
      <c r="E2079"/>
      <c r="F2079"/>
      <c r="H2079"/>
    </row>
    <row r="2080" spans="1:8" ht="15">
      <c r="A2080"/>
      <c r="B2080"/>
      <c r="D2080"/>
      <c r="E2080"/>
      <c r="F2080"/>
      <c r="H2080"/>
    </row>
    <row r="2081" spans="1:8" ht="15">
      <c r="A2081"/>
      <c r="B2081"/>
      <c r="D2081"/>
      <c r="E2081"/>
      <c r="F2081"/>
      <c r="H2081"/>
    </row>
    <row r="2082" spans="1:8" ht="15">
      <c r="A2082"/>
      <c r="B2082"/>
      <c r="D2082"/>
      <c r="E2082"/>
      <c r="F2082"/>
      <c r="H2082"/>
    </row>
    <row r="2083" spans="1:8" ht="15">
      <c r="A2083"/>
      <c r="B2083"/>
      <c r="D2083"/>
      <c r="E2083"/>
      <c r="F2083"/>
      <c r="H2083"/>
    </row>
    <row r="2084" spans="1:8" ht="15">
      <c r="A2084"/>
      <c r="B2084"/>
      <c r="D2084"/>
      <c r="E2084"/>
      <c r="F2084"/>
      <c r="H2084"/>
    </row>
    <row r="2085" spans="1:8" ht="15">
      <c r="A2085"/>
      <c r="B2085"/>
      <c r="D2085"/>
      <c r="E2085"/>
      <c r="F2085"/>
      <c r="H2085"/>
    </row>
    <row r="2086" spans="1:8" ht="15">
      <c r="A2086"/>
      <c r="B2086"/>
      <c r="D2086"/>
      <c r="E2086"/>
      <c r="F2086"/>
      <c r="H2086"/>
    </row>
    <row r="2087" spans="1:8" ht="15">
      <c r="A2087"/>
      <c r="B2087"/>
      <c r="D2087"/>
      <c r="E2087"/>
      <c r="F2087"/>
      <c r="H2087"/>
    </row>
    <row r="2088" spans="1:8" ht="15">
      <c r="A2088"/>
      <c r="B2088"/>
      <c r="D2088"/>
      <c r="E2088"/>
      <c r="F2088"/>
      <c r="H2088"/>
    </row>
    <row r="2089" spans="1:8" ht="15">
      <c r="A2089"/>
      <c r="B2089"/>
      <c r="D2089"/>
      <c r="E2089"/>
      <c r="F2089"/>
      <c r="H2089"/>
    </row>
    <row r="2090" spans="1:8" ht="15">
      <c r="A2090"/>
      <c r="B2090"/>
      <c r="D2090"/>
      <c r="E2090"/>
      <c r="F2090"/>
      <c r="H2090"/>
    </row>
    <row r="2091" spans="1:8" ht="15">
      <c r="A2091"/>
      <c r="B2091"/>
      <c r="D2091"/>
      <c r="E2091"/>
      <c r="F2091"/>
      <c r="H2091"/>
    </row>
    <row r="2092" spans="1:8" ht="15">
      <c r="A2092"/>
      <c r="B2092"/>
      <c r="D2092"/>
      <c r="E2092"/>
      <c r="F2092"/>
      <c r="H2092"/>
    </row>
    <row r="2093" spans="1:8" ht="15">
      <c r="A2093"/>
      <c r="B2093"/>
      <c r="D2093"/>
      <c r="E2093"/>
      <c r="F2093"/>
      <c r="H2093"/>
    </row>
    <row r="2094" spans="1:8" ht="15">
      <c r="A2094"/>
      <c r="B2094"/>
      <c r="D2094"/>
      <c r="E2094"/>
      <c r="F2094"/>
      <c r="H2094"/>
    </row>
    <row r="2095" spans="1:8" ht="15">
      <c r="A2095"/>
      <c r="B2095"/>
      <c r="D2095"/>
      <c r="E2095"/>
      <c r="F2095"/>
      <c r="H2095"/>
    </row>
    <row r="2096" spans="1:8" ht="15">
      <c r="A2096"/>
      <c r="B2096"/>
      <c r="D2096"/>
      <c r="E2096"/>
      <c r="F2096"/>
      <c r="H2096"/>
    </row>
    <row r="2097" spans="1:8" ht="15">
      <c r="A2097"/>
      <c r="B2097"/>
      <c r="D2097"/>
      <c r="E2097"/>
      <c r="F2097"/>
      <c r="H2097"/>
    </row>
    <row r="2098" spans="1:8" ht="15">
      <c r="A2098"/>
      <c r="B2098"/>
      <c r="D2098"/>
      <c r="E2098"/>
      <c r="F2098"/>
      <c r="H2098"/>
    </row>
    <row r="2099" spans="1:8" ht="15">
      <c r="A2099"/>
      <c r="B2099"/>
      <c r="D2099"/>
      <c r="E2099"/>
      <c r="F2099"/>
      <c r="H2099"/>
    </row>
    <row r="2100" spans="1:8" ht="15">
      <c r="A2100"/>
      <c r="B2100"/>
      <c r="D2100"/>
      <c r="E2100"/>
      <c r="F2100"/>
      <c r="H2100"/>
    </row>
    <row r="2101" spans="1:8" ht="15">
      <c r="A2101"/>
      <c r="B2101"/>
      <c r="D2101"/>
      <c r="E2101"/>
      <c r="F2101"/>
      <c r="H2101"/>
    </row>
    <row r="2102" spans="1:8" ht="15">
      <c r="A2102"/>
      <c r="B2102"/>
      <c r="D2102"/>
      <c r="E2102"/>
      <c r="F2102"/>
      <c r="H2102"/>
    </row>
    <row r="2103" spans="1:8" ht="15">
      <c r="A2103"/>
      <c r="B2103"/>
      <c r="D2103"/>
      <c r="E2103"/>
      <c r="F2103"/>
      <c r="H2103"/>
    </row>
    <row r="2104" spans="1:8" ht="15">
      <c r="A2104"/>
      <c r="B2104"/>
      <c r="D2104"/>
      <c r="E2104"/>
      <c r="F2104"/>
      <c r="H2104"/>
    </row>
    <row r="2105" spans="1:8" ht="15">
      <c r="A2105"/>
      <c r="B2105"/>
      <c r="D2105"/>
      <c r="E2105"/>
      <c r="F2105"/>
      <c r="H2105"/>
    </row>
    <row r="2106" spans="1:8" ht="15">
      <c r="A2106"/>
      <c r="B2106"/>
      <c r="D2106"/>
      <c r="E2106"/>
      <c r="F2106"/>
      <c r="H2106"/>
    </row>
    <row r="2107" spans="1:8" ht="15">
      <c r="A2107"/>
      <c r="B2107"/>
      <c r="D2107"/>
      <c r="E2107"/>
      <c r="F2107"/>
      <c r="H2107"/>
    </row>
    <row r="2108" spans="1:8" ht="15">
      <c r="A2108"/>
      <c r="B2108"/>
      <c r="D2108"/>
      <c r="E2108"/>
      <c r="F2108"/>
      <c r="H2108"/>
    </row>
    <row r="2109" spans="1:8" ht="15">
      <c r="A2109"/>
      <c r="B2109"/>
      <c r="D2109"/>
      <c r="E2109"/>
      <c r="F2109"/>
      <c r="H2109"/>
    </row>
    <row r="2110" spans="1:8" ht="15">
      <c r="A2110"/>
      <c r="B2110"/>
      <c r="D2110"/>
      <c r="E2110"/>
      <c r="F2110"/>
      <c r="H2110"/>
    </row>
    <row r="2111" spans="1:8" ht="15">
      <c r="A2111"/>
      <c r="B2111"/>
      <c r="D2111"/>
      <c r="E2111"/>
      <c r="F2111"/>
      <c r="H2111"/>
    </row>
    <row r="2112" spans="1:8" ht="15">
      <c r="A2112"/>
      <c r="B2112"/>
      <c r="D2112"/>
      <c r="E2112"/>
      <c r="F2112"/>
      <c r="H2112"/>
    </row>
    <row r="2113" spans="1:8" ht="15">
      <c r="A2113"/>
      <c r="B2113"/>
      <c r="D2113"/>
      <c r="E2113"/>
      <c r="F2113"/>
      <c r="H2113"/>
    </row>
    <row r="2114" spans="1:8" ht="15">
      <c r="A2114"/>
      <c r="B2114"/>
      <c r="D2114"/>
      <c r="E2114"/>
      <c r="F2114"/>
      <c r="H2114"/>
    </row>
    <row r="2115" spans="1:8" ht="15">
      <c r="A2115"/>
      <c r="B2115"/>
      <c r="D2115"/>
      <c r="E2115"/>
      <c r="F2115"/>
      <c r="H2115"/>
    </row>
    <row r="2116" spans="1:8" ht="15">
      <c r="A2116"/>
      <c r="B2116"/>
      <c r="D2116"/>
      <c r="E2116"/>
      <c r="F2116"/>
      <c r="H2116"/>
    </row>
    <row r="2117" spans="1:8" ht="15">
      <c r="A2117"/>
      <c r="B2117"/>
      <c r="D2117"/>
      <c r="E2117"/>
      <c r="F2117"/>
      <c r="H2117"/>
    </row>
    <row r="2118" spans="1:8" ht="15">
      <c r="A2118"/>
      <c r="B2118"/>
      <c r="D2118"/>
      <c r="E2118"/>
      <c r="F2118"/>
      <c r="H2118"/>
    </row>
    <row r="2119" spans="1:8" ht="15">
      <c r="A2119"/>
      <c r="B2119"/>
      <c r="D2119"/>
      <c r="E2119"/>
      <c r="F2119"/>
      <c r="H2119"/>
    </row>
    <row r="2120" spans="1:8" ht="15">
      <c r="A2120"/>
      <c r="B2120"/>
      <c r="D2120"/>
      <c r="E2120"/>
      <c r="F2120"/>
      <c r="H2120"/>
    </row>
    <row r="2121" spans="1:8" ht="15">
      <c r="A2121"/>
      <c r="B2121"/>
      <c r="D2121"/>
      <c r="E2121"/>
      <c r="F2121"/>
      <c r="H2121"/>
    </row>
    <row r="2122" spans="1:8" ht="15">
      <c r="A2122"/>
      <c r="B2122"/>
      <c r="D2122"/>
      <c r="E2122"/>
      <c r="F2122"/>
      <c r="H2122"/>
    </row>
    <row r="2123" spans="1:8" ht="15">
      <c r="A2123"/>
      <c r="B2123"/>
      <c r="D2123"/>
      <c r="E2123"/>
      <c r="F2123"/>
      <c r="H2123"/>
    </row>
    <row r="2124" spans="1:8" ht="15">
      <c r="A2124"/>
      <c r="B2124"/>
      <c r="D2124"/>
      <c r="E2124"/>
      <c r="F2124"/>
      <c r="H2124"/>
    </row>
    <row r="2125" spans="1:8" ht="15">
      <c r="A2125"/>
      <c r="B2125"/>
      <c r="D2125"/>
      <c r="E2125"/>
      <c r="F2125"/>
      <c r="H2125"/>
    </row>
    <row r="2126" spans="1:8" ht="15">
      <c r="A2126"/>
      <c r="B2126"/>
      <c r="D2126"/>
      <c r="E2126"/>
      <c r="F2126"/>
      <c r="H2126"/>
    </row>
    <row r="2127" spans="1:8" ht="15">
      <c r="A2127"/>
      <c r="B2127"/>
      <c r="D2127"/>
      <c r="E2127"/>
      <c r="F2127"/>
      <c r="H2127"/>
    </row>
    <row r="2128" spans="1:8" ht="15">
      <c r="A2128"/>
      <c r="B2128"/>
      <c r="D2128"/>
      <c r="E2128"/>
      <c r="F2128"/>
      <c r="H2128"/>
    </row>
    <row r="2129" spans="1:8" ht="15">
      <c r="A2129"/>
      <c r="B2129"/>
      <c r="D2129"/>
      <c r="E2129"/>
      <c r="F2129"/>
      <c r="H2129"/>
    </row>
    <row r="2130" spans="1:8" ht="15">
      <c r="A2130"/>
      <c r="B2130"/>
      <c r="D2130"/>
      <c r="E2130"/>
      <c r="F2130"/>
      <c r="H2130"/>
    </row>
    <row r="2131" spans="1:8" ht="15">
      <c r="A2131"/>
      <c r="B2131"/>
      <c r="D2131"/>
      <c r="E2131"/>
      <c r="F2131"/>
      <c r="H2131"/>
    </row>
    <row r="2132" spans="1:8" ht="15">
      <c r="A2132"/>
      <c r="B2132"/>
      <c r="D2132"/>
      <c r="E2132"/>
      <c r="F2132"/>
      <c r="H2132"/>
    </row>
    <row r="2133" spans="1:8" ht="15">
      <c r="A2133"/>
      <c r="B2133"/>
      <c r="D2133"/>
      <c r="E2133"/>
      <c r="F2133"/>
      <c r="H2133"/>
    </row>
    <row r="2134" spans="1:8" ht="15">
      <c r="A2134"/>
      <c r="B2134"/>
      <c r="D2134"/>
      <c r="E2134"/>
      <c r="F2134"/>
      <c r="H2134"/>
    </row>
    <row r="2135" spans="1:8" ht="15">
      <c r="A2135"/>
      <c r="B2135"/>
      <c r="D2135"/>
      <c r="E2135"/>
      <c r="F2135"/>
      <c r="H2135"/>
    </row>
    <row r="2136" spans="1:8" ht="15">
      <c r="A2136"/>
      <c r="B2136"/>
      <c r="D2136"/>
      <c r="E2136"/>
      <c r="F2136"/>
      <c r="H2136"/>
    </row>
    <row r="2137" spans="1:8" ht="15">
      <c r="A2137"/>
      <c r="B2137"/>
      <c r="D2137"/>
      <c r="E2137"/>
      <c r="F2137"/>
      <c r="H2137"/>
    </row>
    <row r="2138" spans="1:8" ht="15">
      <c r="A2138"/>
      <c r="B2138"/>
      <c r="D2138"/>
      <c r="E2138"/>
      <c r="F2138"/>
      <c r="H2138"/>
    </row>
    <row r="2139" spans="1:8" ht="15">
      <c r="A2139"/>
      <c r="B2139"/>
      <c r="D2139"/>
      <c r="E2139"/>
      <c r="F2139"/>
      <c r="H2139"/>
    </row>
    <row r="2140" spans="1:8" ht="15">
      <c r="A2140"/>
      <c r="B2140"/>
      <c r="D2140"/>
      <c r="E2140"/>
      <c r="F2140"/>
      <c r="H2140"/>
    </row>
    <row r="2141" spans="1:8" ht="15">
      <c r="A2141"/>
      <c r="B2141"/>
      <c r="D2141"/>
      <c r="E2141"/>
      <c r="F2141"/>
      <c r="H2141"/>
    </row>
    <row r="2142" spans="1:8" ht="15">
      <c r="A2142"/>
      <c r="B2142"/>
      <c r="D2142"/>
      <c r="E2142"/>
      <c r="F2142"/>
      <c r="H2142"/>
    </row>
    <row r="2143" spans="1:8" ht="15">
      <c r="A2143"/>
      <c r="B2143"/>
      <c r="D2143"/>
      <c r="E2143"/>
      <c r="F2143"/>
      <c r="H2143"/>
    </row>
    <row r="2144" spans="1:8" ht="15">
      <c r="A2144"/>
      <c r="B2144"/>
      <c r="D2144"/>
      <c r="E2144"/>
      <c r="F2144"/>
      <c r="H2144"/>
    </row>
    <row r="2145" spans="1:8" ht="15">
      <c r="A2145"/>
      <c r="B2145"/>
      <c r="D2145"/>
      <c r="E2145"/>
      <c r="F2145"/>
      <c r="H2145"/>
    </row>
    <row r="2146" spans="1:8" ht="15">
      <c r="A2146"/>
      <c r="B2146"/>
      <c r="D2146"/>
      <c r="E2146"/>
      <c r="F2146"/>
      <c r="H2146"/>
    </row>
    <row r="2147" spans="1:8" ht="15">
      <c r="A2147"/>
      <c r="B2147"/>
      <c r="D2147"/>
      <c r="E2147"/>
      <c r="F2147"/>
      <c r="H2147"/>
    </row>
    <row r="2148" spans="1:8" ht="15">
      <c r="A2148"/>
      <c r="B2148"/>
      <c r="D2148"/>
      <c r="E2148"/>
      <c r="F2148"/>
      <c r="H2148"/>
    </row>
    <row r="2149" spans="1:8" ht="15">
      <c r="A2149"/>
      <c r="B2149"/>
      <c r="D2149"/>
      <c r="E2149"/>
      <c r="F2149"/>
      <c r="H2149"/>
    </row>
    <row r="2150" spans="1:8" ht="15">
      <c r="A2150"/>
      <c r="B2150"/>
      <c r="D2150"/>
      <c r="E2150"/>
      <c r="F2150"/>
      <c r="H2150"/>
    </row>
    <row r="2151" spans="1:8" ht="15">
      <c r="A2151"/>
      <c r="B2151"/>
      <c r="D2151"/>
      <c r="E2151"/>
      <c r="F2151"/>
      <c r="H2151"/>
    </row>
    <row r="2152" spans="1:8" ht="15">
      <c r="A2152"/>
      <c r="B2152"/>
      <c r="D2152"/>
      <c r="E2152"/>
      <c r="F2152"/>
      <c r="H2152"/>
    </row>
    <row r="2153" spans="1:8" ht="15">
      <c r="A2153"/>
      <c r="B2153"/>
      <c r="D2153"/>
      <c r="E2153"/>
      <c r="F2153"/>
      <c r="H2153"/>
    </row>
    <row r="2154" spans="1:8" ht="15">
      <c r="A2154"/>
      <c r="B2154"/>
      <c r="D2154"/>
      <c r="E2154"/>
      <c r="F2154"/>
      <c r="H2154"/>
    </row>
    <row r="2155" spans="1:8" ht="15">
      <c r="A2155"/>
      <c r="B2155"/>
      <c r="D2155"/>
      <c r="E2155"/>
      <c r="F2155"/>
      <c r="H2155"/>
    </row>
    <row r="2156" spans="1:8" ht="15">
      <c r="A2156"/>
      <c r="B2156"/>
      <c r="D2156"/>
      <c r="E2156"/>
      <c r="F2156"/>
      <c r="H2156"/>
    </row>
    <row r="2157" spans="1:8" ht="15">
      <c r="A2157"/>
      <c r="B2157"/>
      <c r="D2157"/>
      <c r="E2157"/>
      <c r="F2157"/>
      <c r="H2157"/>
    </row>
    <row r="2158" spans="1:8" ht="15">
      <c r="A2158"/>
      <c r="B2158"/>
      <c r="D2158"/>
      <c r="E2158"/>
      <c r="F2158"/>
      <c r="H2158"/>
    </row>
    <row r="2159" spans="1:8" ht="15">
      <c r="A2159"/>
      <c r="B2159"/>
      <c r="D2159"/>
      <c r="E2159"/>
      <c r="F2159"/>
      <c r="H2159"/>
    </row>
    <row r="2160" spans="1:8" ht="15">
      <c r="A2160"/>
      <c r="B2160"/>
      <c r="D2160"/>
      <c r="E2160"/>
      <c r="F2160"/>
      <c r="H2160"/>
    </row>
    <row r="2161" spans="1:8" ht="15">
      <c r="A2161"/>
      <c r="B2161"/>
      <c r="D2161"/>
      <c r="E2161"/>
      <c r="F2161"/>
      <c r="H2161"/>
    </row>
    <row r="2162" spans="1:8" ht="15">
      <c r="A2162"/>
      <c r="B2162"/>
      <c r="D2162"/>
      <c r="E2162"/>
      <c r="F2162"/>
      <c r="H2162"/>
    </row>
    <row r="2163" spans="1:8" ht="15">
      <c r="A2163"/>
      <c r="B2163"/>
      <c r="D2163"/>
      <c r="E2163"/>
      <c r="F2163"/>
      <c r="H2163"/>
    </row>
    <row r="2164" spans="1:8" ht="15">
      <c r="A2164"/>
      <c r="B2164"/>
      <c r="D2164"/>
      <c r="E2164"/>
      <c r="F2164"/>
      <c r="H2164"/>
    </row>
    <row r="2165" spans="1:8" ht="15">
      <c r="A2165"/>
      <c r="B2165"/>
      <c r="D2165"/>
      <c r="E2165"/>
      <c r="F2165"/>
      <c r="H2165"/>
    </row>
    <row r="2166" spans="1:8" ht="15">
      <c r="A2166"/>
      <c r="B2166"/>
      <c r="D2166"/>
      <c r="E2166"/>
      <c r="F2166"/>
      <c r="H2166"/>
    </row>
    <row r="2167" spans="1:8" ht="15">
      <c r="A2167"/>
      <c r="B2167"/>
      <c r="D2167"/>
      <c r="E2167"/>
      <c r="F2167"/>
      <c r="H2167"/>
    </row>
    <row r="2168" spans="1:8" ht="15">
      <c r="A2168"/>
      <c r="B2168"/>
      <c r="D2168"/>
      <c r="E2168"/>
      <c r="F2168"/>
      <c r="H2168"/>
    </row>
    <row r="2169" spans="1:8" ht="15">
      <c r="A2169"/>
      <c r="B2169"/>
      <c r="D2169"/>
      <c r="E2169"/>
      <c r="F2169"/>
      <c r="H2169"/>
    </row>
    <row r="2170" spans="1:8" ht="15">
      <c r="A2170"/>
      <c r="B2170"/>
      <c r="D2170"/>
      <c r="E2170"/>
      <c r="F2170"/>
      <c r="H2170"/>
    </row>
    <row r="2171" spans="1:8" ht="15">
      <c r="A2171"/>
      <c r="B2171"/>
      <c r="D2171"/>
      <c r="E2171"/>
      <c r="F2171"/>
      <c r="H2171"/>
    </row>
    <row r="2172" spans="1:8" ht="15">
      <c r="A2172"/>
      <c r="B2172"/>
      <c r="D2172"/>
      <c r="E2172"/>
      <c r="F2172"/>
      <c r="H2172"/>
    </row>
    <row r="2173" spans="1:8" ht="15">
      <c r="A2173"/>
      <c r="B2173"/>
      <c r="D2173"/>
      <c r="E2173"/>
      <c r="F2173"/>
      <c r="H2173"/>
    </row>
    <row r="2174" spans="1:8" ht="15">
      <c r="A2174"/>
      <c r="B2174"/>
      <c r="D2174"/>
      <c r="E2174"/>
      <c r="F2174"/>
      <c r="H2174"/>
    </row>
    <row r="2175" spans="1:8" ht="15">
      <c r="A2175"/>
      <c r="B2175"/>
      <c r="D2175"/>
      <c r="E2175"/>
      <c r="F2175"/>
      <c r="H2175"/>
    </row>
    <row r="2176" spans="1:8" ht="15">
      <c r="A2176"/>
      <c r="B2176"/>
      <c r="D2176"/>
      <c r="E2176"/>
      <c r="F2176"/>
      <c r="H2176"/>
    </row>
    <row r="2177" spans="1:8" ht="15">
      <c r="A2177"/>
      <c r="B2177"/>
      <c r="D2177"/>
      <c r="E2177"/>
      <c r="F2177"/>
      <c r="H2177"/>
    </row>
    <row r="2178" spans="1:8" ht="15">
      <c r="A2178"/>
      <c r="B2178"/>
      <c r="D2178"/>
      <c r="E2178"/>
      <c r="F2178"/>
      <c r="H2178"/>
    </row>
    <row r="2179" spans="1:8" ht="15">
      <c r="A2179"/>
      <c r="B2179"/>
      <c r="D2179"/>
      <c r="E2179"/>
      <c r="F2179"/>
      <c r="H2179"/>
    </row>
    <row r="2180" spans="1:8" ht="15">
      <c r="A2180"/>
      <c r="B2180"/>
      <c r="D2180"/>
      <c r="E2180"/>
      <c r="F2180"/>
      <c r="H2180"/>
    </row>
    <row r="2181" spans="1:8" ht="15">
      <c r="A2181"/>
      <c r="B2181"/>
      <c r="D2181"/>
      <c r="E2181"/>
      <c r="F2181"/>
      <c r="H2181"/>
    </row>
    <row r="2182" spans="1:8" ht="15">
      <c r="A2182"/>
      <c r="B2182"/>
      <c r="D2182"/>
      <c r="E2182"/>
      <c r="F2182"/>
      <c r="H2182"/>
    </row>
    <row r="2183" spans="1:8" ht="15">
      <c r="A2183"/>
      <c r="B2183"/>
      <c r="D2183"/>
      <c r="E2183"/>
      <c r="F2183"/>
      <c r="H2183"/>
    </row>
    <row r="2184" spans="1:8" ht="15">
      <c r="A2184"/>
      <c r="B2184"/>
      <c r="D2184"/>
      <c r="E2184"/>
      <c r="F2184"/>
      <c r="H2184"/>
    </row>
    <row r="2185" spans="1:8" ht="15">
      <c r="A2185"/>
      <c r="B2185"/>
      <c r="D2185"/>
      <c r="E2185"/>
      <c r="F2185"/>
      <c r="H2185"/>
    </row>
    <row r="2186" spans="1:8" ht="15">
      <c r="A2186"/>
      <c r="B2186"/>
      <c r="D2186"/>
      <c r="E2186"/>
      <c r="F2186"/>
      <c r="H2186"/>
    </row>
    <row r="2187" spans="1:8" ht="15">
      <c r="A2187"/>
      <c r="B2187"/>
      <c r="D2187"/>
      <c r="E2187"/>
      <c r="F2187"/>
      <c r="H2187"/>
    </row>
    <row r="2188" spans="1:8" ht="15">
      <c r="A2188"/>
      <c r="B2188"/>
      <c r="D2188"/>
      <c r="E2188"/>
      <c r="F2188"/>
      <c r="H2188"/>
    </row>
    <row r="2189" spans="1:8" ht="15">
      <c r="A2189"/>
      <c r="B2189"/>
      <c r="D2189"/>
      <c r="E2189"/>
      <c r="F2189"/>
      <c r="H2189"/>
    </row>
    <row r="2190" spans="1:8" ht="15">
      <c r="A2190"/>
      <c r="B2190"/>
      <c r="D2190"/>
      <c r="E2190"/>
      <c r="F2190"/>
      <c r="H2190"/>
    </row>
    <row r="2191" spans="1:8" ht="15">
      <c r="A2191"/>
      <c r="B2191"/>
      <c r="D2191"/>
      <c r="E2191"/>
      <c r="F2191"/>
      <c r="H2191"/>
    </row>
    <row r="2192" spans="1:8" ht="15">
      <c r="A2192"/>
      <c r="B2192"/>
      <c r="D2192"/>
      <c r="E2192"/>
      <c r="F2192"/>
      <c r="H2192"/>
    </row>
    <row r="2193" spans="1:8" ht="15">
      <c r="A2193"/>
      <c r="B2193"/>
      <c r="D2193"/>
      <c r="E2193"/>
      <c r="F2193"/>
      <c r="H2193"/>
    </row>
    <row r="2194" spans="1:8" ht="15">
      <c r="A2194"/>
      <c r="B2194"/>
      <c r="D2194"/>
      <c r="E2194"/>
      <c r="F2194"/>
      <c r="H2194"/>
    </row>
    <row r="2195" spans="1:8" ht="15">
      <c r="A2195"/>
      <c r="B2195"/>
      <c r="D2195"/>
      <c r="E2195"/>
      <c r="F2195"/>
      <c r="H2195"/>
    </row>
    <row r="2196" spans="1:8" ht="15">
      <c r="A2196"/>
      <c r="B2196"/>
      <c r="D2196"/>
      <c r="E2196"/>
      <c r="F2196"/>
      <c r="H2196"/>
    </row>
    <row r="2197" spans="1:8" ht="15">
      <c r="A2197"/>
      <c r="B2197"/>
      <c r="D2197"/>
      <c r="E2197"/>
      <c r="F2197"/>
      <c r="H2197"/>
    </row>
    <row r="2198" spans="1:8" ht="15">
      <c r="A2198"/>
      <c r="B2198"/>
      <c r="D2198"/>
      <c r="E2198"/>
      <c r="F2198"/>
      <c r="H2198"/>
    </row>
    <row r="2199" spans="1:8" ht="15">
      <c r="A2199"/>
      <c r="B2199"/>
      <c r="D2199"/>
      <c r="E2199"/>
      <c r="F2199"/>
      <c r="H2199"/>
    </row>
    <row r="2200" spans="1:8" ht="15">
      <c r="A2200"/>
      <c r="B2200"/>
      <c r="D2200"/>
      <c r="E2200"/>
      <c r="F2200"/>
      <c r="H2200"/>
    </row>
    <row r="2201" spans="1:8" ht="15">
      <c r="A2201"/>
      <c r="B2201"/>
      <c r="D2201"/>
      <c r="E2201"/>
      <c r="F2201"/>
      <c r="H2201"/>
    </row>
    <row r="2202" spans="1:8" ht="15">
      <c r="A2202"/>
      <c r="B2202"/>
      <c r="D2202"/>
      <c r="E2202"/>
      <c r="F2202"/>
      <c r="H2202"/>
    </row>
    <row r="2203" spans="1:8" ht="15">
      <c r="A2203"/>
      <c r="B2203"/>
      <c r="D2203"/>
      <c r="E2203"/>
      <c r="F2203"/>
      <c r="H2203"/>
    </row>
    <row r="2204" spans="1:8" ht="15">
      <c r="A2204"/>
      <c r="B2204"/>
      <c r="D2204"/>
      <c r="E2204"/>
      <c r="F2204"/>
      <c r="H2204"/>
    </row>
    <row r="2205" spans="1:8" ht="15">
      <c r="A2205"/>
      <c r="B2205"/>
      <c r="D2205"/>
      <c r="E2205"/>
      <c r="F2205"/>
      <c r="H2205"/>
    </row>
    <row r="2206" spans="1:8" ht="15">
      <c r="A2206"/>
      <c r="B2206"/>
      <c r="D2206"/>
      <c r="E2206"/>
      <c r="F2206"/>
      <c r="H2206"/>
    </row>
    <row r="2207" spans="1:8" ht="15">
      <c r="A2207"/>
      <c r="B2207"/>
      <c r="D2207"/>
      <c r="E2207"/>
      <c r="F2207"/>
      <c r="H2207"/>
    </row>
    <row r="2208" spans="1:8" ht="15">
      <c r="A2208"/>
      <c r="B2208"/>
      <c r="D2208"/>
      <c r="E2208"/>
      <c r="F2208"/>
      <c r="H2208"/>
    </row>
    <row r="2209" spans="1:8" ht="15">
      <c r="A2209"/>
      <c r="B2209"/>
      <c r="D2209"/>
      <c r="E2209"/>
      <c r="F2209"/>
      <c r="H2209"/>
    </row>
    <row r="2210" spans="1:8" ht="15">
      <c r="A2210"/>
      <c r="B2210"/>
      <c r="D2210"/>
      <c r="E2210"/>
      <c r="F2210"/>
      <c r="H2210"/>
    </row>
    <row r="2211" spans="1:8" ht="15">
      <c r="A2211"/>
      <c r="B2211"/>
      <c r="D2211"/>
      <c r="E2211"/>
      <c r="F2211"/>
      <c r="H2211"/>
    </row>
    <row r="2212" spans="1:8" ht="15">
      <c r="A2212"/>
      <c r="B2212"/>
      <c r="D2212"/>
      <c r="E2212"/>
      <c r="F2212"/>
      <c r="H2212"/>
    </row>
    <row r="2213" spans="1:8" ht="15">
      <c r="A2213"/>
      <c r="B2213"/>
      <c r="D2213"/>
      <c r="E2213"/>
      <c r="F2213"/>
      <c r="H2213"/>
    </row>
    <row r="2214" spans="1:8" ht="15">
      <c r="A2214"/>
      <c r="B2214"/>
      <c r="D2214"/>
      <c r="E2214"/>
      <c r="F2214"/>
      <c r="H2214"/>
    </row>
    <row r="2215" spans="1:8" ht="15">
      <c r="A2215"/>
      <c r="B2215"/>
      <c r="D2215"/>
      <c r="E2215"/>
      <c r="F2215"/>
      <c r="H2215"/>
    </row>
    <row r="2216" spans="1:8" ht="15">
      <c r="A2216"/>
      <c r="B2216"/>
      <c r="D2216"/>
      <c r="E2216"/>
      <c r="F2216"/>
      <c r="H2216"/>
    </row>
    <row r="2217" spans="1:8" ht="15">
      <c r="A2217"/>
      <c r="B2217"/>
      <c r="D2217"/>
      <c r="E2217"/>
      <c r="F2217"/>
      <c r="H2217"/>
    </row>
    <row r="2218" spans="1:8" ht="15">
      <c r="A2218"/>
      <c r="B2218"/>
      <c r="D2218"/>
      <c r="E2218"/>
      <c r="F2218"/>
      <c r="H2218"/>
    </row>
    <row r="2219" spans="1:8" ht="15">
      <c r="A2219"/>
      <c r="B2219"/>
      <c r="D2219"/>
      <c r="E2219"/>
      <c r="F2219"/>
      <c r="H2219"/>
    </row>
    <row r="2220" spans="1:8" ht="15">
      <c r="A2220"/>
      <c r="B2220"/>
      <c r="D2220"/>
      <c r="E2220"/>
      <c r="F2220"/>
      <c r="H2220"/>
    </row>
    <row r="2221" spans="1:8" ht="15">
      <c r="A2221"/>
      <c r="B2221"/>
      <c r="D2221"/>
      <c r="E2221"/>
      <c r="F2221"/>
      <c r="H2221"/>
    </row>
    <row r="2222" spans="1:8" ht="15">
      <c r="A2222"/>
      <c r="B2222"/>
      <c r="D2222"/>
      <c r="E2222"/>
      <c r="F2222"/>
      <c r="H2222"/>
    </row>
    <row r="2223" spans="1:8" ht="15">
      <c r="A2223"/>
      <c r="B2223"/>
      <c r="D2223"/>
      <c r="E2223"/>
      <c r="F2223"/>
      <c r="H2223"/>
    </row>
    <row r="2224" spans="1:8" ht="15">
      <c r="A2224"/>
      <c r="B2224"/>
      <c r="D2224"/>
      <c r="E2224"/>
      <c r="F2224"/>
      <c r="H2224"/>
    </row>
    <row r="2225" spans="1:8" ht="15">
      <c r="A2225"/>
      <c r="B2225"/>
      <c r="D2225"/>
      <c r="E2225"/>
      <c r="F2225"/>
      <c r="H2225"/>
    </row>
    <row r="2226" spans="1:8" ht="15">
      <c r="A2226"/>
      <c r="B2226"/>
      <c r="D2226"/>
      <c r="E2226"/>
      <c r="F2226"/>
      <c r="H2226"/>
    </row>
    <row r="2227" spans="1:8" ht="15">
      <c r="A2227"/>
      <c r="B2227"/>
      <c r="D2227"/>
      <c r="E2227"/>
      <c r="F2227"/>
      <c r="H2227"/>
    </row>
    <row r="2228" spans="1:8" ht="15">
      <c r="A2228"/>
      <c r="B2228"/>
      <c r="D2228"/>
      <c r="E2228"/>
      <c r="F2228"/>
      <c r="H2228"/>
    </row>
    <row r="2229" spans="1:8" ht="15">
      <c r="A2229"/>
      <c r="B2229"/>
      <c r="D2229"/>
      <c r="E2229"/>
      <c r="F2229"/>
      <c r="H2229"/>
    </row>
    <row r="2230" spans="1:8" ht="15">
      <c r="A2230"/>
      <c r="B2230"/>
      <c r="D2230"/>
      <c r="E2230"/>
      <c r="F2230"/>
      <c r="H2230"/>
    </row>
    <row r="2231" spans="1:8" ht="15">
      <c r="A2231"/>
      <c r="B2231"/>
      <c r="D2231"/>
      <c r="E2231"/>
      <c r="F2231"/>
      <c r="H2231"/>
    </row>
    <row r="2232" spans="1:8" ht="15">
      <c r="A2232"/>
      <c r="B2232"/>
      <c r="D2232"/>
      <c r="E2232"/>
      <c r="F2232"/>
      <c r="H2232"/>
    </row>
    <row r="2233" spans="1:8" ht="15">
      <c r="A2233"/>
      <c r="B2233"/>
      <c r="D2233"/>
      <c r="E2233"/>
      <c r="F2233"/>
      <c r="H2233"/>
    </row>
    <row r="2234" spans="1:8" ht="15">
      <c r="A2234"/>
      <c r="B2234"/>
      <c r="D2234"/>
      <c r="E2234"/>
      <c r="F2234"/>
      <c r="H2234"/>
    </row>
    <row r="2235" spans="1:8" ht="15">
      <c r="A2235"/>
      <c r="B2235"/>
      <c r="D2235"/>
      <c r="E2235"/>
      <c r="F2235"/>
      <c r="H2235"/>
    </row>
    <row r="2236" spans="1:8" ht="15">
      <c r="A2236"/>
      <c r="B2236"/>
      <c r="D2236"/>
      <c r="E2236"/>
      <c r="F2236"/>
      <c r="H2236"/>
    </row>
    <row r="2237" spans="1:8" ht="15">
      <c r="A2237"/>
      <c r="B2237"/>
      <c r="D2237"/>
      <c r="E2237"/>
      <c r="F2237"/>
      <c r="H2237"/>
    </row>
    <row r="2238" spans="1:8" ht="15">
      <c r="A2238"/>
      <c r="B2238"/>
      <c r="D2238"/>
      <c r="E2238"/>
      <c r="F2238"/>
      <c r="H2238"/>
    </row>
    <row r="2239" spans="1:8" ht="15">
      <c r="A2239"/>
      <c r="B2239"/>
      <c r="D2239"/>
      <c r="E2239"/>
      <c r="F2239"/>
      <c r="H2239"/>
    </row>
    <row r="2240" spans="1:8" ht="15">
      <c r="A2240"/>
      <c r="B2240"/>
      <c r="D2240"/>
      <c r="E2240"/>
      <c r="F2240"/>
      <c r="H2240"/>
    </row>
    <row r="2241" spans="1:8" ht="15">
      <c r="A2241"/>
      <c r="B2241"/>
      <c r="D2241"/>
      <c r="E2241"/>
      <c r="F2241"/>
      <c r="H2241"/>
    </row>
    <row r="2242" spans="1:8" ht="15">
      <c r="A2242"/>
      <c r="B2242"/>
      <c r="D2242"/>
      <c r="E2242"/>
      <c r="F2242"/>
      <c r="H2242"/>
    </row>
    <row r="2243" spans="1:8" ht="15">
      <c r="A2243"/>
      <c r="B2243"/>
      <c r="D2243"/>
      <c r="E2243"/>
      <c r="F2243"/>
      <c r="H2243"/>
    </row>
    <row r="2244" spans="1:8" ht="15">
      <c r="A2244"/>
      <c r="B2244"/>
      <c r="D2244"/>
      <c r="E2244"/>
      <c r="F2244"/>
      <c r="H2244"/>
    </row>
    <row r="2245" spans="1:8" ht="15">
      <c r="A2245"/>
      <c r="B2245"/>
      <c r="D2245"/>
      <c r="E2245"/>
      <c r="F2245"/>
      <c r="H2245"/>
    </row>
    <row r="2246" spans="1:8" ht="15">
      <c r="A2246"/>
      <c r="B2246"/>
      <c r="D2246"/>
      <c r="E2246"/>
      <c r="F2246"/>
      <c r="H2246"/>
    </row>
    <row r="2247" spans="1:8" ht="15">
      <c r="A2247"/>
      <c r="B2247"/>
      <c r="D2247"/>
      <c r="E2247"/>
      <c r="F2247"/>
      <c r="H2247"/>
    </row>
    <row r="2248" spans="1:8" ht="15">
      <c r="A2248"/>
      <c r="B2248"/>
      <c r="D2248"/>
      <c r="E2248"/>
      <c r="F2248"/>
      <c r="H2248"/>
    </row>
    <row r="2249" spans="1:8" ht="15">
      <c r="A2249"/>
      <c r="B2249"/>
      <c r="D2249"/>
      <c r="E2249"/>
      <c r="F2249"/>
      <c r="H2249"/>
    </row>
    <row r="2250" spans="1:8" ht="15">
      <c r="A2250"/>
      <c r="B2250"/>
      <c r="D2250"/>
      <c r="E2250"/>
      <c r="F2250"/>
      <c r="H2250"/>
    </row>
    <row r="2251" spans="1:8" ht="15">
      <c r="A2251"/>
      <c r="B2251"/>
      <c r="D2251"/>
      <c r="E2251"/>
      <c r="F2251"/>
      <c r="H2251"/>
    </row>
    <row r="2252" spans="1:8" ht="15">
      <c r="A2252"/>
      <c r="B2252"/>
      <c r="D2252"/>
      <c r="E2252"/>
      <c r="F2252"/>
      <c r="H2252"/>
    </row>
    <row r="2253" spans="1:8" ht="15">
      <c r="A2253"/>
      <c r="B2253"/>
      <c r="D2253"/>
      <c r="E2253"/>
      <c r="F2253"/>
      <c r="H2253"/>
    </row>
    <row r="2254" spans="1:8" ht="15">
      <c r="A2254"/>
      <c r="B2254"/>
      <c r="D2254"/>
      <c r="E2254"/>
      <c r="F2254"/>
      <c r="H2254"/>
    </row>
    <row r="2255" spans="1:8" ht="15">
      <c r="A2255"/>
      <c r="B2255"/>
      <c r="D2255"/>
      <c r="E2255"/>
      <c r="F2255"/>
      <c r="H2255"/>
    </row>
    <row r="2256" spans="1:8" ht="15">
      <c r="A2256"/>
      <c r="B2256"/>
      <c r="D2256"/>
      <c r="E2256"/>
      <c r="F2256"/>
      <c r="H2256"/>
    </row>
    <row r="2257" spans="1:8" ht="15">
      <c r="A2257"/>
      <c r="B2257"/>
      <c r="D2257"/>
      <c r="E2257"/>
      <c r="F2257"/>
      <c r="H2257"/>
    </row>
    <row r="2258" spans="1:8" ht="15">
      <c r="A2258"/>
      <c r="B2258"/>
      <c r="D2258"/>
      <c r="E2258"/>
      <c r="F2258"/>
      <c r="H2258"/>
    </row>
    <row r="2259" spans="1:8" ht="15">
      <c r="A2259"/>
      <c r="B2259"/>
      <c r="D2259"/>
      <c r="E2259"/>
      <c r="F2259"/>
      <c r="H2259"/>
    </row>
    <row r="2260" spans="1:8" ht="15">
      <c r="A2260"/>
      <c r="B2260"/>
      <c r="D2260"/>
      <c r="E2260"/>
      <c r="F2260"/>
      <c r="H2260"/>
    </row>
    <row r="2261" spans="1:8" ht="15">
      <c r="A2261"/>
      <c r="B2261"/>
      <c r="D2261"/>
      <c r="E2261"/>
      <c r="F2261"/>
      <c r="H2261"/>
    </row>
    <row r="2262" spans="1:8" ht="15">
      <c r="A2262"/>
      <c r="B2262"/>
      <c r="D2262"/>
      <c r="E2262"/>
      <c r="F2262"/>
      <c r="H2262"/>
    </row>
    <row r="2263" spans="1:8" ht="15">
      <c r="A2263"/>
      <c r="B2263"/>
      <c r="D2263"/>
      <c r="E2263"/>
      <c r="F2263"/>
      <c r="H2263"/>
    </row>
    <row r="2264" spans="1:8" ht="15">
      <c r="A2264"/>
      <c r="B2264"/>
      <c r="D2264"/>
      <c r="E2264"/>
      <c r="F2264"/>
      <c r="H2264"/>
    </row>
    <row r="2265" spans="1:8" ht="15">
      <c r="A2265"/>
      <c r="B2265"/>
      <c r="D2265"/>
      <c r="E2265"/>
      <c r="F2265"/>
      <c r="H2265"/>
    </row>
    <row r="2266" spans="1:8" ht="15">
      <c r="A2266"/>
      <c r="B2266"/>
      <c r="D2266"/>
      <c r="E2266"/>
      <c r="F2266"/>
      <c r="H2266"/>
    </row>
    <row r="2267" spans="1:8" ht="15">
      <c r="A2267"/>
      <c r="B2267"/>
      <c r="D2267"/>
      <c r="E2267"/>
      <c r="F2267"/>
      <c r="H2267"/>
    </row>
    <row r="2268" spans="1:8" ht="15">
      <c r="A2268"/>
      <c r="B2268"/>
      <c r="D2268"/>
      <c r="E2268"/>
      <c r="F2268"/>
      <c r="H2268"/>
    </row>
    <row r="2269" spans="1:8" ht="15">
      <c r="A2269"/>
      <c r="B2269"/>
      <c r="D2269"/>
      <c r="E2269"/>
      <c r="F2269"/>
      <c r="H2269"/>
    </row>
    <row r="2270" spans="1:8" ht="15">
      <c r="A2270"/>
      <c r="B2270"/>
      <c r="D2270"/>
      <c r="E2270"/>
      <c r="F2270"/>
      <c r="H2270"/>
    </row>
    <row r="2271" spans="1:8" ht="15">
      <c r="A2271"/>
      <c r="B2271"/>
      <c r="D2271"/>
      <c r="E2271"/>
      <c r="F2271"/>
      <c r="H2271"/>
    </row>
    <row r="2272" spans="1:8" ht="15">
      <c r="A2272"/>
      <c r="B2272"/>
      <c r="D2272"/>
      <c r="E2272"/>
      <c r="F2272"/>
      <c r="H2272"/>
    </row>
    <row r="2273" spans="1:8" ht="15">
      <c r="A2273"/>
      <c r="B2273"/>
      <c r="D2273"/>
      <c r="E2273"/>
      <c r="F2273"/>
      <c r="H2273"/>
    </row>
    <row r="2274" spans="1:8" ht="15">
      <c r="A2274"/>
      <c r="B2274"/>
      <c r="D2274"/>
      <c r="E2274"/>
      <c r="F2274"/>
      <c r="H2274"/>
    </row>
    <row r="2275" spans="1:8" ht="15">
      <c r="A2275"/>
      <c r="B2275"/>
      <c r="D2275"/>
      <c r="E2275"/>
      <c r="F2275"/>
      <c r="H2275"/>
    </row>
    <row r="2276" spans="1:8" ht="15">
      <c r="A2276"/>
      <c r="B2276"/>
      <c r="D2276"/>
      <c r="E2276"/>
      <c r="F2276"/>
      <c r="H2276"/>
    </row>
    <row r="2277" spans="1:8" ht="15">
      <c r="A2277"/>
      <c r="B2277"/>
      <c r="D2277"/>
      <c r="E2277"/>
      <c r="F2277"/>
      <c r="H2277"/>
    </row>
    <row r="2278" spans="1:8" ht="15">
      <c r="A2278"/>
      <c r="B2278"/>
      <c r="D2278"/>
      <c r="E2278"/>
      <c r="F2278"/>
      <c r="H2278"/>
    </row>
    <row r="2279" spans="1:8" ht="15">
      <c r="A2279"/>
      <c r="B2279"/>
      <c r="D2279"/>
      <c r="E2279"/>
      <c r="F2279"/>
      <c r="H2279"/>
    </row>
    <row r="2280" spans="1:8" ht="15">
      <c r="A2280"/>
      <c r="B2280"/>
      <c r="D2280"/>
      <c r="E2280"/>
      <c r="F2280"/>
      <c r="H2280"/>
    </row>
    <row r="2281" spans="1:8" ht="15">
      <c r="A2281"/>
      <c r="B2281"/>
      <c r="D2281"/>
      <c r="E2281"/>
      <c r="F2281"/>
      <c r="H2281"/>
    </row>
    <row r="2282" spans="1:8" ht="15">
      <c r="A2282"/>
      <c r="B2282"/>
      <c r="D2282"/>
      <c r="E2282"/>
      <c r="F2282"/>
      <c r="H2282"/>
    </row>
    <row r="2283" spans="1:8" ht="15">
      <c r="A2283"/>
      <c r="B2283"/>
      <c r="D2283"/>
      <c r="E2283"/>
      <c r="F2283"/>
      <c r="H2283"/>
    </row>
    <row r="2284" spans="1:8" ht="15">
      <c r="A2284"/>
      <c r="B2284"/>
      <c r="D2284"/>
      <c r="E2284"/>
      <c r="F2284"/>
      <c r="H2284"/>
    </row>
    <row r="2285" spans="1:8" ht="15">
      <c r="A2285"/>
      <c r="B2285"/>
      <c r="D2285"/>
      <c r="E2285"/>
      <c r="F2285"/>
      <c r="H2285"/>
    </row>
    <row r="2286" spans="1:8" ht="15">
      <c r="A2286"/>
      <c r="B2286"/>
      <c r="D2286"/>
      <c r="E2286"/>
      <c r="F2286"/>
      <c r="H2286"/>
    </row>
    <row r="2287" spans="1:8" ht="15">
      <c r="A2287"/>
      <c r="B2287"/>
      <c r="D2287"/>
      <c r="E2287"/>
      <c r="F2287"/>
      <c r="H2287"/>
    </row>
    <row r="2288" spans="1:8" ht="15">
      <c r="A2288"/>
      <c r="B2288"/>
      <c r="D2288"/>
      <c r="E2288"/>
      <c r="F2288"/>
      <c r="H2288"/>
    </row>
    <row r="2289" spans="1:8" ht="15">
      <c r="A2289"/>
      <c r="B2289"/>
      <c r="D2289"/>
      <c r="E2289"/>
      <c r="F2289"/>
      <c r="H2289"/>
    </row>
    <row r="2290" spans="1:8" ht="15">
      <c r="A2290"/>
      <c r="B2290"/>
      <c r="D2290"/>
      <c r="E2290"/>
      <c r="F2290"/>
      <c r="H2290"/>
    </row>
    <row r="2291" spans="1:8" ht="15">
      <c r="A2291"/>
      <c r="B2291"/>
      <c r="D2291"/>
      <c r="E2291"/>
      <c r="F2291"/>
      <c r="H2291"/>
    </row>
    <row r="2292" spans="1:8" ht="15">
      <c r="A2292"/>
      <c r="B2292"/>
      <c r="D2292"/>
      <c r="E2292"/>
      <c r="F2292"/>
      <c r="H2292"/>
    </row>
    <row r="2293" spans="1:8" ht="15">
      <c r="A2293"/>
      <c r="B2293"/>
      <c r="D2293"/>
      <c r="E2293"/>
      <c r="F2293"/>
      <c r="H2293"/>
    </row>
    <row r="2294" spans="1:8" ht="15">
      <c r="A2294"/>
      <c r="B2294"/>
      <c r="D2294"/>
      <c r="E2294"/>
      <c r="F2294"/>
      <c r="H2294"/>
    </row>
    <row r="2295" spans="1:8" ht="15">
      <c r="A2295"/>
      <c r="B2295"/>
      <c r="D2295"/>
      <c r="E2295"/>
      <c r="F2295"/>
      <c r="H2295"/>
    </row>
    <row r="2296" spans="1:8" ht="15">
      <c r="A2296"/>
      <c r="B2296"/>
      <c r="D2296"/>
      <c r="E2296"/>
      <c r="F2296"/>
      <c r="H2296"/>
    </row>
    <row r="2297" spans="1:8" ht="15">
      <c r="A2297"/>
      <c r="B2297"/>
      <c r="D2297"/>
      <c r="E2297"/>
      <c r="F2297"/>
      <c r="H2297"/>
    </row>
    <row r="2298" spans="1:8" ht="15">
      <c r="A2298"/>
      <c r="B2298"/>
      <c r="D2298"/>
      <c r="E2298"/>
      <c r="F2298"/>
      <c r="H2298"/>
    </row>
    <row r="2299" spans="1:8" ht="15">
      <c r="A2299"/>
      <c r="B2299"/>
      <c r="D2299"/>
      <c r="E2299"/>
      <c r="F2299"/>
      <c r="H2299"/>
    </row>
    <row r="2300" spans="1:8" ht="15">
      <c r="A2300"/>
      <c r="B2300"/>
      <c r="D2300"/>
      <c r="E2300"/>
      <c r="F2300"/>
      <c r="H2300"/>
    </row>
    <row r="2301" spans="1:8" ht="15">
      <c r="A2301"/>
      <c r="B2301"/>
      <c r="D2301"/>
      <c r="E2301"/>
      <c r="F2301"/>
      <c r="H2301"/>
    </row>
    <row r="2302" spans="1:8" ht="15">
      <c r="A2302"/>
      <c r="B2302"/>
      <c r="D2302"/>
      <c r="E2302"/>
      <c r="F2302"/>
      <c r="H2302"/>
    </row>
    <row r="2303" spans="1:8" ht="15">
      <c r="A2303"/>
      <c r="B2303"/>
      <c r="D2303"/>
      <c r="E2303"/>
      <c r="F2303"/>
      <c r="H2303"/>
    </row>
    <row r="2304" spans="1:8" ht="15">
      <c r="A2304"/>
      <c r="B2304"/>
      <c r="D2304"/>
      <c r="E2304"/>
      <c r="F2304"/>
      <c r="H2304"/>
    </row>
    <row r="2305" spans="1:8" ht="15">
      <c r="A2305"/>
      <c r="B2305"/>
      <c r="D2305"/>
      <c r="E2305"/>
      <c r="F2305"/>
      <c r="H2305"/>
    </row>
    <row r="2306" spans="1:8" ht="15">
      <c r="A2306"/>
      <c r="B2306"/>
      <c r="D2306"/>
      <c r="E2306"/>
      <c r="F2306"/>
      <c r="H2306"/>
    </row>
    <row r="2307" spans="1:8" ht="15">
      <c r="A2307"/>
      <c r="B2307"/>
      <c r="D2307"/>
      <c r="E2307"/>
      <c r="F2307"/>
      <c r="H2307"/>
    </row>
    <row r="2308" spans="1:8" ht="15">
      <c r="A2308"/>
      <c r="B2308"/>
      <c r="D2308"/>
      <c r="E2308"/>
      <c r="F2308"/>
      <c r="H2308"/>
    </row>
    <row r="2309" spans="1:8" ht="15">
      <c r="A2309"/>
      <c r="B2309"/>
      <c r="D2309"/>
      <c r="E2309"/>
      <c r="F2309"/>
      <c r="H2309"/>
    </row>
    <row r="2310" spans="1:8" ht="15">
      <c r="A2310"/>
      <c r="B2310"/>
      <c r="D2310"/>
      <c r="E2310"/>
      <c r="F2310"/>
      <c r="H2310"/>
    </row>
    <row r="2311" spans="1:8" ht="15">
      <c r="A2311"/>
      <c r="B2311"/>
      <c r="D2311"/>
      <c r="E2311"/>
      <c r="F2311"/>
      <c r="H2311"/>
    </row>
    <row r="2312" spans="1:8" ht="15">
      <c r="A2312"/>
      <c r="B2312"/>
      <c r="D2312"/>
      <c r="E2312"/>
      <c r="F2312"/>
      <c r="H2312"/>
    </row>
    <row r="2313" spans="1:8" ht="15">
      <c r="A2313"/>
      <c r="B2313"/>
      <c r="D2313"/>
      <c r="E2313"/>
      <c r="F2313"/>
      <c r="H2313"/>
    </row>
    <row r="2314" spans="1:8" ht="15">
      <c r="A2314"/>
      <c r="B2314"/>
      <c r="D2314"/>
      <c r="E2314"/>
      <c r="F2314"/>
      <c r="H2314"/>
    </row>
    <row r="2315" spans="1:8" ht="15">
      <c r="A2315"/>
      <c r="B2315"/>
      <c r="D2315"/>
      <c r="E2315"/>
      <c r="F2315"/>
      <c r="H2315"/>
    </row>
    <row r="2316" spans="1:8" ht="15">
      <c r="A2316"/>
      <c r="B2316"/>
      <c r="D2316"/>
      <c r="E2316"/>
      <c r="F2316"/>
      <c r="H2316"/>
    </row>
    <row r="2317" spans="1:8" ht="15">
      <c r="A2317"/>
      <c r="B2317"/>
      <c r="D2317"/>
      <c r="E2317"/>
      <c r="F2317"/>
      <c r="H2317"/>
    </row>
    <row r="2318" spans="1:8" ht="15">
      <c r="A2318"/>
      <c r="B2318"/>
      <c r="D2318"/>
      <c r="E2318"/>
      <c r="F2318"/>
      <c r="H2318"/>
    </row>
    <row r="2319" spans="1:8" ht="15">
      <c r="A2319"/>
      <c r="B2319"/>
      <c r="D2319"/>
      <c r="E2319"/>
      <c r="F2319"/>
      <c r="H2319"/>
    </row>
    <row r="2320" spans="1:8" ht="15">
      <c r="A2320"/>
      <c r="B2320"/>
      <c r="D2320"/>
      <c r="E2320"/>
      <c r="F2320"/>
      <c r="H2320"/>
    </row>
    <row r="2321" spans="1:8" ht="15">
      <c r="A2321"/>
      <c r="B2321"/>
      <c r="D2321"/>
      <c r="E2321"/>
      <c r="F2321"/>
      <c r="H2321"/>
    </row>
    <row r="2322" spans="1:8" ht="15">
      <c r="A2322"/>
      <c r="B2322"/>
      <c r="D2322"/>
      <c r="E2322"/>
      <c r="F2322"/>
      <c r="H2322"/>
    </row>
    <row r="2323" spans="1:8" ht="15">
      <c r="A2323"/>
      <c r="B2323"/>
      <c r="D2323"/>
      <c r="E2323"/>
      <c r="F2323"/>
      <c r="H2323"/>
    </row>
    <row r="2324" spans="1:8" ht="15">
      <c r="A2324"/>
      <c r="B2324"/>
      <c r="D2324"/>
      <c r="E2324"/>
      <c r="F2324"/>
      <c r="H2324"/>
    </row>
    <row r="2325" spans="1:8" ht="15">
      <c r="A2325"/>
      <c r="B2325"/>
      <c r="D2325"/>
      <c r="E2325"/>
      <c r="F2325"/>
      <c r="H2325"/>
    </row>
    <row r="2326" spans="1:8" ht="15">
      <c r="A2326"/>
      <c r="B2326"/>
      <c r="D2326"/>
      <c r="E2326"/>
      <c r="F2326"/>
      <c r="H2326"/>
    </row>
    <row r="2327" spans="1:8" ht="15">
      <c r="A2327"/>
      <c r="B2327"/>
      <c r="D2327"/>
      <c r="E2327"/>
      <c r="F2327"/>
      <c r="H2327"/>
    </row>
    <row r="2328" spans="1:8" ht="15">
      <c r="A2328"/>
      <c r="B2328"/>
      <c r="D2328"/>
      <c r="E2328"/>
      <c r="F2328"/>
      <c r="H2328"/>
    </row>
    <row r="2329" spans="1:8" ht="15">
      <c r="A2329"/>
      <c r="B2329"/>
      <c r="D2329"/>
      <c r="E2329"/>
      <c r="F2329"/>
      <c r="H2329"/>
    </row>
    <row r="2330" spans="1:8" ht="15">
      <c r="A2330"/>
      <c r="B2330"/>
      <c r="D2330"/>
      <c r="E2330"/>
      <c r="F2330"/>
      <c r="H2330"/>
    </row>
    <row r="2331" spans="1:8" ht="15">
      <c r="A2331"/>
      <c r="B2331"/>
      <c r="D2331"/>
      <c r="E2331"/>
      <c r="F2331"/>
      <c r="H2331"/>
    </row>
    <row r="2332" spans="1:8" ht="15">
      <c r="A2332"/>
      <c r="B2332"/>
      <c r="D2332"/>
      <c r="E2332"/>
      <c r="F2332"/>
      <c r="H2332"/>
    </row>
    <row r="2333" spans="1:8" ht="15">
      <c r="A2333"/>
      <c r="B2333"/>
      <c r="D2333"/>
      <c r="E2333"/>
      <c r="F2333"/>
      <c r="H2333"/>
    </row>
    <row r="2334" spans="1:8" ht="15">
      <c r="A2334"/>
      <c r="B2334"/>
      <c r="D2334"/>
      <c r="E2334"/>
      <c r="F2334"/>
      <c r="H2334"/>
    </row>
    <row r="2335" spans="1:8" ht="15">
      <c r="A2335"/>
      <c r="B2335"/>
      <c r="D2335"/>
      <c r="E2335"/>
      <c r="F2335"/>
      <c r="H2335"/>
    </row>
    <row r="2336" spans="1:8" ht="15">
      <c r="A2336"/>
      <c r="B2336"/>
      <c r="D2336"/>
      <c r="E2336"/>
      <c r="F2336"/>
      <c r="H2336"/>
    </row>
    <row r="2337" spans="1:8" ht="15">
      <c r="A2337"/>
      <c r="B2337"/>
      <c r="D2337"/>
      <c r="E2337"/>
      <c r="F2337"/>
      <c r="H2337"/>
    </row>
    <row r="2338" spans="1:8" ht="15">
      <c r="A2338"/>
      <c r="B2338"/>
      <c r="D2338"/>
      <c r="E2338"/>
      <c r="F2338"/>
      <c r="H2338"/>
    </row>
    <row r="2339" spans="1:8" ht="15">
      <c r="A2339"/>
      <c r="B2339"/>
      <c r="D2339"/>
      <c r="E2339"/>
      <c r="F2339"/>
      <c r="H2339"/>
    </row>
    <row r="2340" spans="1:8" ht="15">
      <c r="A2340"/>
      <c r="B2340"/>
      <c r="D2340"/>
      <c r="E2340"/>
      <c r="F2340"/>
      <c r="H2340"/>
    </row>
    <row r="2341" spans="1:8" ht="15">
      <c r="A2341"/>
      <c r="B2341"/>
      <c r="D2341"/>
      <c r="E2341"/>
      <c r="F2341"/>
      <c r="H2341"/>
    </row>
    <row r="2342" spans="1:8" ht="15">
      <c r="A2342"/>
      <c r="B2342"/>
      <c r="D2342"/>
      <c r="E2342"/>
      <c r="F2342"/>
      <c r="H2342"/>
    </row>
    <row r="2343" spans="1:8" ht="15">
      <c r="A2343"/>
      <c r="B2343"/>
      <c r="D2343"/>
      <c r="E2343"/>
      <c r="F2343"/>
      <c r="H2343"/>
    </row>
    <row r="2344" spans="1:8" ht="15">
      <c r="A2344"/>
      <c r="B2344"/>
      <c r="D2344"/>
      <c r="E2344"/>
      <c r="F2344"/>
      <c r="H2344"/>
    </row>
    <row r="2345" spans="1:8" ht="15">
      <c r="A2345"/>
      <c r="B2345"/>
      <c r="D2345"/>
      <c r="E2345"/>
      <c r="F2345"/>
      <c r="H2345"/>
    </row>
    <row r="2346" spans="1:8" ht="15">
      <c r="A2346"/>
      <c r="B2346"/>
      <c r="D2346"/>
      <c r="E2346"/>
      <c r="F2346"/>
      <c r="H2346"/>
    </row>
    <row r="2347" spans="1:8" ht="15">
      <c r="A2347"/>
      <c r="B2347"/>
      <c r="D2347"/>
      <c r="E2347"/>
      <c r="F2347"/>
      <c r="H2347"/>
    </row>
    <row r="2348" spans="1:8" ht="15">
      <c r="A2348"/>
      <c r="B2348"/>
      <c r="D2348"/>
      <c r="E2348"/>
      <c r="F2348"/>
      <c r="H2348"/>
    </row>
    <row r="2349" spans="1:8" ht="15">
      <c r="A2349"/>
      <c r="B2349"/>
      <c r="D2349"/>
      <c r="E2349"/>
      <c r="F2349"/>
      <c r="H2349"/>
    </row>
    <row r="2350" spans="1:8" ht="15">
      <c r="A2350"/>
      <c r="B2350"/>
      <c r="D2350"/>
      <c r="E2350"/>
      <c r="F2350"/>
      <c r="H2350"/>
    </row>
    <row r="2351" spans="1:8" ht="15">
      <c r="A2351"/>
      <c r="B2351"/>
      <c r="D2351"/>
      <c r="E2351"/>
      <c r="F2351"/>
      <c r="H2351"/>
    </row>
    <row r="2352" spans="1:8" ht="15">
      <c r="A2352"/>
      <c r="B2352"/>
      <c r="D2352"/>
      <c r="E2352"/>
      <c r="F2352"/>
      <c r="H2352"/>
    </row>
    <row r="2353" spans="1:8" ht="15">
      <c r="A2353"/>
      <c r="B2353"/>
      <c r="D2353"/>
      <c r="E2353"/>
      <c r="F2353"/>
      <c r="H2353"/>
    </row>
    <row r="2354" spans="1:8" ht="15">
      <c r="A2354"/>
      <c r="B2354"/>
      <c r="D2354"/>
      <c r="E2354"/>
      <c r="F2354"/>
      <c r="H2354"/>
    </row>
    <row r="2355" spans="1:8" ht="15">
      <c r="A2355"/>
      <c r="B2355"/>
      <c r="D2355"/>
      <c r="E2355"/>
      <c r="F2355"/>
      <c r="H2355"/>
    </row>
    <row r="2356" spans="1:8" ht="15">
      <c r="A2356"/>
      <c r="B2356"/>
      <c r="D2356"/>
      <c r="E2356"/>
      <c r="F2356"/>
      <c r="H2356"/>
    </row>
    <row r="2357" spans="1:8" ht="15">
      <c r="A2357"/>
      <c r="B2357"/>
      <c r="D2357"/>
      <c r="E2357"/>
      <c r="F2357"/>
      <c r="H2357"/>
    </row>
    <row r="2358" spans="1:8" ht="15">
      <c r="A2358"/>
      <c r="B2358"/>
      <c r="D2358"/>
      <c r="E2358"/>
      <c r="F2358"/>
      <c r="H2358"/>
    </row>
    <row r="2359" spans="1:8" ht="15">
      <c r="A2359"/>
      <c r="B2359"/>
      <c r="D2359"/>
      <c r="E2359"/>
      <c r="F2359"/>
      <c r="H2359"/>
    </row>
    <row r="2360" spans="1:8" ht="15">
      <c r="A2360"/>
      <c r="B2360"/>
      <c r="D2360"/>
      <c r="E2360"/>
      <c r="F2360"/>
      <c r="H2360"/>
    </row>
    <row r="2361" spans="1:8" ht="15">
      <c r="A2361"/>
      <c r="B2361"/>
      <c r="D2361"/>
      <c r="E2361"/>
      <c r="F2361"/>
      <c r="H2361"/>
    </row>
    <row r="2362" spans="1:8" ht="15">
      <c r="A2362"/>
      <c r="B2362"/>
      <c r="D2362"/>
      <c r="E2362"/>
      <c r="F2362"/>
      <c r="H2362"/>
    </row>
    <row r="2363" spans="1:8" ht="15">
      <c r="A2363"/>
      <c r="B2363"/>
      <c r="D2363"/>
      <c r="E2363"/>
      <c r="F2363"/>
      <c r="H2363"/>
    </row>
    <row r="2364" spans="1:8" ht="15">
      <c r="A2364"/>
      <c r="B2364"/>
      <c r="D2364"/>
      <c r="E2364"/>
      <c r="F2364"/>
      <c r="H2364"/>
    </row>
    <row r="2365" spans="1:8" ht="15">
      <c r="A2365"/>
      <c r="B2365"/>
      <c r="D2365"/>
      <c r="E2365"/>
      <c r="F2365"/>
      <c r="H2365"/>
    </row>
    <row r="2366" spans="1:8" ht="15">
      <c r="A2366"/>
      <c r="B2366"/>
      <c r="D2366"/>
      <c r="E2366"/>
      <c r="F2366"/>
      <c r="H2366"/>
    </row>
    <row r="2367" spans="1:8" ht="15">
      <c r="A2367"/>
      <c r="B2367"/>
      <c r="D2367"/>
      <c r="E2367"/>
      <c r="F2367"/>
      <c r="H2367"/>
    </row>
    <row r="2368" spans="1:8" ht="15">
      <c r="A2368"/>
      <c r="B2368"/>
      <c r="D2368"/>
      <c r="E2368"/>
      <c r="F2368"/>
      <c r="H2368"/>
    </row>
    <row r="2369" spans="1:8" ht="15">
      <c r="A2369"/>
      <c r="B2369"/>
      <c r="D2369"/>
      <c r="E2369"/>
      <c r="F2369"/>
      <c r="H2369"/>
    </row>
    <row r="2370" spans="1:8" ht="15">
      <c r="A2370"/>
      <c r="B2370"/>
      <c r="D2370"/>
      <c r="E2370"/>
      <c r="F2370"/>
      <c r="H2370"/>
    </row>
    <row r="2371" spans="1:8" ht="15">
      <c r="A2371"/>
      <c r="B2371"/>
      <c r="D2371"/>
      <c r="E2371"/>
      <c r="F2371"/>
      <c r="H2371"/>
    </row>
    <row r="2372" spans="1:8" ht="15">
      <c r="A2372"/>
      <c r="B2372"/>
      <c r="D2372"/>
      <c r="E2372"/>
      <c r="F2372"/>
      <c r="H2372"/>
    </row>
    <row r="2373" spans="1:8" ht="15">
      <c r="A2373"/>
      <c r="B2373"/>
      <c r="D2373"/>
      <c r="E2373"/>
      <c r="F2373"/>
      <c r="H2373"/>
    </row>
    <row r="2374" spans="1:8" ht="15">
      <c r="A2374"/>
      <c r="B2374"/>
      <c r="D2374"/>
      <c r="E2374"/>
      <c r="F2374"/>
      <c r="H2374"/>
    </row>
    <row r="2375" spans="1:8" ht="15">
      <c r="A2375"/>
      <c r="B2375"/>
      <c r="D2375"/>
      <c r="E2375"/>
      <c r="F2375"/>
      <c r="H2375"/>
    </row>
    <row r="2376" spans="1:8" ht="15">
      <c r="A2376"/>
      <c r="B2376"/>
      <c r="D2376"/>
      <c r="E2376"/>
      <c r="F2376"/>
      <c r="H2376"/>
    </row>
    <row r="2377" spans="1:8" ht="15">
      <c r="A2377"/>
      <c r="B2377"/>
      <c r="D2377"/>
      <c r="E2377"/>
      <c r="F2377"/>
      <c r="H2377"/>
    </row>
    <row r="2378" spans="1:8" ht="15">
      <c r="A2378"/>
      <c r="B2378"/>
      <c r="D2378"/>
      <c r="E2378"/>
      <c r="F2378"/>
      <c r="H2378"/>
    </row>
    <row r="2379" spans="1:8" ht="15">
      <c r="A2379"/>
      <c r="B2379"/>
      <c r="D2379"/>
      <c r="E2379"/>
      <c r="F2379"/>
      <c r="H2379"/>
    </row>
    <row r="2380" spans="1:8" ht="15">
      <c r="A2380"/>
      <c r="B2380"/>
      <c r="D2380"/>
      <c r="E2380"/>
      <c r="F2380"/>
      <c r="H2380"/>
    </row>
    <row r="2381" spans="1:8" ht="15">
      <c r="A2381"/>
      <c r="B2381"/>
      <c r="D2381"/>
      <c r="E2381"/>
      <c r="F2381"/>
      <c r="H2381"/>
    </row>
    <row r="2382" spans="1:8" ht="15">
      <c r="A2382"/>
      <c r="B2382"/>
      <c r="D2382"/>
      <c r="E2382"/>
      <c r="F2382"/>
      <c r="H2382"/>
    </row>
    <row r="2383" spans="1:8" ht="15">
      <c r="A2383"/>
      <c r="B2383"/>
      <c r="D2383"/>
      <c r="E2383"/>
      <c r="F2383"/>
      <c r="H2383"/>
    </row>
    <row r="2384" spans="1:8" ht="15">
      <c r="A2384"/>
      <c r="B2384"/>
      <c r="D2384"/>
      <c r="E2384"/>
      <c r="F2384"/>
      <c r="H2384"/>
    </row>
    <row r="2385" spans="1:8" ht="15">
      <c r="A2385"/>
      <c r="B2385"/>
      <c r="D2385"/>
      <c r="E2385"/>
      <c r="F2385"/>
      <c r="H2385"/>
    </row>
    <row r="2386" spans="1:8" ht="15">
      <c r="A2386"/>
      <c r="B2386"/>
      <c r="D2386"/>
      <c r="E2386"/>
      <c r="F2386"/>
      <c r="H2386"/>
    </row>
    <row r="2387" spans="1:8" ht="15">
      <c r="A2387"/>
      <c r="B2387"/>
      <c r="D2387"/>
      <c r="E2387"/>
      <c r="F2387"/>
      <c r="H2387"/>
    </row>
    <row r="2388" spans="1:8" ht="15">
      <c r="A2388"/>
      <c r="B2388"/>
      <c r="D2388"/>
      <c r="E2388"/>
      <c r="F2388"/>
      <c r="H2388"/>
    </row>
    <row r="2389" spans="1:8" ht="15">
      <c r="A2389"/>
      <c r="B2389"/>
      <c r="D2389"/>
      <c r="E2389"/>
      <c r="F2389"/>
      <c r="H2389"/>
    </row>
    <row r="2390" spans="1:8" ht="15">
      <c r="A2390"/>
      <c r="B2390"/>
      <c r="D2390"/>
      <c r="E2390"/>
      <c r="F2390"/>
      <c r="H2390"/>
    </row>
    <row r="2391" spans="1:8" ht="15">
      <c r="A2391"/>
      <c r="B2391"/>
      <c r="D2391"/>
      <c r="E2391"/>
      <c r="F2391"/>
      <c r="H2391"/>
    </row>
    <row r="2392" spans="1:8" ht="15">
      <c r="A2392"/>
      <c r="B2392"/>
      <c r="D2392"/>
      <c r="E2392"/>
      <c r="F2392"/>
      <c r="H2392"/>
    </row>
    <row r="2393" spans="1:8" ht="15">
      <c r="A2393"/>
      <c r="B2393"/>
      <c r="D2393"/>
      <c r="E2393"/>
      <c r="F2393"/>
      <c r="H2393"/>
    </row>
    <row r="2394" spans="1:8" ht="15">
      <c r="A2394"/>
      <c r="B2394"/>
      <c r="D2394"/>
      <c r="E2394"/>
      <c r="F2394"/>
      <c r="H2394"/>
    </row>
    <row r="2395" spans="1:8" ht="15">
      <c r="A2395"/>
      <c r="B2395"/>
      <c r="D2395"/>
      <c r="E2395"/>
      <c r="F2395"/>
      <c r="H2395"/>
    </row>
    <row r="2396" spans="1:8" ht="15">
      <c r="A2396"/>
      <c r="B2396"/>
      <c r="D2396"/>
      <c r="E2396"/>
      <c r="F2396"/>
      <c r="H2396"/>
    </row>
    <row r="2397" spans="1:8" ht="15">
      <c r="A2397"/>
      <c r="B2397"/>
      <c r="D2397"/>
      <c r="E2397"/>
      <c r="F2397"/>
      <c r="H2397"/>
    </row>
    <row r="2398" spans="1:8" ht="15">
      <c r="A2398"/>
      <c r="B2398"/>
      <c r="D2398"/>
      <c r="E2398"/>
      <c r="F2398"/>
      <c r="H2398"/>
    </row>
    <row r="2399" spans="1:8" ht="15">
      <c r="A2399"/>
      <c r="B2399"/>
      <c r="D2399"/>
      <c r="E2399"/>
      <c r="F2399"/>
      <c r="H2399"/>
    </row>
    <row r="2400" spans="1:8" ht="15">
      <c r="A2400"/>
      <c r="B2400"/>
      <c r="D2400"/>
      <c r="E2400"/>
      <c r="F2400"/>
      <c r="H2400"/>
    </row>
    <row r="2401" spans="1:8" ht="15">
      <c r="A2401"/>
      <c r="B2401"/>
      <c r="D2401"/>
      <c r="E2401"/>
      <c r="F2401"/>
      <c r="H2401"/>
    </row>
    <row r="2402" spans="1:8" ht="15">
      <c r="A2402"/>
      <c r="B2402"/>
      <c r="D2402"/>
      <c r="E2402"/>
      <c r="F2402"/>
      <c r="H2402"/>
    </row>
    <row r="2403" spans="1:8" ht="15">
      <c r="A2403"/>
      <c r="B2403"/>
      <c r="D2403"/>
      <c r="E2403"/>
      <c r="F2403"/>
      <c r="H2403"/>
    </row>
    <row r="2404" spans="1:8" ht="15">
      <c r="A2404"/>
      <c r="B2404"/>
      <c r="D2404"/>
      <c r="E2404"/>
      <c r="F2404"/>
      <c r="H2404"/>
    </row>
    <row r="2405" spans="1:8" ht="15">
      <c r="A2405"/>
      <c r="B2405"/>
      <c r="D2405"/>
      <c r="E2405"/>
      <c r="F2405"/>
      <c r="H2405"/>
    </row>
    <row r="2406" spans="1:8" ht="15">
      <c r="A2406"/>
      <c r="B2406"/>
      <c r="D2406"/>
      <c r="E2406"/>
      <c r="F2406"/>
      <c r="H2406"/>
    </row>
    <row r="2407" spans="1:8" ht="15">
      <c r="A2407"/>
      <c r="B2407"/>
      <c r="D2407"/>
      <c r="E2407"/>
      <c r="F2407"/>
      <c r="H2407"/>
    </row>
    <row r="2408" spans="1:8" ht="15">
      <c r="A2408"/>
      <c r="B2408"/>
      <c r="D2408"/>
      <c r="E2408"/>
      <c r="F2408"/>
      <c r="H2408"/>
    </row>
    <row r="2409" spans="1:8" ht="15">
      <c r="A2409"/>
      <c r="B2409"/>
      <c r="D2409"/>
      <c r="E2409"/>
      <c r="F2409"/>
      <c r="H2409"/>
    </row>
    <row r="2410" spans="1:8" ht="15">
      <c r="A2410"/>
      <c r="B2410"/>
      <c r="D2410"/>
      <c r="E2410"/>
      <c r="F2410"/>
      <c r="H2410"/>
    </row>
    <row r="2411" spans="1:8" ht="15">
      <c r="A2411"/>
      <c r="B2411"/>
      <c r="D2411"/>
      <c r="E2411"/>
      <c r="F2411"/>
      <c r="H2411"/>
    </row>
    <row r="2412" spans="1:8" ht="15">
      <c r="A2412"/>
      <c r="B2412"/>
      <c r="D2412"/>
      <c r="E2412"/>
      <c r="F2412"/>
      <c r="H2412"/>
    </row>
    <row r="2413" spans="1:8" ht="15">
      <c r="A2413"/>
      <c r="B2413"/>
      <c r="D2413"/>
      <c r="E2413"/>
      <c r="F2413"/>
      <c r="H2413"/>
    </row>
    <row r="2414" spans="1:8" ht="15">
      <c r="A2414"/>
      <c r="B2414"/>
      <c r="D2414"/>
      <c r="E2414"/>
      <c r="F2414"/>
      <c r="H2414"/>
    </row>
    <row r="2415" spans="1:8" ht="15">
      <c r="A2415"/>
      <c r="B2415"/>
      <c r="D2415"/>
      <c r="E2415"/>
      <c r="F2415"/>
      <c r="H2415"/>
    </row>
    <row r="2416" spans="1:8" ht="15">
      <c r="A2416"/>
      <c r="B2416"/>
      <c r="D2416"/>
      <c r="E2416"/>
      <c r="F2416"/>
      <c r="H2416"/>
    </row>
    <row r="2417" spans="1:8" ht="15">
      <c r="A2417"/>
      <c r="B2417"/>
      <c r="D2417"/>
      <c r="E2417"/>
      <c r="F2417"/>
      <c r="H2417"/>
    </row>
    <row r="2418" spans="1:8" ht="15">
      <c r="A2418"/>
      <c r="B2418"/>
      <c r="D2418"/>
      <c r="E2418"/>
      <c r="F2418"/>
      <c r="H2418"/>
    </row>
    <row r="2419" spans="1:8" ht="15">
      <c r="A2419"/>
      <c r="B2419"/>
      <c r="D2419"/>
      <c r="E2419"/>
      <c r="F2419"/>
      <c r="H2419"/>
    </row>
    <row r="2420" spans="1:8" ht="15">
      <c r="A2420"/>
      <c r="B2420"/>
      <c r="D2420"/>
      <c r="E2420"/>
      <c r="F2420"/>
      <c r="H2420"/>
    </row>
    <row r="2421" spans="1:8" ht="15">
      <c r="A2421"/>
      <c r="B2421"/>
      <c r="D2421"/>
      <c r="E2421"/>
      <c r="F2421"/>
      <c r="H2421"/>
    </row>
    <row r="2422" spans="1:8" ht="15">
      <c r="A2422"/>
      <c r="B2422"/>
      <c r="D2422"/>
      <c r="E2422"/>
      <c r="F2422"/>
      <c r="H2422"/>
    </row>
    <row r="2423" spans="1:8" ht="15">
      <c r="A2423"/>
      <c r="B2423"/>
      <c r="D2423"/>
      <c r="E2423"/>
      <c r="F2423"/>
      <c r="H2423"/>
    </row>
    <row r="2424" spans="1:8" ht="15">
      <c r="A2424"/>
      <c r="B2424"/>
      <c r="D2424"/>
      <c r="E2424"/>
      <c r="F2424"/>
      <c r="H2424"/>
    </row>
    <row r="2425" spans="1:8" ht="15">
      <c r="A2425"/>
      <c r="B2425"/>
      <c r="D2425"/>
      <c r="E2425"/>
      <c r="F2425"/>
      <c r="H2425"/>
    </row>
    <row r="2426" spans="1:8" ht="15">
      <c r="A2426"/>
      <c r="B2426"/>
      <c r="D2426"/>
      <c r="E2426"/>
      <c r="F2426"/>
      <c r="H2426"/>
    </row>
    <row r="2427" spans="1:8" ht="15">
      <c r="A2427"/>
      <c r="B2427"/>
      <c r="D2427"/>
      <c r="E2427"/>
      <c r="F2427"/>
      <c r="H2427"/>
    </row>
    <row r="2428" spans="1:8" ht="15">
      <c r="A2428"/>
      <c r="B2428"/>
      <c r="D2428"/>
      <c r="E2428"/>
      <c r="F2428"/>
      <c r="H2428"/>
    </row>
    <row r="2429" spans="1:8" ht="15">
      <c r="A2429"/>
      <c r="B2429"/>
      <c r="D2429"/>
      <c r="E2429"/>
      <c r="F2429"/>
      <c r="H2429"/>
    </row>
    <row r="2430" spans="1:8" ht="15">
      <c r="A2430"/>
      <c r="B2430"/>
      <c r="D2430"/>
      <c r="E2430"/>
      <c r="F2430"/>
      <c r="H2430"/>
    </row>
    <row r="2431" spans="1:8" ht="15">
      <c r="A2431"/>
      <c r="B2431"/>
      <c r="D2431"/>
      <c r="E2431"/>
      <c r="F2431"/>
      <c r="H2431"/>
    </row>
    <row r="2432" spans="1:8" ht="15">
      <c r="A2432"/>
      <c r="B2432"/>
      <c r="D2432"/>
      <c r="E2432"/>
      <c r="F2432"/>
      <c r="H2432"/>
    </row>
    <row r="2433" spans="1:8" ht="15">
      <c r="A2433"/>
      <c r="B2433"/>
      <c r="D2433"/>
      <c r="E2433"/>
      <c r="F2433"/>
      <c r="H2433"/>
    </row>
    <row r="2434" spans="1:8" ht="15">
      <c r="A2434"/>
      <c r="B2434"/>
      <c r="D2434"/>
      <c r="E2434"/>
      <c r="F2434"/>
      <c r="H2434"/>
    </row>
    <row r="2435" spans="1:8" ht="15">
      <c r="A2435"/>
      <c r="B2435"/>
      <c r="D2435"/>
      <c r="E2435"/>
      <c r="F2435"/>
      <c r="H2435"/>
    </row>
    <row r="2436" spans="1:8" ht="15">
      <c r="A2436"/>
      <c r="B2436"/>
      <c r="D2436"/>
      <c r="E2436"/>
      <c r="F2436"/>
      <c r="H2436"/>
    </row>
    <row r="2437" spans="1:8" ht="15">
      <c r="A2437"/>
      <c r="B2437"/>
      <c r="D2437"/>
      <c r="E2437"/>
      <c r="F2437"/>
      <c r="H2437"/>
    </row>
    <row r="2438" spans="1:8" ht="15">
      <c r="A2438"/>
      <c r="B2438"/>
      <c r="D2438"/>
      <c r="E2438"/>
      <c r="F2438"/>
      <c r="H2438"/>
    </row>
    <row r="2439" spans="1:8" ht="15">
      <c r="A2439"/>
      <c r="B2439"/>
      <c r="D2439"/>
      <c r="E2439"/>
      <c r="F2439"/>
      <c r="H2439"/>
    </row>
    <row r="2440" spans="1:8" ht="15">
      <c r="A2440"/>
      <c r="B2440"/>
      <c r="D2440"/>
      <c r="E2440"/>
      <c r="F2440"/>
      <c r="H2440"/>
    </row>
    <row r="2441" spans="1:8" ht="15">
      <c r="A2441"/>
      <c r="B2441"/>
      <c r="D2441"/>
      <c r="E2441"/>
      <c r="F2441"/>
      <c r="H2441"/>
    </row>
    <row r="2442" spans="1:8" ht="15">
      <c r="A2442"/>
      <c r="B2442"/>
      <c r="D2442"/>
      <c r="E2442"/>
      <c r="F2442"/>
      <c r="H2442"/>
    </row>
    <row r="2443" spans="1:8" ht="15">
      <c r="A2443"/>
      <c r="B2443"/>
      <c r="D2443"/>
      <c r="E2443"/>
      <c r="F2443"/>
      <c r="H2443"/>
    </row>
    <row r="2444" spans="1:8" ht="15">
      <c r="A2444"/>
      <c r="B2444"/>
      <c r="D2444"/>
      <c r="E2444"/>
      <c r="F2444"/>
      <c r="H2444"/>
    </row>
    <row r="2445" spans="1:8" ht="15">
      <c r="A2445"/>
      <c r="B2445"/>
      <c r="D2445"/>
      <c r="E2445"/>
      <c r="F2445"/>
      <c r="H2445"/>
    </row>
    <row r="2446" spans="1:8" ht="15">
      <c r="A2446"/>
      <c r="B2446"/>
      <c r="D2446"/>
      <c r="E2446"/>
      <c r="F2446"/>
      <c r="H2446"/>
    </row>
    <row r="2447" spans="1:8" ht="15">
      <c r="A2447"/>
      <c r="B2447"/>
      <c r="D2447"/>
      <c r="E2447"/>
      <c r="F2447"/>
      <c r="H2447"/>
    </row>
    <row r="2448" spans="1:8" ht="15">
      <c r="A2448"/>
      <c r="B2448"/>
      <c r="D2448"/>
      <c r="E2448"/>
      <c r="F2448"/>
      <c r="H2448"/>
    </row>
    <row r="2449" spans="1:8" ht="15">
      <c r="A2449"/>
      <c r="B2449"/>
      <c r="D2449"/>
      <c r="E2449"/>
      <c r="F2449"/>
      <c r="H2449"/>
    </row>
    <row r="2450" spans="1:8" ht="15">
      <c r="A2450"/>
      <c r="B2450"/>
      <c r="D2450"/>
      <c r="E2450"/>
      <c r="F2450"/>
      <c r="H2450"/>
    </row>
    <row r="2451" spans="1:8" ht="15">
      <c r="A2451"/>
      <c r="B2451"/>
      <c r="D2451"/>
      <c r="E2451"/>
      <c r="F2451"/>
      <c r="H2451"/>
    </row>
    <row r="2452" spans="1:8" ht="15">
      <c r="A2452"/>
      <c r="B2452"/>
      <c r="D2452"/>
      <c r="E2452"/>
      <c r="F2452"/>
      <c r="H2452"/>
    </row>
    <row r="2453" spans="1:8" ht="15">
      <c r="A2453"/>
      <c r="B2453"/>
      <c r="D2453"/>
      <c r="E2453"/>
      <c r="F2453"/>
      <c r="H2453"/>
    </row>
    <row r="2454" spans="1:8" ht="15">
      <c r="A2454"/>
      <c r="B2454"/>
      <c r="D2454"/>
      <c r="E2454"/>
      <c r="F2454"/>
      <c r="H2454"/>
    </row>
    <row r="2455" spans="1:8" ht="15">
      <c r="A2455"/>
      <c r="B2455"/>
      <c r="D2455"/>
      <c r="E2455"/>
      <c r="F2455"/>
      <c r="H2455"/>
    </row>
    <row r="2456" spans="1:8" ht="15">
      <c r="A2456"/>
      <c r="B2456"/>
      <c r="D2456"/>
      <c r="E2456"/>
      <c r="F2456"/>
      <c r="H2456"/>
    </row>
    <row r="2457" spans="1:8" ht="15">
      <c r="A2457"/>
      <c r="B2457"/>
      <c r="D2457"/>
      <c r="E2457"/>
      <c r="F2457"/>
      <c r="H2457"/>
    </row>
    <row r="2458" spans="1:8" ht="15">
      <c r="A2458"/>
      <c r="B2458"/>
      <c r="D2458"/>
      <c r="E2458"/>
      <c r="F2458"/>
      <c r="H2458"/>
    </row>
    <row r="2459" spans="1:8" ht="15">
      <c r="A2459"/>
      <c r="B2459"/>
      <c r="D2459"/>
      <c r="E2459"/>
      <c r="F2459"/>
      <c r="H2459"/>
    </row>
    <row r="2460" spans="1:8" ht="15">
      <c r="A2460"/>
      <c r="B2460"/>
      <c r="D2460"/>
      <c r="E2460"/>
      <c r="F2460"/>
      <c r="H2460"/>
    </row>
    <row r="2461" spans="1:8" ht="15">
      <c r="A2461"/>
      <c r="B2461"/>
      <c r="D2461"/>
      <c r="E2461"/>
      <c r="F2461"/>
      <c r="H2461"/>
    </row>
    <row r="2462" spans="1:8" ht="15">
      <c r="A2462"/>
      <c r="B2462"/>
      <c r="D2462"/>
      <c r="E2462"/>
      <c r="F2462"/>
      <c r="H2462"/>
    </row>
    <row r="2463" spans="1:8" ht="15">
      <c r="A2463"/>
      <c r="B2463"/>
      <c r="D2463"/>
      <c r="E2463"/>
      <c r="F2463"/>
      <c r="H2463"/>
    </row>
    <row r="2464" spans="1:8" ht="15">
      <c r="A2464"/>
      <c r="B2464"/>
      <c r="D2464"/>
      <c r="E2464"/>
      <c r="F2464"/>
      <c r="H2464"/>
    </row>
    <row r="2465" spans="1:8" ht="15">
      <c r="A2465"/>
      <c r="B2465"/>
      <c r="D2465"/>
      <c r="E2465"/>
      <c r="F2465"/>
      <c r="H2465"/>
    </row>
    <row r="2466" spans="1:8" ht="15">
      <c r="A2466"/>
      <c r="B2466"/>
      <c r="D2466"/>
      <c r="E2466"/>
      <c r="F2466"/>
      <c r="H2466"/>
    </row>
    <row r="2467" spans="1:8" ht="15">
      <c r="A2467"/>
      <c r="B2467"/>
      <c r="D2467"/>
      <c r="E2467"/>
      <c r="F2467"/>
      <c r="H2467"/>
    </row>
    <row r="2468" spans="1:8" ht="15">
      <c r="A2468"/>
      <c r="B2468"/>
      <c r="D2468"/>
      <c r="E2468"/>
      <c r="F2468"/>
      <c r="H2468"/>
    </row>
    <row r="2469" spans="1:8" ht="15">
      <c r="A2469"/>
      <c r="B2469"/>
      <c r="D2469"/>
      <c r="E2469"/>
      <c r="F2469"/>
      <c r="H2469"/>
    </row>
    <row r="2470" spans="1:8" ht="15">
      <c r="A2470"/>
      <c r="B2470"/>
      <c r="D2470"/>
      <c r="E2470"/>
      <c r="F2470"/>
      <c r="H2470"/>
    </row>
    <row r="2471" spans="1:8" ht="15">
      <c r="A2471"/>
      <c r="B2471"/>
      <c r="D2471"/>
      <c r="E2471"/>
      <c r="F2471"/>
      <c r="H2471"/>
    </row>
    <row r="2472" spans="1:8" ht="15">
      <c r="A2472"/>
      <c r="B2472"/>
      <c r="D2472"/>
      <c r="E2472"/>
      <c r="F2472"/>
      <c r="H2472"/>
    </row>
    <row r="2473" spans="1:8" ht="15">
      <c r="A2473"/>
      <c r="B2473"/>
      <c r="D2473"/>
      <c r="E2473"/>
      <c r="F2473"/>
      <c r="H2473"/>
    </row>
    <row r="2474" spans="1:8" ht="15">
      <c r="A2474"/>
      <c r="B2474"/>
      <c r="D2474"/>
      <c r="E2474"/>
      <c r="F2474"/>
      <c r="H2474"/>
    </row>
    <row r="2475" spans="1:8" ht="15">
      <c r="A2475"/>
      <c r="B2475"/>
      <c r="D2475"/>
      <c r="E2475"/>
      <c r="F2475"/>
      <c r="H2475"/>
    </row>
    <row r="2476" spans="1:8" ht="15">
      <c r="A2476"/>
      <c r="B2476"/>
      <c r="D2476"/>
      <c r="E2476"/>
      <c r="F2476"/>
      <c r="H2476"/>
    </row>
    <row r="2477" spans="1:8" ht="15">
      <c r="A2477"/>
      <c r="B2477"/>
      <c r="D2477"/>
      <c r="E2477"/>
      <c r="F2477"/>
      <c r="H2477"/>
    </row>
    <row r="2478" spans="1:8" ht="15">
      <c r="A2478"/>
      <c r="B2478"/>
      <c r="D2478"/>
      <c r="E2478"/>
      <c r="F2478"/>
      <c r="H2478"/>
    </row>
    <row r="2479" spans="1:8" ht="15">
      <c r="A2479"/>
      <c r="B2479"/>
      <c r="D2479"/>
      <c r="E2479"/>
      <c r="F2479"/>
      <c r="H2479"/>
    </row>
    <row r="2480" spans="1:8" ht="15">
      <c r="A2480"/>
      <c r="B2480"/>
      <c r="D2480"/>
      <c r="E2480"/>
      <c r="F2480"/>
      <c r="H2480"/>
    </row>
    <row r="2481" spans="1:8" ht="15">
      <c r="A2481"/>
      <c r="B2481"/>
      <c r="D2481"/>
      <c r="E2481"/>
      <c r="F2481"/>
      <c r="H2481"/>
    </row>
    <row r="2482" spans="1:8" ht="15">
      <c r="A2482"/>
      <c r="B2482"/>
      <c r="D2482"/>
      <c r="E2482"/>
      <c r="F2482"/>
      <c r="H2482"/>
    </row>
    <row r="2483" spans="1:8" ht="15">
      <c r="A2483"/>
      <c r="B2483"/>
      <c r="D2483"/>
      <c r="E2483"/>
      <c r="F2483"/>
      <c r="H2483"/>
    </row>
    <row r="2484" spans="1:8" ht="15">
      <c r="A2484"/>
      <c r="B2484"/>
      <c r="D2484"/>
      <c r="E2484"/>
      <c r="F2484"/>
      <c r="H2484"/>
    </row>
    <row r="2485" spans="1:8" ht="15">
      <c r="A2485"/>
      <c r="B2485"/>
      <c r="D2485"/>
      <c r="E2485"/>
      <c r="F2485"/>
      <c r="H2485"/>
    </row>
    <row r="2486" spans="1:8" ht="15">
      <c r="A2486"/>
      <c r="B2486"/>
      <c r="D2486"/>
      <c r="E2486"/>
      <c r="F2486"/>
      <c r="H2486"/>
    </row>
    <row r="2487" spans="1:8" ht="15">
      <c r="A2487"/>
      <c r="B2487"/>
      <c r="D2487"/>
      <c r="E2487"/>
      <c r="F2487"/>
      <c r="H2487"/>
    </row>
    <row r="2488" spans="1:8" ht="15">
      <c r="A2488"/>
      <c r="B2488"/>
      <c r="D2488"/>
      <c r="E2488"/>
      <c r="F2488"/>
      <c r="H2488"/>
    </row>
    <row r="2489" spans="1:8" ht="15">
      <c r="A2489"/>
      <c r="B2489"/>
      <c r="D2489"/>
      <c r="E2489"/>
      <c r="F2489"/>
      <c r="H2489"/>
    </row>
    <row r="2490" spans="1:8" ht="15">
      <c r="A2490"/>
      <c r="B2490"/>
      <c r="D2490"/>
      <c r="E2490"/>
      <c r="F2490"/>
      <c r="H2490"/>
    </row>
    <row r="2491" spans="1:8" ht="15">
      <c r="A2491"/>
      <c r="B2491"/>
      <c r="D2491"/>
      <c r="E2491"/>
      <c r="F2491"/>
      <c r="H2491"/>
    </row>
    <row r="2492" spans="1:8" ht="15">
      <c r="A2492"/>
      <c r="B2492"/>
      <c r="D2492"/>
      <c r="E2492"/>
      <c r="F2492"/>
      <c r="H2492"/>
    </row>
    <row r="2493" spans="1:8" ht="15">
      <c r="A2493"/>
      <c r="B2493"/>
      <c r="D2493"/>
      <c r="E2493"/>
      <c r="F2493"/>
      <c r="H2493"/>
    </row>
    <row r="2494" spans="1:8" ht="15">
      <c r="A2494"/>
      <c r="B2494"/>
      <c r="D2494"/>
      <c r="E2494"/>
      <c r="F2494"/>
      <c r="H2494"/>
    </row>
    <row r="2495" spans="1:8" ht="15">
      <c r="A2495"/>
      <c r="B2495"/>
      <c r="D2495"/>
      <c r="E2495"/>
      <c r="F2495"/>
      <c r="H2495"/>
    </row>
    <row r="2496" spans="1:8" ht="15">
      <c r="A2496"/>
      <c r="B2496"/>
      <c r="D2496"/>
      <c r="E2496"/>
      <c r="F2496"/>
      <c r="H2496"/>
    </row>
    <row r="2497" spans="1:8" ht="15">
      <c r="A2497"/>
      <c r="B2497"/>
      <c r="D2497"/>
      <c r="E2497"/>
      <c r="F2497"/>
      <c r="H2497"/>
    </row>
    <row r="2498" spans="1:8" ht="15">
      <c r="A2498"/>
      <c r="B2498"/>
      <c r="D2498"/>
      <c r="E2498"/>
      <c r="F2498"/>
      <c r="H2498"/>
    </row>
    <row r="2499" spans="1:8" ht="15">
      <c r="A2499"/>
      <c r="B2499"/>
      <c r="D2499"/>
      <c r="E2499"/>
      <c r="F2499"/>
      <c r="H2499"/>
    </row>
    <row r="2500" spans="1:8" ht="15">
      <c r="A2500"/>
      <c r="B2500"/>
      <c r="D2500"/>
      <c r="E2500"/>
      <c r="F2500"/>
      <c r="H2500"/>
    </row>
    <row r="2501" spans="1:8" ht="15">
      <c r="A2501"/>
      <c r="B2501"/>
      <c r="D2501"/>
      <c r="E2501"/>
      <c r="F2501"/>
      <c r="H2501"/>
    </row>
    <row r="2502" spans="1:8" ht="15">
      <c r="A2502"/>
      <c r="B2502"/>
      <c r="D2502"/>
      <c r="E2502"/>
      <c r="F2502"/>
      <c r="H2502"/>
    </row>
    <row r="2503" spans="1:8" ht="15">
      <c r="A2503"/>
      <c r="B2503"/>
      <c r="D2503"/>
      <c r="E2503"/>
      <c r="F2503"/>
      <c r="H2503"/>
    </row>
    <row r="2504" spans="1:8" ht="15">
      <c r="A2504"/>
      <c r="B2504"/>
      <c r="D2504"/>
      <c r="E2504"/>
      <c r="F2504"/>
      <c r="H2504"/>
    </row>
    <row r="2505" spans="1:8" ht="15">
      <c r="A2505"/>
      <c r="B2505"/>
      <c r="D2505"/>
      <c r="E2505"/>
      <c r="F2505"/>
      <c r="H2505"/>
    </row>
    <row r="2506" spans="1:8" ht="15">
      <c r="A2506"/>
      <c r="B2506"/>
      <c r="D2506"/>
      <c r="E2506"/>
      <c r="F2506"/>
      <c r="H2506"/>
    </row>
    <row r="2507" spans="1:8" ht="15">
      <c r="A2507"/>
      <c r="B2507"/>
      <c r="D2507"/>
      <c r="E2507"/>
      <c r="F2507"/>
      <c r="H2507"/>
    </row>
    <row r="2508" spans="1:8" ht="15">
      <c r="A2508"/>
      <c r="B2508"/>
      <c r="D2508"/>
      <c r="E2508"/>
      <c r="F2508"/>
      <c r="H2508"/>
    </row>
    <row r="2509" spans="1:8" ht="15">
      <c r="A2509"/>
      <c r="B2509"/>
      <c r="D2509"/>
      <c r="E2509"/>
      <c r="F2509"/>
      <c r="H2509"/>
    </row>
    <row r="2510" spans="1:8" ht="15">
      <c r="A2510"/>
      <c r="B2510"/>
      <c r="D2510"/>
      <c r="E2510"/>
      <c r="F2510"/>
      <c r="H2510"/>
    </row>
    <row r="2511" spans="1:8" ht="15">
      <c r="A2511"/>
      <c r="B2511"/>
      <c r="D2511"/>
      <c r="E2511"/>
      <c r="F2511"/>
      <c r="H2511"/>
    </row>
    <row r="2512" spans="1:8" ht="15">
      <c r="A2512"/>
      <c r="B2512"/>
      <c r="D2512"/>
      <c r="E2512"/>
      <c r="F2512"/>
      <c r="H2512"/>
    </row>
    <row r="2513" spans="1:8" ht="15">
      <c r="A2513"/>
      <c r="B2513"/>
      <c r="D2513"/>
      <c r="E2513"/>
      <c r="F2513"/>
      <c r="H2513"/>
    </row>
    <row r="2514" spans="1:8" ht="15">
      <c r="A2514"/>
      <c r="B2514"/>
      <c r="D2514"/>
      <c r="E2514"/>
      <c r="F2514"/>
      <c r="H2514"/>
    </row>
    <row r="2515" spans="1:8" ht="15">
      <c r="A2515"/>
      <c r="B2515"/>
      <c r="D2515"/>
      <c r="E2515"/>
      <c r="F2515"/>
      <c r="H2515"/>
    </row>
    <row r="2516" spans="1:8" ht="15">
      <c r="A2516"/>
      <c r="B2516"/>
      <c r="D2516"/>
      <c r="E2516"/>
      <c r="F2516"/>
      <c r="H2516"/>
    </row>
    <row r="2517" spans="1:8" ht="15">
      <c r="A2517"/>
      <c r="B2517"/>
      <c r="D2517"/>
      <c r="E2517"/>
      <c r="F2517"/>
      <c r="H2517"/>
    </row>
    <row r="2518" spans="1:8" ht="15">
      <c r="A2518"/>
      <c r="B2518"/>
      <c r="D2518"/>
      <c r="E2518"/>
      <c r="F2518"/>
      <c r="H2518"/>
    </row>
    <row r="2519" spans="1:8" ht="15">
      <c r="A2519"/>
      <c r="B2519"/>
      <c r="D2519"/>
      <c r="E2519"/>
      <c r="F2519"/>
      <c r="H2519"/>
    </row>
    <row r="2520" spans="1:8" ht="15">
      <c r="A2520"/>
      <c r="B2520"/>
      <c r="D2520"/>
      <c r="E2520"/>
      <c r="F2520"/>
      <c r="H2520"/>
    </row>
    <row r="2521" spans="1:8" ht="15">
      <c r="A2521"/>
      <c r="B2521"/>
      <c r="D2521"/>
      <c r="E2521"/>
      <c r="F2521"/>
      <c r="H2521"/>
    </row>
    <row r="2522" spans="1:8" ht="15">
      <c r="A2522"/>
      <c r="B2522"/>
      <c r="D2522"/>
      <c r="E2522"/>
      <c r="F2522"/>
      <c r="H2522"/>
    </row>
    <row r="2523" spans="1:8" ht="15">
      <c r="A2523"/>
      <c r="B2523"/>
      <c r="D2523"/>
      <c r="E2523"/>
      <c r="F2523"/>
      <c r="H2523"/>
    </row>
    <row r="2524" spans="1:8" ht="15">
      <c r="A2524"/>
      <c r="B2524"/>
      <c r="D2524"/>
      <c r="E2524"/>
      <c r="F2524"/>
      <c r="H2524"/>
    </row>
    <row r="2525" spans="1:8" ht="15">
      <c r="A2525"/>
      <c r="B2525"/>
      <c r="D2525"/>
      <c r="E2525"/>
      <c r="F2525"/>
      <c r="H2525"/>
    </row>
    <row r="2526" spans="1:8" ht="15">
      <c r="A2526"/>
      <c r="B2526"/>
      <c r="D2526"/>
      <c r="E2526"/>
      <c r="F2526"/>
      <c r="H2526"/>
    </row>
    <row r="2527" spans="1:8" ht="15">
      <c r="A2527"/>
      <c r="B2527"/>
      <c r="D2527"/>
      <c r="E2527"/>
      <c r="F2527"/>
      <c r="H2527"/>
    </row>
    <row r="2528" spans="1:8" ht="15">
      <c r="A2528"/>
      <c r="B2528"/>
      <c r="D2528"/>
      <c r="E2528"/>
      <c r="F2528"/>
      <c r="H2528"/>
    </row>
    <row r="2529" spans="1:8" ht="15">
      <c r="A2529"/>
      <c r="B2529"/>
      <c r="D2529"/>
      <c r="E2529"/>
      <c r="F2529"/>
      <c r="H2529"/>
    </row>
    <row r="2530" spans="1:8" ht="15">
      <c r="A2530"/>
      <c r="B2530"/>
      <c r="D2530"/>
      <c r="E2530"/>
      <c r="F2530"/>
      <c r="H2530"/>
    </row>
    <row r="2531" spans="1:8" ht="15">
      <c r="A2531"/>
      <c r="B2531"/>
      <c r="D2531"/>
      <c r="E2531"/>
      <c r="F2531"/>
      <c r="H2531"/>
    </row>
    <row r="2532" spans="1:8" ht="15">
      <c r="A2532"/>
      <c r="B2532"/>
      <c r="D2532"/>
      <c r="E2532"/>
      <c r="F2532"/>
      <c r="H2532"/>
    </row>
    <row r="2533" spans="1:8" ht="15">
      <c r="A2533"/>
      <c r="B2533"/>
      <c r="D2533"/>
      <c r="E2533"/>
      <c r="F2533"/>
      <c r="H2533"/>
    </row>
    <row r="2534" spans="1:8" ht="15">
      <c r="A2534"/>
      <c r="B2534"/>
      <c r="D2534"/>
      <c r="E2534"/>
      <c r="F2534"/>
      <c r="H2534"/>
    </row>
    <row r="2535" spans="1:8" ht="15">
      <c r="A2535"/>
      <c r="B2535"/>
      <c r="D2535"/>
      <c r="E2535"/>
      <c r="F2535"/>
      <c r="H2535"/>
    </row>
    <row r="2536" spans="1:8" ht="15">
      <c r="A2536"/>
      <c r="B2536"/>
      <c r="D2536"/>
      <c r="E2536"/>
      <c r="F2536"/>
      <c r="H2536"/>
    </row>
    <row r="2537" spans="1:8" ht="15">
      <c r="A2537"/>
      <c r="B2537"/>
      <c r="D2537"/>
      <c r="E2537"/>
      <c r="F2537"/>
      <c r="H2537"/>
    </row>
    <row r="2538" spans="1:8" ht="15">
      <c r="A2538"/>
      <c r="B2538"/>
      <c r="D2538"/>
      <c r="E2538"/>
      <c r="F2538"/>
      <c r="H2538"/>
    </row>
    <row r="2539" spans="1:8" ht="15">
      <c r="A2539"/>
      <c r="B2539"/>
      <c r="D2539"/>
      <c r="E2539"/>
      <c r="F2539"/>
      <c r="H2539"/>
    </row>
    <row r="2540" spans="1:8" ht="15">
      <c r="A2540"/>
      <c r="B2540"/>
      <c r="D2540"/>
      <c r="E2540"/>
      <c r="F2540"/>
      <c r="H2540"/>
    </row>
    <row r="2541" spans="1:8" ht="15">
      <c r="A2541"/>
      <c r="B2541"/>
      <c r="D2541"/>
      <c r="E2541"/>
      <c r="F2541"/>
      <c r="H2541"/>
    </row>
    <row r="2542" spans="1:8" ht="15">
      <c r="A2542"/>
      <c r="B2542"/>
      <c r="D2542"/>
      <c r="E2542"/>
      <c r="F2542"/>
      <c r="H2542"/>
    </row>
    <row r="2543" spans="1:8" ht="15">
      <c r="A2543"/>
      <c r="B2543"/>
      <c r="D2543"/>
      <c r="E2543"/>
      <c r="F2543"/>
      <c r="H2543"/>
    </row>
    <row r="2544" spans="1:8" ht="15">
      <c r="A2544"/>
      <c r="B2544"/>
      <c r="D2544"/>
      <c r="E2544"/>
      <c r="F2544"/>
      <c r="H2544"/>
    </row>
    <row r="2545" spans="1:8" ht="15">
      <c r="A2545"/>
      <c r="B2545"/>
      <c r="D2545"/>
      <c r="E2545"/>
      <c r="F2545"/>
      <c r="H2545"/>
    </row>
    <row r="2546" spans="1:8" ht="15">
      <c r="A2546"/>
      <c r="B2546"/>
      <c r="D2546"/>
      <c r="E2546"/>
      <c r="F2546"/>
      <c r="H2546"/>
    </row>
    <row r="2547" spans="1:8" ht="15">
      <c r="A2547"/>
      <c r="B2547"/>
      <c r="D2547"/>
      <c r="E2547"/>
      <c r="F2547"/>
      <c r="H2547"/>
    </row>
    <row r="2548" spans="1:8" ht="15">
      <c r="A2548"/>
      <c r="B2548"/>
      <c r="D2548"/>
      <c r="E2548"/>
      <c r="F2548"/>
      <c r="H2548"/>
    </row>
    <row r="2549" spans="1:8" ht="15">
      <c r="A2549"/>
      <c r="B2549"/>
      <c r="D2549"/>
      <c r="E2549"/>
      <c r="F2549"/>
      <c r="H2549"/>
    </row>
    <row r="2550" spans="1:8" ht="15">
      <c r="A2550"/>
      <c r="B2550"/>
      <c r="D2550"/>
      <c r="E2550"/>
      <c r="F2550"/>
      <c r="H2550"/>
    </row>
    <row r="2551" spans="1:8" ht="15">
      <c r="A2551"/>
      <c r="B2551"/>
      <c r="D2551"/>
      <c r="E2551"/>
      <c r="F2551"/>
      <c r="H2551"/>
    </row>
    <row r="2552" spans="1:8" ht="15">
      <c r="A2552"/>
      <c r="B2552"/>
      <c r="D2552"/>
      <c r="E2552"/>
      <c r="F2552"/>
      <c r="H2552"/>
    </row>
    <row r="2553" spans="1:8" ht="15">
      <c r="A2553"/>
      <c r="B2553"/>
      <c r="D2553"/>
      <c r="E2553"/>
      <c r="F2553"/>
      <c r="H2553"/>
    </row>
    <row r="2554" spans="1:8" ht="15">
      <c r="A2554"/>
      <c r="B2554"/>
      <c r="D2554"/>
      <c r="E2554"/>
      <c r="F2554"/>
      <c r="H2554"/>
    </row>
    <row r="2555" spans="1:8" ht="15">
      <c r="A2555"/>
      <c r="B2555"/>
      <c r="D2555"/>
      <c r="E2555"/>
      <c r="F2555"/>
      <c r="H2555"/>
    </row>
    <row r="2556" spans="1:8" ht="15">
      <c r="A2556"/>
      <c r="B2556"/>
      <c r="D2556"/>
      <c r="E2556"/>
      <c r="F2556"/>
      <c r="H2556"/>
    </row>
    <row r="2557" spans="1:8" ht="15">
      <c r="A2557"/>
      <c r="B2557"/>
      <c r="D2557"/>
      <c r="E2557"/>
      <c r="F2557"/>
      <c r="H2557"/>
    </row>
    <row r="2558" spans="1:8" ht="15">
      <c r="A2558"/>
      <c r="B2558"/>
      <c r="D2558"/>
      <c r="E2558"/>
      <c r="F2558"/>
      <c r="H2558"/>
    </row>
    <row r="2559" spans="1:8" ht="15">
      <c r="A2559"/>
      <c r="B2559"/>
      <c r="D2559"/>
      <c r="E2559"/>
      <c r="F2559"/>
      <c r="H2559"/>
    </row>
    <row r="2560" spans="1:8" ht="15">
      <c r="A2560"/>
      <c r="B2560"/>
      <c r="D2560"/>
      <c r="E2560"/>
      <c r="F2560"/>
      <c r="H2560"/>
    </row>
    <row r="2561" spans="1:8" ht="15">
      <c r="A2561"/>
      <c r="B2561"/>
      <c r="D2561"/>
      <c r="E2561"/>
      <c r="F2561"/>
      <c r="H2561"/>
    </row>
    <row r="2562" spans="1:8" ht="15">
      <c r="A2562"/>
      <c r="B2562"/>
      <c r="D2562"/>
      <c r="E2562"/>
      <c r="F2562"/>
      <c r="H2562"/>
    </row>
    <row r="2563" spans="1:8" ht="15">
      <c r="A2563"/>
      <c r="B2563"/>
      <c r="D2563"/>
      <c r="E2563"/>
      <c r="F2563"/>
      <c r="H2563"/>
    </row>
    <row r="2564" spans="1:8" ht="15">
      <c r="A2564"/>
      <c r="B2564"/>
      <c r="D2564"/>
      <c r="E2564"/>
      <c r="F2564"/>
      <c r="H2564"/>
    </row>
    <row r="2565" spans="1:8" ht="15">
      <c r="A2565"/>
      <c r="B2565"/>
      <c r="D2565"/>
      <c r="E2565"/>
      <c r="F2565"/>
      <c r="H2565"/>
    </row>
    <row r="2566" spans="1:8" ht="15">
      <c r="A2566"/>
      <c r="B2566"/>
      <c r="D2566"/>
      <c r="E2566"/>
      <c r="F2566"/>
      <c r="H2566"/>
    </row>
    <row r="2567" spans="1:8" ht="15">
      <c r="A2567"/>
      <c r="B2567"/>
      <c r="D2567"/>
      <c r="E2567"/>
      <c r="F2567"/>
      <c r="H2567"/>
    </row>
    <row r="2568" spans="1:8" ht="15">
      <c r="A2568"/>
      <c r="B2568"/>
      <c r="D2568"/>
      <c r="E2568"/>
      <c r="F2568"/>
      <c r="H2568"/>
    </row>
    <row r="2569" spans="1:8" ht="15">
      <c r="A2569"/>
      <c r="B2569"/>
      <c r="D2569"/>
      <c r="E2569"/>
      <c r="F2569"/>
      <c r="H2569"/>
    </row>
    <row r="2570" spans="1:8" ht="15">
      <c r="A2570"/>
      <c r="B2570"/>
      <c r="D2570"/>
      <c r="E2570"/>
      <c r="F2570"/>
      <c r="H2570"/>
    </row>
    <row r="2571" spans="1:8" ht="15">
      <c r="A2571"/>
      <c r="B2571"/>
      <c r="D2571"/>
      <c r="E2571"/>
      <c r="F2571"/>
      <c r="H2571"/>
    </row>
    <row r="2572" spans="1:8" ht="15">
      <c r="A2572"/>
      <c r="B2572"/>
      <c r="D2572"/>
      <c r="E2572"/>
      <c r="F2572"/>
      <c r="H2572"/>
    </row>
    <row r="2573" spans="1:8" ht="15">
      <c r="A2573"/>
      <c r="B2573"/>
      <c r="D2573"/>
      <c r="E2573"/>
      <c r="F2573"/>
      <c r="H2573"/>
    </row>
    <row r="2574" spans="1:8" ht="15">
      <c r="A2574"/>
      <c r="B2574"/>
      <c r="D2574"/>
      <c r="E2574"/>
      <c r="F2574"/>
      <c r="H2574"/>
    </row>
    <row r="2575" spans="1:8" ht="15">
      <c r="A2575"/>
      <c r="B2575"/>
      <c r="D2575"/>
      <c r="E2575"/>
      <c r="F2575"/>
      <c r="H2575"/>
    </row>
    <row r="2576" spans="1:8" ht="15">
      <c r="A2576"/>
      <c r="B2576"/>
      <c r="D2576"/>
      <c r="E2576"/>
      <c r="F2576"/>
      <c r="H2576"/>
    </row>
    <row r="2577" spans="1:8" ht="15">
      <c r="A2577"/>
      <c r="B2577"/>
      <c r="D2577"/>
      <c r="E2577"/>
      <c r="F2577"/>
      <c r="H2577"/>
    </row>
    <row r="2578" spans="1:8" ht="15">
      <c r="A2578"/>
      <c r="B2578"/>
      <c r="D2578"/>
      <c r="E2578"/>
      <c r="F2578"/>
      <c r="H2578"/>
    </row>
    <row r="2579" spans="1:8" ht="15">
      <c r="A2579"/>
      <c r="B2579"/>
      <c r="D2579"/>
      <c r="E2579"/>
      <c r="F2579"/>
      <c r="H2579"/>
    </row>
    <row r="2580" spans="1:8" ht="15">
      <c r="A2580"/>
      <c r="B2580"/>
      <c r="D2580"/>
      <c r="E2580"/>
      <c r="F2580"/>
      <c r="H2580"/>
    </row>
    <row r="2581" spans="1:8" ht="15">
      <c r="A2581"/>
      <c r="B2581"/>
      <c r="D2581"/>
      <c r="E2581"/>
      <c r="F2581"/>
      <c r="H2581"/>
    </row>
    <row r="2582" spans="1:8" ht="15">
      <c r="A2582"/>
      <c r="B2582"/>
      <c r="D2582"/>
      <c r="E2582"/>
      <c r="F2582"/>
      <c r="H2582"/>
    </row>
    <row r="2583" spans="1:8" ht="15">
      <c r="A2583"/>
      <c r="B2583"/>
      <c r="D2583"/>
      <c r="E2583"/>
      <c r="F2583"/>
      <c r="H2583"/>
    </row>
    <row r="2584" spans="1:8" ht="15">
      <c r="A2584"/>
      <c r="B2584"/>
      <c r="D2584"/>
      <c r="E2584"/>
      <c r="F2584"/>
      <c r="H2584"/>
    </row>
    <row r="2585" spans="1:8" ht="15">
      <c r="A2585"/>
      <c r="B2585"/>
      <c r="D2585"/>
      <c r="E2585"/>
      <c r="F2585"/>
      <c r="H2585"/>
    </row>
    <row r="2586" spans="1:8" ht="15">
      <c r="A2586"/>
      <c r="B2586"/>
      <c r="D2586"/>
      <c r="E2586"/>
      <c r="F2586"/>
      <c r="H2586"/>
    </row>
    <row r="2587" spans="1:8" ht="15">
      <c r="A2587"/>
      <c r="B2587"/>
      <c r="D2587"/>
      <c r="E2587"/>
      <c r="F2587"/>
      <c r="H2587"/>
    </row>
    <row r="2588" spans="1:8" ht="15">
      <c r="A2588"/>
      <c r="B2588"/>
      <c r="D2588"/>
      <c r="E2588"/>
      <c r="F2588"/>
      <c r="H2588"/>
    </row>
    <row r="2589" spans="1:8" ht="15">
      <c r="A2589"/>
      <c r="B2589"/>
      <c r="D2589"/>
      <c r="E2589"/>
      <c r="F2589"/>
      <c r="H2589"/>
    </row>
    <row r="2590" spans="1:8" ht="15">
      <c r="A2590"/>
      <c r="B2590"/>
      <c r="D2590"/>
      <c r="E2590"/>
      <c r="F2590"/>
      <c r="H2590"/>
    </row>
    <row r="2591" spans="1:8" ht="15">
      <c r="A2591"/>
      <c r="B2591"/>
      <c r="D2591"/>
      <c r="E2591"/>
      <c r="F2591"/>
      <c r="H2591"/>
    </row>
    <row r="2592" spans="1:8" ht="15">
      <c r="A2592"/>
      <c r="B2592"/>
      <c r="D2592"/>
      <c r="E2592"/>
      <c r="F2592"/>
      <c r="H2592"/>
    </row>
    <row r="2593" spans="1:8" ht="15">
      <c r="A2593"/>
      <c r="B2593"/>
      <c r="D2593"/>
      <c r="E2593"/>
      <c r="F2593"/>
      <c r="H2593"/>
    </row>
    <row r="2594" spans="1:8" ht="15">
      <c r="A2594"/>
      <c r="B2594"/>
      <c r="D2594"/>
      <c r="E2594"/>
      <c r="F2594"/>
      <c r="H2594"/>
    </row>
    <row r="2595" spans="1:8" ht="15">
      <c r="A2595"/>
      <c r="B2595"/>
      <c r="D2595"/>
      <c r="E2595"/>
      <c r="F2595"/>
      <c r="H2595"/>
    </row>
    <row r="2596" spans="1:8" ht="15">
      <c r="A2596"/>
      <c r="B2596"/>
      <c r="D2596"/>
      <c r="E2596"/>
      <c r="F2596"/>
      <c r="H2596"/>
    </row>
    <row r="2597" spans="1:8" ht="15">
      <c r="A2597"/>
      <c r="B2597"/>
      <c r="D2597"/>
      <c r="E2597"/>
      <c r="F2597"/>
      <c r="H2597"/>
    </row>
    <row r="2598" spans="1:8" ht="15">
      <c r="A2598"/>
      <c r="B2598"/>
      <c r="D2598"/>
      <c r="E2598"/>
      <c r="F2598"/>
      <c r="H2598"/>
    </row>
    <row r="2599" spans="1:8" ht="15">
      <c r="A2599"/>
      <c r="B2599"/>
      <c r="D2599"/>
      <c r="E2599"/>
      <c r="F2599"/>
      <c r="H2599"/>
    </row>
    <row r="2600" spans="1:8" ht="15">
      <c r="A2600"/>
      <c r="B2600"/>
      <c r="D2600"/>
      <c r="E2600"/>
      <c r="F2600"/>
      <c r="H2600"/>
    </row>
    <row r="2601" spans="1:8" ht="15">
      <c r="A2601"/>
      <c r="B2601"/>
      <c r="D2601"/>
      <c r="E2601"/>
      <c r="F2601"/>
      <c r="H2601"/>
    </row>
    <row r="2602" spans="1:8" ht="15">
      <c r="A2602"/>
      <c r="B2602"/>
      <c r="D2602"/>
      <c r="E2602"/>
      <c r="F2602"/>
      <c r="H2602"/>
    </row>
    <row r="2603" spans="1:8" ht="15">
      <c r="A2603"/>
      <c r="B2603"/>
      <c r="D2603"/>
      <c r="E2603"/>
      <c r="F2603"/>
      <c r="H2603"/>
    </row>
    <row r="2604" spans="1:8" ht="15">
      <c r="A2604"/>
      <c r="B2604"/>
      <c r="D2604"/>
      <c r="E2604"/>
      <c r="F2604"/>
      <c r="H2604"/>
    </row>
    <row r="2605" spans="1:8" ht="15">
      <c r="A2605"/>
      <c r="B2605"/>
      <c r="D2605"/>
      <c r="E2605"/>
      <c r="F2605"/>
      <c r="H2605"/>
    </row>
    <row r="2606" spans="1:8" ht="15">
      <c r="A2606"/>
      <c r="B2606"/>
      <c r="D2606"/>
      <c r="E2606"/>
      <c r="F2606"/>
      <c r="H2606"/>
    </row>
    <row r="2607" spans="1:8" ht="15">
      <c r="A2607"/>
      <c r="B2607"/>
      <c r="D2607"/>
      <c r="E2607"/>
      <c r="F2607"/>
      <c r="H2607"/>
    </row>
    <row r="2608" spans="1:8" ht="15">
      <c r="A2608"/>
      <c r="B2608"/>
      <c r="D2608"/>
      <c r="E2608"/>
      <c r="F2608"/>
      <c r="H2608"/>
    </row>
    <row r="2609" spans="1:8" ht="15">
      <c r="A2609"/>
      <c r="B2609"/>
      <c r="D2609"/>
      <c r="E2609"/>
      <c r="F2609"/>
      <c r="H2609"/>
    </row>
    <row r="2610" spans="1:8" ht="15">
      <c r="A2610"/>
      <c r="B2610"/>
      <c r="D2610"/>
      <c r="E2610"/>
      <c r="F2610"/>
      <c r="H2610"/>
    </row>
    <row r="2611" spans="1:8" ht="15">
      <c r="A2611"/>
      <c r="B2611"/>
      <c r="D2611"/>
      <c r="E2611"/>
      <c r="F2611"/>
      <c r="H2611"/>
    </row>
    <row r="2612" spans="1:8" ht="15">
      <c r="A2612"/>
      <c r="B2612"/>
      <c r="D2612"/>
      <c r="E2612"/>
      <c r="F2612"/>
      <c r="H2612"/>
    </row>
    <row r="2613" spans="1:8" ht="15">
      <c r="A2613"/>
      <c r="B2613"/>
      <c r="D2613"/>
      <c r="E2613"/>
      <c r="F2613"/>
      <c r="H2613"/>
    </row>
    <row r="2614" spans="1:8" ht="15">
      <c r="A2614"/>
      <c r="B2614"/>
      <c r="D2614"/>
      <c r="E2614"/>
      <c r="F2614"/>
      <c r="H2614"/>
    </row>
    <row r="2615" spans="1:8" ht="15">
      <c r="A2615"/>
      <c r="B2615"/>
      <c r="D2615"/>
      <c r="E2615"/>
      <c r="F2615"/>
      <c r="H2615"/>
    </row>
    <row r="2616" spans="1:8" ht="15">
      <c r="A2616"/>
      <c r="B2616"/>
      <c r="D2616"/>
      <c r="E2616"/>
      <c r="F2616"/>
      <c r="H2616"/>
    </row>
    <row r="2617" spans="1:8" ht="15">
      <c r="A2617"/>
      <c r="B2617"/>
      <c r="D2617"/>
      <c r="E2617"/>
      <c r="F2617"/>
      <c r="H2617"/>
    </row>
    <row r="2618" spans="1:8" ht="15">
      <c r="A2618"/>
      <c r="B2618"/>
      <c r="D2618"/>
      <c r="E2618"/>
      <c r="F2618"/>
      <c r="H2618"/>
    </row>
    <row r="2619" spans="1:8" ht="15">
      <c r="A2619"/>
      <c r="B2619"/>
      <c r="D2619"/>
      <c r="E2619"/>
      <c r="F2619"/>
      <c r="H2619"/>
    </row>
    <row r="2620" spans="1:8" ht="15">
      <c r="A2620"/>
      <c r="B2620"/>
      <c r="D2620"/>
      <c r="E2620"/>
      <c r="F2620"/>
      <c r="H2620"/>
    </row>
    <row r="2621" spans="1:8" ht="15">
      <c r="A2621"/>
      <c r="B2621"/>
      <c r="D2621"/>
      <c r="E2621"/>
      <c r="F2621"/>
      <c r="H2621"/>
    </row>
    <row r="2622" spans="1:8" ht="15">
      <c r="A2622"/>
      <c r="B2622"/>
      <c r="D2622"/>
      <c r="E2622"/>
      <c r="F2622"/>
      <c r="H2622"/>
    </row>
    <row r="2623" spans="1:8" ht="15">
      <c r="A2623"/>
      <c r="B2623"/>
      <c r="D2623"/>
      <c r="E2623"/>
      <c r="F2623"/>
      <c r="H2623"/>
    </row>
    <row r="2624" spans="1:8" ht="15">
      <c r="A2624"/>
      <c r="B2624"/>
      <c r="D2624"/>
      <c r="E2624"/>
      <c r="F2624"/>
      <c r="H2624"/>
    </row>
    <row r="2625" spans="1:8" ht="15">
      <c r="A2625"/>
      <c r="B2625"/>
      <c r="D2625"/>
      <c r="E2625"/>
      <c r="F2625"/>
      <c r="H2625"/>
    </row>
    <row r="2626" spans="1:8" ht="15">
      <c r="A2626"/>
      <c r="B2626"/>
      <c r="D2626"/>
      <c r="E2626"/>
      <c r="F2626"/>
      <c r="H2626"/>
    </row>
    <row r="2627" spans="1:8" ht="15">
      <c r="A2627"/>
      <c r="B2627"/>
      <c r="D2627"/>
      <c r="E2627"/>
      <c r="F2627"/>
      <c r="H2627"/>
    </row>
    <row r="2628" spans="1:8" ht="15">
      <c r="A2628"/>
      <c r="B2628"/>
      <c r="D2628"/>
      <c r="E2628"/>
      <c r="F2628"/>
      <c r="H2628"/>
    </row>
    <row r="2629" spans="1:8" ht="15">
      <c r="A2629"/>
      <c r="B2629"/>
      <c r="D2629"/>
      <c r="E2629"/>
      <c r="F2629"/>
      <c r="H2629"/>
    </row>
    <row r="2630" spans="1:8" ht="15">
      <c r="A2630"/>
      <c r="B2630"/>
      <c r="D2630"/>
      <c r="E2630"/>
      <c r="F2630"/>
      <c r="H2630"/>
    </row>
    <row r="2631" spans="1:8" ht="15">
      <c r="A2631"/>
      <c r="B2631"/>
      <c r="D2631"/>
      <c r="E2631"/>
      <c r="F2631"/>
      <c r="H2631"/>
    </row>
    <row r="2632" spans="1:8" ht="15">
      <c r="A2632"/>
      <c r="B2632"/>
      <c r="D2632"/>
      <c r="E2632"/>
      <c r="F2632"/>
      <c r="H2632"/>
    </row>
    <row r="2633" spans="1:8" ht="15">
      <c r="A2633"/>
      <c r="B2633"/>
      <c r="D2633"/>
      <c r="E2633"/>
      <c r="F2633"/>
      <c r="H2633"/>
    </row>
    <row r="2634" spans="1:8" ht="15">
      <c r="A2634"/>
      <c r="B2634"/>
      <c r="D2634"/>
      <c r="E2634"/>
      <c r="F2634"/>
      <c r="H2634"/>
    </row>
    <row r="2635" spans="1:8" ht="15">
      <c r="A2635"/>
      <c r="B2635"/>
      <c r="D2635"/>
      <c r="E2635"/>
      <c r="F2635"/>
      <c r="H2635"/>
    </row>
    <row r="2636" spans="1:8" ht="15">
      <c r="A2636"/>
      <c r="B2636"/>
      <c r="D2636"/>
      <c r="E2636"/>
      <c r="F2636"/>
      <c r="H2636"/>
    </row>
    <row r="2637" spans="1:8" ht="15">
      <c r="A2637"/>
      <c r="B2637"/>
      <c r="D2637"/>
      <c r="E2637"/>
      <c r="F2637"/>
      <c r="H2637"/>
    </row>
    <row r="2638" spans="1:8" ht="15">
      <c r="A2638"/>
      <c r="B2638"/>
      <c r="D2638"/>
      <c r="E2638"/>
      <c r="F2638"/>
      <c r="H2638"/>
    </row>
    <row r="2639" spans="1:8" ht="15">
      <c r="A2639"/>
      <c r="B2639"/>
      <c r="D2639"/>
      <c r="E2639"/>
      <c r="F2639"/>
      <c r="H2639"/>
    </row>
    <row r="2640" spans="1:8" ht="15">
      <c r="A2640"/>
      <c r="B2640"/>
      <c r="D2640"/>
      <c r="E2640"/>
      <c r="F2640"/>
      <c r="H2640"/>
    </row>
    <row r="2641" spans="1:8" ht="15">
      <c r="A2641"/>
      <c r="B2641"/>
      <c r="D2641"/>
      <c r="E2641"/>
      <c r="F2641"/>
      <c r="H2641"/>
    </row>
    <row r="2642" spans="1:8" ht="15">
      <c r="A2642"/>
      <c r="B2642"/>
      <c r="D2642"/>
      <c r="E2642"/>
      <c r="F2642"/>
      <c r="H2642"/>
    </row>
    <row r="2643" spans="1:8" ht="15">
      <c r="A2643"/>
      <c r="B2643"/>
      <c r="D2643"/>
      <c r="E2643"/>
      <c r="F2643"/>
      <c r="H2643"/>
    </row>
    <row r="2644" spans="1:8" ht="15">
      <c r="A2644"/>
      <c r="B2644"/>
      <c r="D2644"/>
      <c r="E2644"/>
      <c r="F2644"/>
      <c r="H2644"/>
    </row>
    <row r="2645" spans="1:8" ht="15">
      <c r="A2645"/>
      <c r="B2645"/>
      <c r="D2645"/>
      <c r="E2645"/>
      <c r="F2645"/>
      <c r="H2645"/>
    </row>
    <row r="2646" spans="1:8" ht="15">
      <c r="A2646"/>
      <c r="B2646"/>
      <c r="D2646"/>
      <c r="E2646"/>
      <c r="F2646"/>
      <c r="H2646"/>
    </row>
    <row r="2647" spans="1:8" ht="15">
      <c r="A2647"/>
      <c r="B2647"/>
      <c r="D2647"/>
      <c r="E2647"/>
      <c r="F2647"/>
      <c r="H2647"/>
    </row>
    <row r="2648" spans="1:8" ht="15">
      <c r="A2648"/>
      <c r="B2648"/>
      <c r="D2648"/>
      <c r="E2648"/>
      <c r="F2648"/>
      <c r="H2648"/>
    </row>
    <row r="2649" spans="1:8" ht="15">
      <c r="A2649"/>
      <c r="B2649"/>
      <c r="D2649"/>
      <c r="E2649"/>
      <c r="F2649"/>
      <c r="H2649"/>
    </row>
    <row r="2650" spans="1:8" ht="15">
      <c r="A2650"/>
      <c r="B2650"/>
      <c r="D2650"/>
      <c r="E2650"/>
      <c r="F2650"/>
      <c r="H2650"/>
    </row>
    <row r="2651" spans="1:8" ht="15">
      <c r="A2651"/>
      <c r="B2651"/>
      <c r="D2651"/>
      <c r="E2651"/>
      <c r="F2651"/>
      <c r="H2651"/>
    </row>
    <row r="2652" spans="1:8" ht="15">
      <c r="A2652"/>
      <c r="B2652"/>
      <c r="D2652"/>
      <c r="E2652"/>
      <c r="F2652"/>
      <c r="H2652"/>
    </row>
    <row r="2653" spans="1:8" ht="15">
      <c r="A2653"/>
      <c r="B2653"/>
      <c r="D2653"/>
      <c r="E2653"/>
      <c r="F2653"/>
      <c r="H2653"/>
    </row>
    <row r="2654" spans="1:8" ht="15">
      <c r="A2654"/>
      <c r="B2654"/>
      <c r="D2654"/>
      <c r="E2654"/>
      <c r="F2654"/>
      <c r="H2654"/>
    </row>
    <row r="2655" spans="1:8" ht="15">
      <c r="A2655"/>
      <c r="B2655"/>
      <c r="D2655"/>
      <c r="E2655"/>
      <c r="F2655"/>
      <c r="H2655"/>
    </row>
    <row r="2656" spans="1:8" ht="15">
      <c r="A2656"/>
      <c r="B2656"/>
      <c r="D2656"/>
      <c r="E2656"/>
      <c r="F2656"/>
      <c r="H2656"/>
    </row>
    <row r="2657" spans="1:8" ht="15">
      <c r="A2657"/>
      <c r="B2657"/>
      <c r="D2657"/>
      <c r="E2657"/>
      <c r="F2657"/>
      <c r="H2657"/>
    </row>
    <row r="2658" spans="1:8" ht="15">
      <c r="A2658"/>
      <c r="B2658"/>
      <c r="D2658"/>
      <c r="E2658"/>
      <c r="F2658"/>
      <c r="H2658"/>
    </row>
    <row r="2659" spans="1:8" ht="15">
      <c r="A2659"/>
      <c r="B2659"/>
      <c r="D2659"/>
      <c r="E2659"/>
      <c r="F2659"/>
      <c r="H2659"/>
    </row>
    <row r="2660" spans="1:8" ht="15">
      <c r="A2660"/>
      <c r="B2660"/>
      <c r="D2660"/>
      <c r="E2660"/>
      <c r="F2660"/>
      <c r="H2660"/>
    </row>
    <row r="2661" spans="1:8" ht="15">
      <c r="A2661"/>
      <c r="B2661"/>
      <c r="D2661"/>
      <c r="E2661"/>
      <c r="F2661"/>
      <c r="H2661"/>
    </row>
    <row r="2662" spans="1:8" ht="15">
      <c r="A2662"/>
      <c r="B2662"/>
      <c r="D2662"/>
      <c r="E2662"/>
      <c r="F2662"/>
      <c r="H2662"/>
    </row>
    <row r="2663" spans="1:8" ht="15">
      <c r="A2663"/>
      <c r="B2663"/>
      <c r="D2663"/>
      <c r="E2663"/>
      <c r="F2663"/>
      <c r="H2663"/>
    </row>
    <row r="2664" spans="1:8" ht="15">
      <c r="A2664"/>
      <c r="B2664"/>
      <c r="D2664"/>
      <c r="E2664"/>
      <c r="F2664"/>
      <c r="H2664"/>
    </row>
    <row r="2665" spans="1:8" ht="15">
      <c r="A2665"/>
      <c r="B2665"/>
      <c r="D2665"/>
      <c r="E2665"/>
      <c r="F2665"/>
      <c r="H2665"/>
    </row>
    <row r="2666" spans="1:8" ht="15">
      <c r="A2666"/>
      <c r="B2666"/>
      <c r="D2666"/>
      <c r="E2666"/>
      <c r="F2666"/>
      <c r="H2666"/>
    </row>
    <row r="2667" spans="1:8" ht="15">
      <c r="A2667"/>
      <c r="B2667"/>
      <c r="D2667"/>
      <c r="E2667"/>
      <c r="F2667"/>
      <c r="H2667"/>
    </row>
    <row r="2668" spans="1:8" ht="15">
      <c r="A2668"/>
      <c r="B2668"/>
      <c r="D2668"/>
      <c r="E2668"/>
      <c r="F2668"/>
      <c r="H2668"/>
    </row>
    <row r="2669" spans="1:8" ht="15">
      <c r="A2669"/>
      <c r="B2669"/>
      <c r="D2669"/>
      <c r="E2669"/>
      <c r="F2669"/>
      <c r="H2669"/>
    </row>
    <row r="2670" spans="1:8" ht="15">
      <c r="A2670"/>
      <c r="B2670"/>
      <c r="D2670"/>
      <c r="E2670"/>
      <c r="F2670"/>
      <c r="H2670"/>
    </row>
    <row r="2671" spans="1:8" ht="15">
      <c r="A2671"/>
      <c r="B2671"/>
      <c r="D2671"/>
      <c r="E2671"/>
      <c r="F2671"/>
      <c r="H2671"/>
    </row>
    <row r="2672" spans="1:8" ht="15">
      <c r="A2672"/>
      <c r="B2672"/>
      <c r="D2672"/>
      <c r="E2672"/>
      <c r="F2672"/>
      <c r="H2672"/>
    </row>
    <row r="2673" spans="1:8" ht="15">
      <c r="A2673"/>
      <c r="B2673"/>
      <c r="D2673"/>
      <c r="E2673"/>
      <c r="F2673"/>
      <c r="H2673"/>
    </row>
    <row r="2674" spans="1:8" ht="15">
      <c r="A2674"/>
      <c r="B2674"/>
      <c r="D2674"/>
      <c r="E2674"/>
      <c r="F2674"/>
      <c r="H2674"/>
    </row>
    <row r="2675" spans="1:8" ht="15">
      <c r="A2675"/>
      <c r="B2675"/>
      <c r="D2675"/>
      <c r="E2675"/>
      <c r="F2675"/>
      <c r="H2675"/>
    </row>
    <row r="2676" spans="1:8" ht="15">
      <c r="A2676"/>
      <c r="B2676"/>
      <c r="D2676"/>
      <c r="E2676"/>
      <c r="F2676"/>
      <c r="H2676"/>
    </row>
    <row r="2677" spans="1:8" ht="15">
      <c r="A2677"/>
      <c r="B2677"/>
      <c r="D2677"/>
      <c r="E2677"/>
      <c r="F2677"/>
      <c r="H2677"/>
    </row>
    <row r="2678" spans="1:8" ht="15">
      <c r="A2678"/>
      <c r="B2678"/>
      <c r="D2678"/>
      <c r="E2678"/>
      <c r="F2678"/>
      <c r="H2678"/>
    </row>
    <row r="2679" spans="1:8" ht="15">
      <c r="A2679"/>
      <c r="B2679"/>
      <c r="D2679"/>
      <c r="E2679"/>
      <c r="F2679"/>
      <c r="H2679"/>
    </row>
    <row r="2680" spans="1:8" ht="15">
      <c r="A2680"/>
      <c r="B2680"/>
      <c r="D2680"/>
      <c r="E2680"/>
      <c r="F2680"/>
      <c r="H2680"/>
    </row>
    <row r="2681" spans="1:8" ht="15">
      <c r="A2681"/>
      <c r="B2681"/>
      <c r="D2681"/>
      <c r="E2681"/>
      <c r="F2681"/>
      <c r="H2681"/>
    </row>
    <row r="2682" spans="1:8" ht="15">
      <c r="A2682"/>
      <c r="B2682"/>
      <c r="D2682"/>
      <c r="E2682"/>
      <c r="F2682"/>
      <c r="H2682"/>
    </row>
    <row r="2683" spans="1:8" ht="15">
      <c r="A2683"/>
      <c r="B2683"/>
      <c r="D2683"/>
      <c r="E2683"/>
      <c r="F2683"/>
      <c r="H2683"/>
    </row>
    <row r="2684" spans="1:8" ht="15">
      <c r="A2684"/>
      <c r="B2684"/>
      <c r="D2684"/>
      <c r="E2684"/>
      <c r="F2684"/>
      <c r="H2684"/>
    </row>
    <row r="2685" spans="1:8" ht="15">
      <c r="A2685"/>
      <c r="B2685"/>
      <c r="D2685"/>
      <c r="E2685"/>
      <c r="F2685"/>
      <c r="H2685"/>
    </row>
    <row r="2686" spans="1:8" ht="15">
      <c r="A2686"/>
      <c r="B2686"/>
      <c r="D2686"/>
      <c r="E2686"/>
      <c r="F2686"/>
      <c r="H2686"/>
    </row>
    <row r="2687" spans="1:8" ht="15">
      <c r="A2687"/>
      <c r="B2687"/>
      <c r="D2687"/>
      <c r="E2687"/>
      <c r="F2687"/>
      <c r="H2687"/>
    </row>
    <row r="2688" spans="1:8" ht="15">
      <c r="A2688"/>
      <c r="B2688"/>
      <c r="D2688"/>
      <c r="E2688"/>
      <c r="F2688"/>
      <c r="H2688"/>
    </row>
    <row r="2689" spans="1:8" ht="15">
      <c r="A2689"/>
      <c r="B2689"/>
      <c r="D2689"/>
      <c r="E2689"/>
      <c r="F2689"/>
      <c r="H2689"/>
    </row>
    <row r="2690" spans="1:8" ht="15">
      <c r="A2690"/>
      <c r="B2690"/>
      <c r="D2690"/>
      <c r="E2690"/>
      <c r="F2690"/>
      <c r="H2690"/>
    </row>
    <row r="2691" spans="1:8" ht="15">
      <c r="A2691"/>
      <c r="B2691"/>
      <c r="D2691"/>
      <c r="E2691"/>
      <c r="F2691"/>
      <c r="H2691"/>
    </row>
    <row r="2692" spans="1:8" ht="15">
      <c r="A2692"/>
      <c r="B2692"/>
      <c r="D2692"/>
      <c r="E2692"/>
      <c r="F2692"/>
      <c r="H2692"/>
    </row>
    <row r="2693" spans="1:8" ht="15">
      <c r="A2693"/>
      <c r="B2693"/>
      <c r="D2693"/>
      <c r="E2693"/>
      <c r="F2693"/>
      <c r="H2693"/>
    </row>
    <row r="2694" spans="1:8" ht="15">
      <c r="A2694"/>
      <c r="B2694"/>
      <c r="D2694"/>
      <c r="E2694"/>
      <c r="F2694"/>
      <c r="H2694"/>
    </row>
    <row r="2695" spans="1:8" ht="15">
      <c r="A2695"/>
      <c r="B2695"/>
      <c r="D2695"/>
      <c r="E2695"/>
      <c r="F2695"/>
      <c r="H2695"/>
    </row>
    <row r="2696" spans="1:8" ht="15">
      <c r="A2696"/>
      <c r="B2696"/>
      <c r="D2696"/>
      <c r="E2696"/>
      <c r="F2696"/>
      <c r="H2696"/>
    </row>
    <row r="2697" spans="1:8" ht="15">
      <c r="A2697"/>
      <c r="B2697"/>
      <c r="D2697"/>
      <c r="E2697"/>
      <c r="F2697"/>
      <c r="H2697"/>
    </row>
    <row r="2698" spans="1:8" ht="15">
      <c r="A2698"/>
      <c r="B2698"/>
      <c r="D2698"/>
      <c r="E2698"/>
      <c r="F2698"/>
      <c r="H2698"/>
    </row>
    <row r="2699" spans="1:8" ht="15">
      <c r="A2699"/>
      <c r="B2699"/>
      <c r="D2699"/>
      <c r="E2699"/>
      <c r="F2699"/>
      <c r="H2699"/>
    </row>
    <row r="2700" spans="1:8" ht="15">
      <c r="A2700"/>
      <c r="B2700"/>
      <c r="D2700"/>
      <c r="E2700"/>
      <c r="F2700"/>
      <c r="H2700"/>
    </row>
    <row r="2701" spans="1:8" ht="15">
      <c r="A2701"/>
      <c r="B2701"/>
      <c r="D2701"/>
      <c r="E2701"/>
      <c r="F2701"/>
      <c r="H2701"/>
    </row>
    <row r="2702" spans="1:8" ht="15">
      <c r="A2702"/>
      <c r="B2702"/>
      <c r="D2702"/>
      <c r="E2702"/>
      <c r="F2702"/>
      <c r="H2702"/>
    </row>
    <row r="2703" spans="1:8" ht="15">
      <c r="A2703"/>
      <c r="B2703"/>
      <c r="D2703"/>
      <c r="E2703"/>
      <c r="F2703"/>
      <c r="H2703"/>
    </row>
    <row r="2704" spans="1:8" ht="15">
      <c r="A2704"/>
      <c r="B2704"/>
      <c r="D2704"/>
      <c r="E2704"/>
      <c r="F2704"/>
      <c r="H2704"/>
    </row>
    <row r="2705" spans="1:8" ht="15">
      <c r="A2705"/>
      <c r="B2705"/>
      <c r="D2705"/>
      <c r="E2705"/>
      <c r="F2705"/>
      <c r="H2705"/>
    </row>
    <row r="2706" spans="1:8" ht="15">
      <c r="A2706"/>
      <c r="B2706"/>
      <c r="D2706"/>
      <c r="E2706"/>
      <c r="F2706"/>
      <c r="H2706"/>
    </row>
    <row r="2707" spans="1:8" ht="15">
      <c r="A2707"/>
      <c r="B2707"/>
      <c r="D2707"/>
      <c r="E2707"/>
      <c r="F2707"/>
      <c r="H2707"/>
    </row>
    <row r="2708" spans="1:8" ht="15">
      <c r="A2708"/>
      <c r="B2708"/>
      <c r="D2708"/>
      <c r="E2708"/>
      <c r="F2708"/>
      <c r="H2708"/>
    </row>
    <row r="2709" spans="1:8" ht="15">
      <c r="A2709"/>
      <c r="B2709"/>
      <c r="D2709"/>
      <c r="E2709"/>
      <c r="F2709"/>
      <c r="H2709"/>
    </row>
    <row r="2710" spans="1:8" ht="15">
      <c r="A2710"/>
      <c r="B2710"/>
      <c r="D2710"/>
      <c r="E2710"/>
      <c r="F2710"/>
      <c r="H2710"/>
    </row>
    <row r="2711" spans="1:8" ht="15">
      <c r="A2711"/>
      <c r="B2711"/>
      <c r="D2711"/>
      <c r="E2711"/>
      <c r="F2711"/>
      <c r="H2711"/>
    </row>
    <row r="2712" spans="1:8" ht="15">
      <c r="A2712"/>
      <c r="B2712"/>
      <c r="D2712"/>
      <c r="E2712"/>
      <c r="F2712"/>
      <c r="H2712"/>
    </row>
    <row r="2713" spans="1:8" ht="15">
      <c r="A2713"/>
      <c r="B2713"/>
      <c r="D2713"/>
      <c r="E2713"/>
      <c r="F2713"/>
      <c r="H2713"/>
    </row>
    <row r="2714" spans="1:8" ht="15">
      <c r="A2714"/>
      <c r="B2714"/>
      <c r="D2714"/>
      <c r="E2714"/>
      <c r="F2714"/>
      <c r="H2714"/>
    </row>
    <row r="2715" spans="1:8" ht="15">
      <c r="A2715"/>
      <c r="B2715"/>
      <c r="D2715"/>
      <c r="E2715"/>
      <c r="F2715"/>
      <c r="H2715"/>
    </row>
    <row r="2716" spans="1:8" ht="15">
      <c r="A2716"/>
      <c r="B2716"/>
      <c r="D2716"/>
      <c r="E2716"/>
      <c r="F2716"/>
      <c r="H2716"/>
    </row>
    <row r="2717" spans="1:8" ht="15">
      <c r="A2717"/>
      <c r="B2717"/>
      <c r="D2717"/>
      <c r="E2717"/>
      <c r="F2717"/>
      <c r="H2717"/>
    </row>
    <row r="2718" spans="1:8" ht="15">
      <c r="A2718"/>
      <c r="B2718"/>
      <c r="D2718"/>
      <c r="E2718"/>
      <c r="F2718"/>
      <c r="H2718"/>
    </row>
    <row r="2719" spans="1:8" ht="15">
      <c r="A2719"/>
      <c r="B2719"/>
      <c r="D2719"/>
      <c r="E2719"/>
      <c r="F2719"/>
      <c r="H2719"/>
    </row>
    <row r="2720" spans="1:8" ht="15">
      <c r="A2720"/>
      <c r="B2720"/>
      <c r="D2720"/>
      <c r="E2720"/>
      <c r="F2720"/>
      <c r="H2720"/>
    </row>
    <row r="2721" spans="1:8" ht="15">
      <c r="A2721"/>
      <c r="B2721"/>
      <c r="D2721"/>
      <c r="E2721"/>
      <c r="F2721"/>
      <c r="H2721"/>
    </row>
    <row r="2722" spans="1:8" ht="15">
      <c r="A2722"/>
      <c r="B2722"/>
      <c r="D2722"/>
      <c r="E2722"/>
      <c r="F2722"/>
      <c r="H2722"/>
    </row>
    <row r="2723" spans="1:8" ht="15">
      <c r="A2723"/>
      <c r="B2723"/>
      <c r="D2723"/>
      <c r="E2723"/>
      <c r="F2723"/>
      <c r="H2723"/>
    </row>
    <row r="2724" spans="1:8" ht="15">
      <c r="A2724"/>
      <c r="B2724"/>
      <c r="D2724"/>
      <c r="E2724"/>
      <c r="F2724"/>
      <c r="H2724"/>
    </row>
    <row r="2725" spans="1:8" ht="15">
      <c r="A2725"/>
      <c r="B2725"/>
      <c r="D2725"/>
      <c r="E2725"/>
      <c r="F2725"/>
      <c r="H2725"/>
    </row>
    <row r="2726" spans="1:8" ht="15">
      <c r="A2726"/>
      <c r="B2726"/>
      <c r="D2726"/>
      <c r="E2726"/>
      <c r="F2726"/>
      <c r="H2726"/>
    </row>
    <row r="2727" spans="1:8" ht="15">
      <c r="A2727"/>
      <c r="B2727"/>
      <c r="D2727"/>
      <c r="E2727"/>
      <c r="F2727"/>
      <c r="H2727"/>
    </row>
    <row r="2728" spans="1:8" ht="15">
      <c r="A2728"/>
      <c r="B2728"/>
      <c r="D2728"/>
      <c r="E2728"/>
      <c r="F2728"/>
      <c r="H2728"/>
    </row>
    <row r="2729" spans="1:8" ht="15">
      <c r="A2729"/>
      <c r="B2729"/>
      <c r="D2729"/>
      <c r="E2729"/>
      <c r="F2729"/>
      <c r="H2729"/>
    </row>
    <row r="2730" spans="1:8" ht="15">
      <c r="A2730"/>
      <c r="B2730"/>
      <c r="D2730"/>
      <c r="E2730"/>
      <c r="F2730"/>
      <c r="H2730"/>
    </row>
    <row r="2731" spans="1:8" ht="15">
      <c r="A2731"/>
      <c r="B2731"/>
      <c r="D2731"/>
      <c r="E2731"/>
      <c r="F2731"/>
      <c r="H2731"/>
    </row>
    <row r="2732" spans="1:8" ht="15">
      <c r="A2732"/>
      <c r="B2732"/>
      <c r="D2732"/>
      <c r="E2732"/>
      <c r="F2732"/>
      <c r="H2732"/>
    </row>
    <row r="2733" spans="1:8" ht="15">
      <c r="A2733"/>
      <c r="B2733"/>
      <c r="D2733"/>
      <c r="E2733"/>
      <c r="F2733"/>
      <c r="H2733"/>
    </row>
    <row r="2734" spans="1:8" ht="15">
      <c r="A2734"/>
      <c r="B2734"/>
      <c r="D2734"/>
      <c r="E2734"/>
      <c r="F2734"/>
      <c r="H2734"/>
    </row>
    <row r="2735" spans="1:8" ht="15">
      <c r="A2735"/>
      <c r="B2735"/>
      <c r="D2735"/>
      <c r="E2735"/>
      <c r="F2735"/>
      <c r="H2735"/>
    </row>
    <row r="2736" spans="1:8" ht="15">
      <c r="A2736"/>
      <c r="B2736"/>
      <c r="D2736"/>
      <c r="E2736"/>
      <c r="F2736"/>
      <c r="H2736"/>
    </row>
    <row r="2737" spans="1:8" ht="15">
      <c r="A2737"/>
      <c r="B2737"/>
      <c r="D2737"/>
      <c r="E2737"/>
      <c r="F2737"/>
      <c r="H2737"/>
    </row>
    <row r="2738" spans="1:8" ht="15">
      <c r="A2738"/>
      <c r="B2738"/>
      <c r="D2738"/>
      <c r="E2738"/>
      <c r="F2738"/>
      <c r="H2738"/>
    </row>
    <row r="2739" spans="1:8" ht="15">
      <c r="A2739"/>
      <c r="B2739"/>
      <c r="D2739"/>
      <c r="E2739"/>
      <c r="F2739"/>
      <c r="H2739"/>
    </row>
    <row r="2740" spans="1:8" ht="15">
      <c r="A2740"/>
      <c r="B2740"/>
      <c r="D2740"/>
      <c r="E2740"/>
      <c r="F2740"/>
      <c r="H2740"/>
    </row>
    <row r="2741" spans="1:8" ht="15">
      <c r="A2741"/>
      <c r="B2741"/>
      <c r="D2741"/>
      <c r="E2741"/>
      <c r="F2741"/>
      <c r="H2741"/>
    </row>
    <row r="2742" spans="1:8" ht="15">
      <c r="A2742"/>
      <c r="B2742"/>
      <c r="D2742"/>
      <c r="E2742"/>
      <c r="F2742"/>
      <c r="H2742"/>
    </row>
    <row r="2743" spans="1:8" ht="15">
      <c r="A2743"/>
      <c r="B2743"/>
      <c r="D2743"/>
      <c r="E2743"/>
      <c r="F2743"/>
      <c r="H2743"/>
    </row>
    <row r="2744" spans="1:8" ht="15">
      <c r="A2744"/>
      <c r="B2744"/>
      <c r="D2744"/>
      <c r="E2744"/>
      <c r="F2744"/>
      <c r="H2744"/>
    </row>
    <row r="2745" spans="1:8" ht="15">
      <c r="A2745"/>
      <c r="B2745"/>
      <c r="D2745"/>
      <c r="E2745"/>
      <c r="F2745"/>
      <c r="H2745"/>
    </row>
    <row r="2746" spans="1:8" ht="15">
      <c r="A2746"/>
      <c r="B2746"/>
      <c r="D2746"/>
      <c r="E2746"/>
      <c r="F2746"/>
      <c r="H2746"/>
    </row>
    <row r="2747" spans="1:8" ht="15">
      <c r="A2747"/>
      <c r="B2747"/>
      <c r="D2747"/>
      <c r="E2747"/>
      <c r="F2747"/>
      <c r="H2747"/>
    </row>
    <row r="2748" spans="1:8" ht="15">
      <c r="A2748"/>
      <c r="B2748"/>
      <c r="D2748"/>
      <c r="E2748"/>
      <c r="F2748"/>
      <c r="H2748"/>
    </row>
    <row r="2749" spans="1:8" ht="15">
      <c r="A2749"/>
      <c r="B2749"/>
      <c r="D2749"/>
      <c r="E2749"/>
      <c r="F2749"/>
      <c r="H2749"/>
    </row>
    <row r="2750" spans="1:8" ht="15">
      <c r="A2750"/>
      <c r="B2750"/>
      <c r="D2750"/>
      <c r="E2750"/>
      <c r="F2750"/>
      <c r="H2750"/>
    </row>
    <row r="2751" spans="1:8" ht="15">
      <c r="A2751"/>
      <c r="B2751"/>
      <c r="D2751"/>
      <c r="E2751"/>
      <c r="F2751"/>
      <c r="H2751"/>
    </row>
    <row r="2752" spans="1:8" ht="15">
      <c r="A2752"/>
      <c r="B2752"/>
      <c r="D2752"/>
      <c r="E2752"/>
      <c r="F2752"/>
      <c r="H2752"/>
    </row>
    <row r="2753" spans="1:8" ht="15">
      <c r="A2753"/>
      <c r="B2753"/>
      <c r="D2753"/>
      <c r="E2753"/>
      <c r="F2753"/>
      <c r="H2753"/>
    </row>
    <row r="2754" spans="1:8" ht="15">
      <c r="A2754"/>
      <c r="B2754"/>
      <c r="D2754"/>
      <c r="E2754"/>
      <c r="F2754"/>
      <c r="H2754"/>
    </row>
    <row r="2755" spans="1:8" ht="15">
      <c r="A2755"/>
      <c r="B2755"/>
      <c r="D2755"/>
      <c r="E2755"/>
      <c r="F2755"/>
      <c r="H2755"/>
    </row>
    <row r="2756" spans="1:8" ht="15">
      <c r="A2756"/>
      <c r="B2756"/>
      <c r="D2756"/>
      <c r="E2756"/>
      <c r="F2756"/>
      <c r="H2756"/>
    </row>
    <row r="2757" spans="1:8" ht="15">
      <c r="A2757"/>
      <c r="B2757"/>
      <c r="D2757"/>
      <c r="E2757"/>
      <c r="F2757"/>
      <c r="H2757"/>
    </row>
    <row r="2758" spans="1:8" ht="15">
      <c r="A2758"/>
      <c r="B2758"/>
      <c r="D2758"/>
      <c r="E2758"/>
      <c r="F2758"/>
      <c r="H2758"/>
    </row>
    <row r="2759" spans="1:8" ht="15">
      <c r="A2759"/>
      <c r="B2759"/>
      <c r="D2759"/>
      <c r="E2759"/>
      <c r="F2759"/>
      <c r="H2759"/>
    </row>
    <row r="2760" spans="1:8" ht="15">
      <c r="A2760"/>
      <c r="B2760"/>
      <c r="D2760"/>
      <c r="E2760"/>
      <c r="F2760"/>
      <c r="H2760"/>
    </row>
    <row r="2761" spans="1:8" ht="15">
      <c r="A2761"/>
      <c r="B2761"/>
      <c r="D2761"/>
      <c r="E2761"/>
      <c r="F2761"/>
      <c r="H2761"/>
    </row>
    <row r="2762" spans="1:8" ht="15">
      <c r="A2762"/>
      <c r="B2762"/>
      <c r="D2762"/>
      <c r="E2762"/>
      <c r="F2762"/>
      <c r="H2762"/>
    </row>
    <row r="2763" spans="1:8" ht="15">
      <c r="A2763"/>
      <c r="B2763"/>
      <c r="D2763"/>
      <c r="E2763"/>
      <c r="F2763"/>
      <c r="H2763"/>
    </row>
    <row r="2764" spans="1:8" ht="15">
      <c r="A2764"/>
      <c r="B2764"/>
      <c r="D2764"/>
      <c r="E2764"/>
      <c r="F2764"/>
      <c r="H2764"/>
    </row>
    <row r="2765" spans="1:8" ht="15">
      <c r="A2765"/>
      <c r="B2765"/>
      <c r="D2765"/>
      <c r="E2765"/>
      <c r="F2765"/>
      <c r="H2765"/>
    </row>
    <row r="2766" spans="1:8" ht="15">
      <c r="A2766"/>
      <c r="B2766"/>
      <c r="D2766"/>
      <c r="E2766"/>
      <c r="F2766"/>
      <c r="H2766"/>
    </row>
    <row r="2767" spans="1:8" ht="15">
      <c r="A2767"/>
      <c r="B2767"/>
      <c r="D2767"/>
      <c r="E2767"/>
      <c r="F2767"/>
      <c r="H2767"/>
    </row>
    <row r="2768" spans="1:8" ht="15">
      <c r="A2768"/>
      <c r="B2768"/>
      <c r="D2768"/>
      <c r="E2768"/>
      <c r="F2768"/>
      <c r="H2768"/>
    </row>
    <row r="2769" spans="1:8" ht="15">
      <c r="A2769"/>
      <c r="B2769"/>
      <c r="D2769"/>
      <c r="E2769"/>
      <c r="F2769"/>
      <c r="H2769"/>
    </row>
    <row r="2770" spans="1:8" ht="15">
      <c r="A2770"/>
      <c r="B2770"/>
      <c r="D2770"/>
      <c r="E2770"/>
      <c r="F2770"/>
      <c r="H2770"/>
    </row>
    <row r="2771" spans="1:8" ht="15">
      <c r="A2771"/>
      <c r="B2771"/>
      <c r="D2771"/>
      <c r="E2771"/>
      <c r="F2771"/>
      <c r="H2771"/>
    </row>
    <row r="2772" spans="1:8" ht="15">
      <c r="A2772"/>
      <c r="B2772"/>
      <c r="D2772"/>
      <c r="E2772"/>
      <c r="F2772"/>
      <c r="H2772"/>
    </row>
    <row r="2773" spans="1:8" ht="15">
      <c r="A2773"/>
      <c r="B2773"/>
      <c r="D2773"/>
      <c r="E2773"/>
      <c r="F2773"/>
      <c r="H2773"/>
    </row>
    <row r="2774" spans="1:8" ht="15">
      <c r="A2774"/>
      <c r="B2774"/>
      <c r="D2774"/>
      <c r="E2774"/>
      <c r="F2774"/>
      <c r="H2774"/>
    </row>
    <row r="2775" spans="1:8" ht="15">
      <c r="A2775"/>
      <c r="B2775"/>
      <c r="D2775"/>
      <c r="E2775"/>
      <c r="F2775"/>
      <c r="H2775"/>
    </row>
    <row r="2776" spans="1:8" ht="15">
      <c r="A2776"/>
      <c r="B2776"/>
      <c r="D2776"/>
      <c r="E2776"/>
      <c r="F2776"/>
      <c r="H2776"/>
    </row>
    <row r="2777" spans="1:8" ht="15">
      <c r="A2777"/>
      <c r="B2777"/>
      <c r="D2777"/>
      <c r="E2777"/>
      <c r="F2777"/>
      <c r="H2777"/>
    </row>
    <row r="2778" spans="1:8" ht="15">
      <c r="A2778"/>
      <c r="B2778"/>
      <c r="D2778"/>
      <c r="E2778"/>
      <c r="F2778"/>
      <c r="H2778"/>
    </row>
    <row r="2779" spans="1:8" ht="15">
      <c r="A2779"/>
      <c r="B2779"/>
      <c r="D2779"/>
      <c r="E2779"/>
      <c r="F2779"/>
      <c r="H2779"/>
    </row>
    <row r="2780" spans="1:8" ht="15">
      <c r="A2780"/>
      <c r="B2780"/>
      <c r="D2780"/>
      <c r="E2780"/>
      <c r="F2780"/>
      <c r="H2780"/>
    </row>
    <row r="2781" spans="1:8" ht="15">
      <c r="A2781"/>
      <c r="B2781"/>
      <c r="D2781"/>
      <c r="E2781"/>
      <c r="F2781"/>
      <c r="H2781"/>
    </row>
    <row r="2782" spans="1:8" ht="15">
      <c r="A2782"/>
      <c r="B2782"/>
      <c r="D2782"/>
      <c r="E2782"/>
      <c r="F2782"/>
      <c r="H2782"/>
    </row>
    <row r="2783" spans="1:8" ht="15">
      <c r="A2783"/>
      <c r="B2783"/>
      <c r="D2783"/>
      <c r="E2783"/>
      <c r="F2783"/>
      <c r="H2783"/>
    </row>
    <row r="2784" spans="1:8" ht="15">
      <c r="A2784"/>
      <c r="B2784"/>
      <c r="D2784"/>
      <c r="E2784"/>
      <c r="F2784"/>
      <c r="H2784"/>
    </row>
    <row r="2785" spans="1:8" ht="15">
      <c r="A2785"/>
      <c r="B2785"/>
      <c r="D2785"/>
      <c r="E2785"/>
      <c r="F2785"/>
      <c r="H2785"/>
    </row>
    <row r="2786" spans="1:8" ht="15">
      <c r="A2786"/>
      <c r="B2786"/>
      <c r="D2786"/>
      <c r="E2786"/>
      <c r="F2786"/>
      <c r="H2786"/>
    </row>
    <row r="2787" spans="1:8" ht="15">
      <c r="A2787"/>
      <c r="B2787"/>
      <c r="D2787"/>
      <c r="E2787"/>
      <c r="F2787"/>
      <c r="H2787"/>
    </row>
    <row r="2788" spans="1:8" ht="15">
      <c r="A2788"/>
      <c r="B2788"/>
      <c r="D2788"/>
      <c r="E2788"/>
      <c r="F2788"/>
      <c r="H2788"/>
    </row>
    <row r="2789" spans="1:8" ht="15">
      <c r="A2789"/>
      <c r="B2789"/>
      <c r="D2789"/>
      <c r="E2789"/>
      <c r="F2789"/>
      <c r="H2789"/>
    </row>
    <row r="2790" spans="1:8" ht="15">
      <c r="A2790"/>
      <c r="B2790"/>
      <c r="D2790"/>
      <c r="E2790"/>
      <c r="F2790"/>
      <c r="H2790"/>
    </row>
    <row r="2791" spans="1:8" ht="15">
      <c r="A2791"/>
      <c r="B2791"/>
      <c r="D2791"/>
      <c r="E2791"/>
      <c r="F2791"/>
      <c r="H2791"/>
    </row>
    <row r="2792" spans="1:8" ht="15">
      <c r="A2792"/>
      <c r="B2792"/>
      <c r="D2792"/>
      <c r="E2792"/>
      <c r="F2792"/>
      <c r="H2792"/>
    </row>
    <row r="2793" spans="1:8" ht="15">
      <c r="A2793"/>
      <c r="B2793"/>
      <c r="D2793"/>
      <c r="E2793"/>
      <c r="F2793"/>
      <c r="H2793"/>
    </row>
    <row r="2794" spans="1:8" ht="15">
      <c r="A2794"/>
      <c r="B2794"/>
      <c r="D2794"/>
      <c r="E2794"/>
      <c r="F2794"/>
      <c r="H2794"/>
    </row>
    <row r="2795" spans="1:8" ht="15">
      <c r="A2795"/>
      <c r="B2795"/>
      <c r="D2795"/>
      <c r="E2795"/>
      <c r="F2795"/>
      <c r="H2795"/>
    </row>
    <row r="2796" spans="1:8" ht="15">
      <c r="A2796"/>
      <c r="B2796"/>
      <c r="D2796"/>
      <c r="E2796"/>
      <c r="F2796"/>
      <c r="H2796"/>
    </row>
    <row r="2797" spans="1:8" ht="15">
      <c r="A2797"/>
      <c r="B2797"/>
      <c r="D2797"/>
      <c r="E2797"/>
      <c r="F2797"/>
      <c r="H2797"/>
    </row>
    <row r="2798" spans="1:8" ht="15">
      <c r="A2798"/>
      <c r="B2798"/>
      <c r="D2798"/>
      <c r="E2798"/>
      <c r="F2798"/>
      <c r="H2798"/>
    </row>
    <row r="2799" spans="1:8" ht="15">
      <c r="A2799"/>
      <c r="B2799"/>
      <c r="D2799"/>
      <c r="E2799"/>
      <c r="F2799"/>
      <c r="H2799"/>
    </row>
    <row r="2800" spans="1:8" ht="15">
      <c r="A2800"/>
      <c r="B2800"/>
      <c r="D2800"/>
      <c r="E2800"/>
      <c r="F2800"/>
      <c r="H2800"/>
    </row>
    <row r="2801" spans="1:8" ht="15">
      <c r="A2801"/>
      <c r="B2801"/>
      <c r="D2801"/>
      <c r="E2801"/>
      <c r="F2801"/>
      <c r="H2801"/>
    </row>
    <row r="2802" spans="1:8" ht="15">
      <c r="A2802"/>
      <c r="B2802"/>
      <c r="D2802"/>
      <c r="E2802"/>
      <c r="F2802"/>
      <c r="H2802"/>
    </row>
    <row r="2803" spans="1:8" ht="15">
      <c r="A2803"/>
      <c r="B2803"/>
      <c r="D2803"/>
      <c r="E2803"/>
      <c r="F2803"/>
      <c r="H2803"/>
    </row>
    <row r="2804" spans="1:8" ht="15">
      <c r="A2804"/>
      <c r="B2804"/>
      <c r="D2804"/>
      <c r="E2804"/>
      <c r="F2804"/>
      <c r="H2804"/>
    </row>
    <row r="2805" spans="1:8" ht="15">
      <c r="A2805"/>
      <c r="B2805"/>
      <c r="D2805"/>
      <c r="E2805"/>
      <c r="F2805"/>
      <c r="H2805"/>
    </row>
    <row r="2806" spans="1:8" ht="15">
      <c r="A2806"/>
      <c r="B2806"/>
      <c r="D2806"/>
      <c r="E2806"/>
      <c r="F2806"/>
      <c r="H2806"/>
    </row>
    <row r="2807" spans="1:8" ht="15">
      <c r="A2807"/>
      <c r="B2807"/>
      <c r="D2807"/>
      <c r="E2807"/>
      <c r="F2807"/>
      <c r="H2807"/>
    </row>
    <row r="2808" spans="1:8" ht="15">
      <c r="A2808"/>
      <c r="B2808"/>
      <c r="D2808"/>
      <c r="E2808"/>
      <c r="F2808"/>
      <c r="H2808"/>
    </row>
    <row r="2809" spans="1:8" ht="15">
      <c r="A2809"/>
      <c r="B2809"/>
      <c r="D2809"/>
      <c r="E2809"/>
      <c r="F2809"/>
      <c r="H2809"/>
    </row>
    <row r="2810" spans="1:8" ht="15">
      <c r="A2810"/>
      <c r="B2810"/>
      <c r="D2810"/>
      <c r="E2810"/>
      <c r="F2810"/>
      <c r="H2810"/>
    </row>
    <row r="2811" spans="1:8" ht="15">
      <c r="A2811"/>
      <c r="B2811"/>
      <c r="D2811"/>
      <c r="E2811"/>
      <c r="F2811"/>
      <c r="H2811"/>
    </row>
    <row r="2812" spans="1:8" ht="15">
      <c r="A2812"/>
      <c r="B2812"/>
      <c r="D2812"/>
      <c r="E2812"/>
      <c r="F2812"/>
      <c r="H2812"/>
    </row>
    <row r="2813" spans="1:8" ht="15">
      <c r="A2813"/>
      <c r="B2813"/>
      <c r="D2813"/>
      <c r="E2813"/>
      <c r="F2813"/>
      <c r="H2813"/>
    </row>
    <row r="2814" spans="1:8" ht="15">
      <c r="A2814"/>
      <c r="B2814"/>
      <c r="D2814"/>
      <c r="E2814"/>
      <c r="F2814"/>
      <c r="H2814"/>
    </row>
    <row r="2815" spans="1:8" ht="15">
      <c r="A2815"/>
      <c r="B2815"/>
      <c r="D2815"/>
      <c r="E2815"/>
      <c r="F2815"/>
      <c r="H2815"/>
    </row>
    <row r="2816" spans="1:8" ht="15">
      <c r="A2816"/>
      <c r="B2816"/>
      <c r="D2816"/>
      <c r="E2816"/>
      <c r="F2816"/>
      <c r="H2816"/>
    </row>
    <row r="2817" spans="1:8" ht="15">
      <c r="A2817"/>
      <c r="B2817"/>
      <c r="D2817"/>
      <c r="E2817"/>
      <c r="F2817"/>
      <c r="H2817"/>
    </row>
    <row r="2818" spans="1:8" ht="15">
      <c r="A2818"/>
      <c r="B2818"/>
      <c r="D2818"/>
      <c r="E2818"/>
      <c r="F2818"/>
      <c r="H2818"/>
    </row>
    <row r="2819" spans="1:8" ht="15">
      <c r="A2819"/>
      <c r="B2819"/>
      <c r="D2819"/>
      <c r="E2819"/>
      <c r="F2819"/>
      <c r="H2819"/>
    </row>
    <row r="2820" spans="1:8" ht="15">
      <c r="A2820"/>
      <c r="B2820"/>
      <c r="D2820"/>
      <c r="E2820"/>
      <c r="F2820"/>
      <c r="H2820"/>
    </row>
    <row r="2821" spans="1:8" ht="15">
      <c r="A2821"/>
      <c r="B2821"/>
      <c r="D2821"/>
      <c r="E2821"/>
      <c r="F2821"/>
      <c r="H2821"/>
    </row>
    <row r="2822" spans="1:8" ht="15">
      <c r="A2822"/>
      <c r="B2822"/>
      <c r="D2822"/>
      <c r="E2822"/>
      <c r="F2822"/>
      <c r="H2822"/>
    </row>
    <row r="2823" spans="1:8" ht="15">
      <c r="A2823"/>
      <c r="B2823"/>
      <c r="D2823"/>
      <c r="E2823"/>
      <c r="F2823"/>
      <c r="H2823"/>
    </row>
    <row r="2824" spans="1:8" ht="15">
      <c r="A2824"/>
      <c r="B2824"/>
      <c r="D2824"/>
      <c r="E2824"/>
      <c r="F2824"/>
      <c r="H2824"/>
    </row>
    <row r="2825" spans="1:8" ht="15">
      <c r="A2825"/>
      <c r="B2825"/>
      <c r="D2825"/>
      <c r="E2825"/>
      <c r="F2825"/>
      <c r="H2825"/>
    </row>
    <row r="2826" spans="1:8" ht="15">
      <c r="A2826"/>
      <c r="B2826"/>
      <c r="D2826"/>
      <c r="E2826"/>
      <c r="F2826"/>
      <c r="H2826"/>
    </row>
    <row r="2827" spans="1:8" ht="15">
      <c r="A2827"/>
      <c r="B2827"/>
      <c r="D2827"/>
      <c r="E2827"/>
      <c r="F2827"/>
      <c r="H2827"/>
    </row>
    <row r="2828" spans="1:8" ht="15">
      <c r="A2828"/>
      <c r="B2828"/>
      <c r="D2828"/>
      <c r="E2828"/>
      <c r="F2828"/>
      <c r="H2828"/>
    </row>
    <row r="2829" spans="1:8" ht="15">
      <c r="A2829"/>
      <c r="B2829"/>
      <c r="D2829"/>
      <c r="E2829"/>
      <c r="F2829"/>
      <c r="H2829"/>
    </row>
    <row r="2830" spans="1:8" ht="15">
      <c r="A2830"/>
      <c r="B2830"/>
      <c r="D2830"/>
      <c r="E2830"/>
      <c r="F2830"/>
      <c r="H2830"/>
    </row>
    <row r="2831" spans="1:8" ht="15">
      <c r="A2831"/>
      <c r="B2831"/>
      <c r="D2831"/>
      <c r="E2831"/>
      <c r="F2831"/>
      <c r="H2831"/>
    </row>
    <row r="2832" spans="1:8" ht="15">
      <c r="A2832"/>
      <c r="B2832"/>
      <c r="D2832"/>
      <c r="E2832"/>
      <c r="F2832"/>
      <c r="H2832"/>
    </row>
    <row r="2833" spans="1:8" ht="15">
      <c r="A2833"/>
      <c r="B2833"/>
      <c r="D2833"/>
      <c r="E2833"/>
      <c r="F2833"/>
      <c r="H2833"/>
    </row>
    <row r="2834" spans="1:8" ht="15">
      <c r="A2834"/>
      <c r="B2834"/>
      <c r="D2834"/>
      <c r="E2834"/>
      <c r="F2834"/>
      <c r="H2834"/>
    </row>
    <row r="2835" spans="1:8" ht="15">
      <c r="A2835"/>
      <c r="B2835"/>
      <c r="D2835"/>
      <c r="E2835"/>
      <c r="F2835"/>
      <c r="H2835"/>
    </row>
    <row r="2836" spans="1:8" ht="15">
      <c r="A2836"/>
      <c r="B2836"/>
      <c r="D2836"/>
      <c r="E2836"/>
      <c r="F2836"/>
      <c r="H2836"/>
    </row>
    <row r="2837" spans="1:8" ht="15">
      <c r="A2837"/>
      <c r="B2837"/>
      <c r="D2837"/>
      <c r="E2837"/>
      <c r="F2837"/>
      <c r="H2837"/>
    </row>
    <row r="2838" spans="1:8" ht="15">
      <c r="A2838"/>
      <c r="B2838"/>
      <c r="D2838"/>
      <c r="E2838"/>
      <c r="F2838"/>
      <c r="H2838"/>
    </row>
    <row r="2839" spans="1:8" ht="15">
      <c r="A2839"/>
      <c r="B2839"/>
      <c r="D2839"/>
      <c r="E2839"/>
      <c r="F2839"/>
      <c r="H2839"/>
    </row>
    <row r="2840" spans="1:8" ht="15">
      <c r="A2840"/>
      <c r="B2840"/>
      <c r="D2840"/>
      <c r="E2840"/>
      <c r="F2840"/>
      <c r="H2840"/>
    </row>
    <row r="2841" spans="1:8" ht="15">
      <c r="A2841"/>
      <c r="B2841"/>
      <c r="D2841"/>
      <c r="E2841"/>
      <c r="F2841"/>
      <c r="H2841"/>
    </row>
    <row r="2842" spans="1:8" ht="15">
      <c r="A2842"/>
      <c r="B2842"/>
      <c r="D2842"/>
      <c r="E2842"/>
      <c r="F2842"/>
      <c r="H2842"/>
    </row>
    <row r="2843" spans="1:8" ht="15">
      <c r="A2843"/>
      <c r="B2843"/>
      <c r="D2843"/>
      <c r="E2843"/>
      <c r="F2843"/>
      <c r="H2843"/>
    </row>
    <row r="2844" spans="1:8" ht="15">
      <c r="A2844"/>
      <c r="B2844"/>
      <c r="D2844"/>
      <c r="E2844"/>
      <c r="F2844"/>
      <c r="H2844"/>
    </row>
    <row r="2845" spans="1:8" ht="15">
      <c r="A2845"/>
      <c r="B2845"/>
      <c r="D2845"/>
      <c r="E2845"/>
      <c r="F2845"/>
      <c r="H2845"/>
    </row>
    <row r="2846" spans="1:8" ht="15">
      <c r="A2846"/>
      <c r="B2846"/>
      <c r="D2846"/>
      <c r="E2846"/>
      <c r="F2846"/>
      <c r="H2846"/>
    </row>
    <row r="2847" spans="1:8" ht="15">
      <c r="A2847"/>
      <c r="B2847"/>
      <c r="D2847"/>
      <c r="E2847"/>
      <c r="F2847"/>
      <c r="H2847"/>
    </row>
    <row r="2848" spans="1:8" ht="15">
      <c r="A2848"/>
      <c r="B2848"/>
      <c r="D2848"/>
      <c r="E2848"/>
      <c r="F2848"/>
      <c r="H2848"/>
    </row>
    <row r="2849" spans="1:8" ht="15">
      <c r="A2849"/>
      <c r="B2849"/>
      <c r="D2849"/>
      <c r="E2849"/>
      <c r="F2849"/>
      <c r="H2849"/>
    </row>
    <row r="2850" spans="1:8" ht="15">
      <c r="A2850"/>
      <c r="B2850"/>
      <c r="D2850"/>
      <c r="E2850"/>
      <c r="F2850"/>
      <c r="H2850"/>
    </row>
    <row r="2851" spans="1:8" ht="15">
      <c r="A2851"/>
      <c r="B2851"/>
      <c r="D2851"/>
      <c r="E2851"/>
      <c r="F2851"/>
      <c r="H2851"/>
    </row>
    <row r="2852" spans="1:8" ht="15">
      <c r="A2852"/>
      <c r="B2852"/>
      <c r="D2852"/>
      <c r="E2852"/>
      <c r="F2852"/>
      <c r="H2852"/>
    </row>
    <row r="2853" spans="1:8" ht="15">
      <c r="A2853"/>
      <c r="B2853"/>
      <c r="D2853"/>
      <c r="E2853"/>
      <c r="F2853"/>
      <c r="H2853"/>
    </row>
    <row r="2854" spans="1:8" ht="15">
      <c r="A2854"/>
      <c r="B2854"/>
      <c r="D2854"/>
      <c r="E2854"/>
      <c r="F2854"/>
      <c r="H2854"/>
    </row>
    <row r="2855" spans="1:8" ht="15">
      <c r="A2855"/>
      <c r="B2855"/>
      <c r="D2855"/>
      <c r="E2855"/>
      <c r="F2855"/>
      <c r="H2855"/>
    </row>
    <row r="2856" spans="1:8" ht="15">
      <c r="A2856"/>
      <c r="B2856"/>
      <c r="D2856"/>
      <c r="E2856"/>
      <c r="F2856"/>
      <c r="H2856"/>
    </row>
    <row r="2857" spans="1:8" ht="15">
      <c r="A2857"/>
      <c r="B2857"/>
      <c r="D2857"/>
      <c r="E2857"/>
      <c r="F2857"/>
      <c r="H2857"/>
    </row>
    <row r="2858" spans="1:8" ht="15">
      <c r="A2858"/>
      <c r="B2858"/>
      <c r="D2858"/>
      <c r="E2858"/>
      <c r="F2858"/>
      <c r="H2858"/>
    </row>
    <row r="2859" spans="1:8" ht="15">
      <c r="A2859"/>
      <c r="B2859"/>
      <c r="D2859"/>
      <c r="E2859"/>
      <c r="F2859"/>
      <c r="H2859"/>
    </row>
    <row r="2860" spans="1:8" ht="15">
      <c r="A2860"/>
      <c r="B2860"/>
      <c r="D2860"/>
      <c r="E2860"/>
      <c r="F2860"/>
      <c r="H2860"/>
    </row>
    <row r="2861" spans="1:8" ht="15">
      <c r="A2861"/>
      <c r="B2861"/>
      <c r="D2861"/>
      <c r="E2861"/>
      <c r="F2861"/>
      <c r="H2861"/>
    </row>
    <row r="2862" spans="1:8" ht="15">
      <c r="A2862"/>
      <c r="B2862"/>
      <c r="D2862"/>
      <c r="E2862"/>
      <c r="F2862"/>
      <c r="H2862"/>
    </row>
    <row r="2863" spans="1:8" ht="15">
      <c r="A2863"/>
      <c r="B2863"/>
      <c r="D2863"/>
      <c r="E2863"/>
      <c r="F2863"/>
      <c r="H2863"/>
    </row>
    <row r="2864" spans="1:8" ht="15">
      <c r="A2864"/>
      <c r="B2864"/>
      <c r="D2864"/>
      <c r="E2864"/>
      <c r="F2864"/>
      <c r="H2864"/>
    </row>
    <row r="2865" spans="1:8" ht="15">
      <c r="A2865"/>
      <c r="B2865"/>
      <c r="D2865"/>
      <c r="E2865"/>
      <c r="F2865"/>
      <c r="H2865"/>
    </row>
    <row r="2866" spans="1:8" ht="15">
      <c r="A2866"/>
      <c r="B2866"/>
      <c r="D2866"/>
      <c r="E2866"/>
      <c r="F2866"/>
      <c r="H2866"/>
    </row>
    <row r="2867" spans="1:8" ht="15">
      <c r="A2867"/>
      <c r="B2867"/>
      <c r="D2867"/>
      <c r="E2867"/>
      <c r="F2867"/>
      <c r="H2867"/>
    </row>
    <row r="2868" spans="1:8" ht="15">
      <c r="A2868"/>
      <c r="B2868"/>
      <c r="D2868"/>
      <c r="E2868"/>
      <c r="F2868"/>
      <c r="H2868"/>
    </row>
    <row r="2869" spans="1:8" ht="15">
      <c r="A2869"/>
      <c r="B2869"/>
      <c r="D2869"/>
      <c r="E2869"/>
      <c r="F2869"/>
      <c r="H2869"/>
    </row>
    <row r="2870" spans="1:8" ht="15">
      <c r="A2870"/>
      <c r="B2870"/>
      <c r="D2870"/>
      <c r="E2870"/>
      <c r="F2870"/>
      <c r="H2870"/>
    </row>
    <row r="2871" spans="1:8" ht="15">
      <c r="A2871"/>
      <c r="B2871"/>
      <c r="D2871"/>
      <c r="E2871"/>
      <c r="F2871"/>
      <c r="H2871"/>
    </row>
    <row r="2872" spans="1:8" ht="15">
      <c r="A2872"/>
      <c r="B2872"/>
      <c r="D2872"/>
      <c r="E2872"/>
      <c r="F2872"/>
      <c r="H2872"/>
    </row>
    <row r="2873" spans="1:8" ht="15">
      <c r="A2873"/>
      <c r="B2873"/>
      <c r="D2873"/>
      <c r="E2873"/>
      <c r="F2873"/>
      <c r="H2873"/>
    </row>
    <row r="2874" spans="1:8" ht="15">
      <c r="A2874"/>
      <c r="B2874"/>
      <c r="D2874"/>
      <c r="E2874"/>
      <c r="F2874"/>
      <c r="H2874"/>
    </row>
    <row r="2875" spans="1:8" ht="15">
      <c r="A2875"/>
      <c r="B2875"/>
      <c r="D2875"/>
      <c r="E2875"/>
      <c r="F2875"/>
      <c r="H2875"/>
    </row>
    <row r="2876" spans="1:8" ht="15">
      <c r="A2876"/>
      <c r="B2876"/>
      <c r="D2876"/>
      <c r="E2876"/>
      <c r="F2876"/>
      <c r="H2876"/>
    </row>
    <row r="2877" spans="1:8" ht="15">
      <c r="A2877"/>
      <c r="B2877"/>
      <c r="D2877"/>
      <c r="E2877"/>
      <c r="F2877"/>
      <c r="H2877"/>
    </row>
    <row r="2878" spans="1:8" ht="15">
      <c r="A2878"/>
      <c r="B2878"/>
      <c r="D2878"/>
      <c r="E2878"/>
      <c r="F2878"/>
      <c r="H2878"/>
    </row>
    <row r="2879" spans="1:8" ht="15">
      <c r="A2879"/>
      <c r="B2879"/>
      <c r="D2879"/>
      <c r="E2879"/>
      <c r="F2879"/>
      <c r="H2879"/>
    </row>
    <row r="2880" spans="1:8" ht="15">
      <c r="A2880"/>
      <c r="B2880"/>
      <c r="D2880"/>
      <c r="E2880"/>
      <c r="F2880"/>
      <c r="H2880"/>
    </row>
    <row r="2881" spans="1:8" ht="15">
      <c r="A2881"/>
      <c r="B2881"/>
      <c r="D2881"/>
      <c r="E2881"/>
      <c r="F2881"/>
      <c r="H2881"/>
    </row>
    <row r="2882" spans="1:8" ht="15">
      <c r="A2882"/>
      <c r="B2882"/>
      <c r="D2882"/>
      <c r="E2882"/>
      <c r="F2882"/>
      <c r="H2882"/>
    </row>
    <row r="2883" spans="1:8" ht="15">
      <c r="A2883"/>
      <c r="B2883"/>
      <c r="D2883"/>
      <c r="E2883"/>
      <c r="F2883"/>
      <c r="H2883"/>
    </row>
    <row r="2884" spans="1:8" ht="15">
      <c r="A2884"/>
      <c r="B2884"/>
      <c r="D2884"/>
      <c r="E2884"/>
      <c r="F2884"/>
      <c r="H2884"/>
    </row>
    <row r="2885" spans="1:8" ht="15">
      <c r="A2885"/>
      <c r="B2885"/>
      <c r="D2885"/>
      <c r="E2885"/>
      <c r="F2885"/>
      <c r="H2885"/>
    </row>
    <row r="2886" spans="1:8" ht="15">
      <c r="A2886"/>
      <c r="B2886"/>
      <c r="D2886"/>
      <c r="E2886"/>
      <c r="F2886"/>
      <c r="H2886"/>
    </row>
    <row r="2887" spans="1:8" ht="15">
      <c r="A2887"/>
      <c r="B2887"/>
      <c r="D2887"/>
      <c r="E2887"/>
      <c r="F2887"/>
      <c r="H2887"/>
    </row>
    <row r="2888" spans="1:8" ht="15">
      <c r="A2888"/>
      <c r="B2888"/>
      <c r="D2888"/>
      <c r="E2888"/>
      <c r="F2888"/>
      <c r="H2888"/>
    </row>
    <row r="2889" spans="1:8" ht="15">
      <c r="A2889"/>
      <c r="B2889"/>
      <c r="D2889"/>
      <c r="E2889"/>
      <c r="F2889"/>
      <c r="H2889"/>
    </row>
    <row r="2890" spans="1:8" ht="15">
      <c r="A2890"/>
      <c r="B2890"/>
      <c r="D2890"/>
      <c r="E2890"/>
      <c r="F2890"/>
      <c r="H2890"/>
    </row>
    <row r="2891" spans="1:8" ht="15">
      <c r="A2891"/>
      <c r="B2891"/>
      <c r="D2891"/>
      <c r="E2891"/>
      <c r="F2891"/>
      <c r="H2891"/>
    </row>
    <row r="2892" spans="1:8" ht="15">
      <c r="A2892"/>
      <c r="B2892"/>
      <c r="D2892"/>
      <c r="E2892"/>
      <c r="F2892"/>
      <c r="H2892"/>
    </row>
    <row r="2893" spans="1:8" ht="15">
      <c r="A2893"/>
      <c r="B2893"/>
      <c r="D2893"/>
      <c r="E2893"/>
      <c r="F2893"/>
      <c r="H2893"/>
    </row>
    <row r="2894" spans="1:8" ht="15">
      <c r="A2894"/>
      <c r="B2894"/>
      <c r="D2894"/>
      <c r="E2894"/>
      <c r="F2894"/>
      <c r="H2894"/>
    </row>
    <row r="2895" spans="1:8" ht="15">
      <c r="A2895"/>
      <c r="B2895"/>
      <c r="D2895"/>
      <c r="E2895"/>
      <c r="F2895"/>
      <c r="H2895"/>
    </row>
    <row r="2896" spans="1:8" ht="15">
      <c r="A2896"/>
      <c r="B2896"/>
      <c r="D2896"/>
      <c r="E2896"/>
      <c r="F2896"/>
      <c r="H2896"/>
    </row>
    <row r="2897" spans="1:8" ht="15">
      <c r="A2897"/>
      <c r="B2897"/>
      <c r="D2897"/>
      <c r="E2897"/>
      <c r="F2897"/>
      <c r="H2897"/>
    </row>
    <row r="2898" spans="1:8" ht="15">
      <c r="A2898"/>
      <c r="B2898"/>
      <c r="D2898"/>
      <c r="E2898"/>
      <c r="F2898"/>
      <c r="H2898"/>
    </row>
    <row r="2899" spans="1:8" ht="15">
      <c r="A2899"/>
      <c r="B2899"/>
      <c r="D2899"/>
      <c r="E2899"/>
      <c r="F2899"/>
      <c r="H2899"/>
    </row>
    <row r="2900" spans="1:8" ht="15">
      <c r="A2900"/>
      <c r="B2900"/>
      <c r="D2900"/>
      <c r="E2900"/>
      <c r="F2900"/>
      <c r="H2900"/>
    </row>
    <row r="2901" spans="1:8" ht="15">
      <c r="A2901"/>
      <c r="B2901"/>
      <c r="D2901"/>
      <c r="E2901"/>
      <c r="F2901"/>
      <c r="H2901"/>
    </row>
    <row r="2902" spans="1:8" ht="15">
      <c r="A2902"/>
      <c r="B2902"/>
      <c r="D2902"/>
      <c r="E2902"/>
      <c r="F2902"/>
      <c r="H2902"/>
    </row>
    <row r="2903" spans="1:8" ht="15">
      <c r="A2903"/>
      <c r="B2903"/>
      <c r="D2903"/>
      <c r="E2903"/>
      <c r="F2903"/>
      <c r="H2903"/>
    </row>
    <row r="2904" spans="1:8" ht="15">
      <c r="A2904"/>
      <c r="B2904"/>
      <c r="D2904"/>
      <c r="E2904"/>
      <c r="F2904"/>
      <c r="H2904"/>
    </row>
    <row r="2905" spans="1:8" ht="15">
      <c r="A2905"/>
      <c r="B2905"/>
      <c r="D2905"/>
      <c r="E2905"/>
      <c r="F2905"/>
      <c r="H2905"/>
    </row>
    <row r="2906" spans="1:8" ht="15">
      <c r="A2906"/>
      <c r="B2906"/>
      <c r="D2906"/>
      <c r="E2906"/>
      <c r="F2906"/>
      <c r="H2906"/>
    </row>
    <row r="2907" spans="1:8" ht="15">
      <c r="A2907"/>
      <c r="B2907"/>
      <c r="D2907"/>
      <c r="E2907"/>
      <c r="F2907"/>
      <c r="H2907"/>
    </row>
    <row r="2908" spans="1:8" ht="15">
      <c r="A2908"/>
      <c r="B2908"/>
      <c r="D2908"/>
      <c r="E2908"/>
      <c r="F2908"/>
      <c r="H2908"/>
    </row>
    <row r="2909" spans="1:8" ht="15">
      <c r="A2909"/>
      <c r="B2909"/>
      <c r="D2909"/>
      <c r="E2909"/>
      <c r="F2909"/>
      <c r="H2909"/>
    </row>
    <row r="2910" spans="1:8" ht="15">
      <c r="A2910"/>
      <c r="B2910"/>
      <c r="D2910"/>
      <c r="E2910"/>
      <c r="F2910"/>
      <c r="H2910"/>
    </row>
    <row r="2911" spans="1:8" ht="15">
      <c r="A2911"/>
      <c r="B2911"/>
      <c r="D2911"/>
      <c r="E2911"/>
      <c r="F2911"/>
      <c r="H2911"/>
    </row>
    <row r="2912" spans="1:8" ht="15">
      <c r="A2912"/>
      <c r="B2912"/>
      <c r="D2912"/>
      <c r="E2912"/>
      <c r="F2912"/>
      <c r="H2912"/>
    </row>
    <row r="2913" spans="1:8" ht="15">
      <c r="A2913"/>
      <c r="B2913"/>
      <c r="D2913"/>
      <c r="E2913"/>
      <c r="F2913"/>
      <c r="H2913"/>
    </row>
    <row r="2914" spans="1:8" ht="15">
      <c r="A2914"/>
      <c r="B2914"/>
      <c r="D2914"/>
      <c r="E2914"/>
      <c r="F2914"/>
      <c r="H2914"/>
    </row>
    <row r="2915" spans="1:8" ht="15">
      <c r="A2915"/>
      <c r="B2915"/>
      <c r="D2915"/>
      <c r="E2915"/>
      <c r="F2915"/>
      <c r="H2915"/>
    </row>
    <row r="2916" spans="1:8" ht="15">
      <c r="A2916"/>
      <c r="B2916"/>
      <c r="D2916"/>
      <c r="E2916"/>
      <c r="F2916"/>
      <c r="H2916"/>
    </row>
    <row r="2917" spans="1:8" ht="15">
      <c r="A2917"/>
      <c r="B2917"/>
      <c r="D2917"/>
      <c r="E2917"/>
      <c r="F2917"/>
      <c r="H2917"/>
    </row>
    <row r="2918" spans="1:8" ht="15">
      <c r="A2918"/>
      <c r="B2918"/>
      <c r="D2918"/>
      <c r="E2918"/>
      <c r="F2918"/>
      <c r="H2918"/>
    </row>
    <row r="2919" spans="1:8" ht="15">
      <c r="A2919"/>
      <c r="B2919"/>
      <c r="D2919"/>
      <c r="E2919"/>
      <c r="F2919"/>
      <c r="H2919"/>
    </row>
    <row r="2920" spans="1:8" ht="15">
      <c r="A2920"/>
      <c r="B2920"/>
      <c r="D2920"/>
      <c r="E2920"/>
      <c r="F2920"/>
      <c r="H2920"/>
    </row>
    <row r="2921" spans="1:8" ht="15">
      <c r="A2921"/>
      <c r="B2921"/>
      <c r="D2921"/>
      <c r="E2921"/>
      <c r="F2921"/>
      <c r="H2921"/>
    </row>
    <row r="2922" spans="1:8" ht="15">
      <c r="A2922"/>
      <c r="B2922"/>
      <c r="D2922"/>
      <c r="E2922"/>
      <c r="F2922"/>
      <c r="H2922"/>
    </row>
    <row r="2923" spans="1:8" ht="15">
      <c r="A2923"/>
      <c r="B2923"/>
      <c r="D2923"/>
      <c r="E2923"/>
      <c r="F2923"/>
      <c r="H2923"/>
    </row>
    <row r="2924" spans="1:8" ht="15">
      <c r="A2924"/>
      <c r="B2924"/>
      <c r="D2924"/>
      <c r="E2924"/>
      <c r="F2924"/>
      <c r="H2924"/>
    </row>
    <row r="2925" spans="1:8" ht="15">
      <c r="A2925"/>
      <c r="B2925"/>
      <c r="D2925"/>
      <c r="E2925"/>
      <c r="F2925"/>
      <c r="H2925"/>
    </row>
    <row r="2926" spans="1:8" ht="15">
      <c r="A2926"/>
      <c r="B2926"/>
      <c r="D2926"/>
      <c r="E2926"/>
      <c r="F2926"/>
      <c r="H2926"/>
    </row>
    <row r="2927" spans="1:8" ht="15">
      <c r="A2927"/>
      <c r="B2927"/>
      <c r="D2927"/>
      <c r="E2927"/>
      <c r="F2927"/>
      <c r="H2927"/>
    </row>
    <row r="2928" spans="1:8" ht="15">
      <c r="A2928"/>
      <c r="B2928"/>
      <c r="D2928"/>
      <c r="E2928"/>
      <c r="F2928"/>
      <c r="H2928"/>
    </row>
    <row r="2929" spans="1:8" ht="15">
      <c r="A2929"/>
      <c r="B2929"/>
      <c r="D2929"/>
      <c r="E2929"/>
      <c r="F2929"/>
      <c r="H2929"/>
    </row>
    <row r="2930" spans="1:8" ht="15">
      <c r="A2930"/>
      <c r="B2930"/>
      <c r="D2930"/>
      <c r="E2930"/>
      <c r="F2930"/>
      <c r="H2930"/>
    </row>
    <row r="2931" spans="1:8" ht="15">
      <c r="A2931"/>
      <c r="B2931"/>
      <c r="D2931"/>
      <c r="E2931"/>
      <c r="F2931"/>
      <c r="H2931"/>
    </row>
    <row r="2932" spans="1:8" ht="15">
      <c r="A2932"/>
      <c r="B2932"/>
      <c r="D2932"/>
      <c r="E2932"/>
      <c r="F2932"/>
      <c r="H2932"/>
    </row>
    <row r="2933" spans="1:8" ht="15">
      <c r="A2933"/>
      <c r="B2933"/>
      <c r="D2933"/>
      <c r="E2933"/>
      <c r="F2933"/>
      <c r="H2933"/>
    </row>
    <row r="2934" spans="1:8" ht="15">
      <c r="A2934"/>
      <c r="B2934"/>
      <c r="D2934"/>
      <c r="E2934"/>
      <c r="F2934"/>
      <c r="H2934"/>
    </row>
    <row r="2935" spans="1:8" ht="15">
      <c r="A2935"/>
      <c r="B2935"/>
      <c r="D2935"/>
      <c r="E2935"/>
      <c r="F2935"/>
      <c r="H2935"/>
    </row>
    <row r="2936" spans="1:8" ht="15">
      <c r="A2936"/>
      <c r="B2936"/>
      <c r="D2936"/>
      <c r="E2936"/>
      <c r="F2936"/>
      <c r="H2936"/>
    </row>
    <row r="2937" spans="1:8" ht="15">
      <c r="A2937"/>
      <c r="B2937"/>
      <c r="D2937"/>
      <c r="E2937"/>
      <c r="F2937"/>
      <c r="H2937"/>
    </row>
    <row r="2938" spans="1:8" ht="15">
      <c r="A2938"/>
      <c r="B2938"/>
      <c r="D2938"/>
      <c r="E2938"/>
      <c r="F2938"/>
      <c r="H2938"/>
    </row>
    <row r="2939" spans="1:8" ht="15">
      <c r="A2939"/>
      <c r="B2939"/>
      <c r="D2939"/>
      <c r="E2939"/>
      <c r="F2939"/>
      <c r="H2939"/>
    </row>
    <row r="2940" spans="1:8" ht="15">
      <c r="A2940"/>
      <c r="B2940"/>
      <c r="D2940"/>
      <c r="E2940"/>
      <c r="F2940"/>
      <c r="H2940"/>
    </row>
    <row r="2941" spans="1:8" ht="15">
      <c r="A2941"/>
      <c r="B2941"/>
      <c r="D2941"/>
      <c r="E2941"/>
      <c r="F2941"/>
      <c r="H2941"/>
    </row>
    <row r="2942" spans="1:8" ht="15">
      <c r="A2942"/>
      <c r="B2942"/>
      <c r="D2942"/>
      <c r="E2942"/>
      <c r="F2942"/>
      <c r="H2942"/>
    </row>
    <row r="2943" spans="1:8" ht="15">
      <c r="A2943"/>
      <c r="B2943"/>
      <c r="D2943"/>
      <c r="E2943"/>
      <c r="F2943"/>
      <c r="H2943"/>
    </row>
    <row r="2944" spans="1:8" ht="15">
      <c r="A2944"/>
      <c r="B2944"/>
      <c r="D2944"/>
      <c r="E2944"/>
      <c r="F2944"/>
      <c r="H2944"/>
    </row>
    <row r="2945" spans="1:8" ht="15">
      <c r="A2945"/>
      <c r="B2945"/>
      <c r="D2945"/>
      <c r="E2945"/>
      <c r="F2945"/>
      <c r="H2945"/>
    </row>
    <row r="2946" spans="1:8" ht="15">
      <c r="A2946"/>
      <c r="B2946"/>
      <c r="D2946"/>
      <c r="E2946"/>
      <c r="F2946"/>
      <c r="H2946"/>
    </row>
    <row r="2947" spans="1:8" ht="15">
      <c r="A2947"/>
      <c r="B2947"/>
      <c r="D2947"/>
      <c r="E2947"/>
      <c r="F2947"/>
      <c r="H2947"/>
    </row>
    <row r="2948" spans="1:8" ht="15">
      <c r="A2948"/>
      <c r="B2948"/>
      <c r="D2948"/>
      <c r="E2948"/>
      <c r="F2948"/>
      <c r="H2948"/>
    </row>
    <row r="2949" spans="1:8" ht="15">
      <c r="A2949"/>
      <c r="B2949"/>
      <c r="D2949"/>
      <c r="E2949"/>
      <c r="F2949"/>
      <c r="H2949"/>
    </row>
    <row r="2950" spans="1:8" ht="15">
      <c r="A2950"/>
      <c r="B2950"/>
      <c r="D2950"/>
      <c r="E2950"/>
      <c r="F2950"/>
      <c r="H2950"/>
    </row>
    <row r="2951" spans="1:8" ht="15">
      <c r="A2951"/>
      <c r="B2951"/>
      <c r="D2951"/>
      <c r="E2951"/>
      <c r="F2951"/>
      <c r="H2951"/>
    </row>
    <row r="2952" spans="1:8" ht="15">
      <c r="A2952"/>
      <c r="B2952"/>
      <c r="D2952"/>
      <c r="E2952"/>
      <c r="F2952"/>
      <c r="H2952"/>
    </row>
    <row r="2953" spans="1:8" ht="15">
      <c r="A2953"/>
      <c r="B2953"/>
      <c r="D2953"/>
      <c r="E2953"/>
      <c r="F2953"/>
      <c r="H2953"/>
    </row>
    <row r="2954" spans="1:8" ht="15">
      <c r="A2954"/>
      <c r="B2954"/>
      <c r="D2954"/>
      <c r="E2954"/>
      <c r="F2954"/>
      <c r="H2954"/>
    </row>
    <row r="2955" spans="1:8" ht="15">
      <c r="A2955"/>
      <c r="B2955"/>
      <c r="D2955"/>
      <c r="E2955"/>
      <c r="F2955"/>
      <c r="H2955"/>
    </row>
    <row r="2956" spans="1:8" ht="15">
      <c r="A2956"/>
      <c r="B2956"/>
      <c r="D2956"/>
      <c r="E2956"/>
      <c r="F2956"/>
      <c r="H2956"/>
    </row>
    <row r="2957" spans="1:8" ht="15">
      <c r="A2957"/>
      <c r="B2957"/>
      <c r="D2957"/>
      <c r="E2957"/>
      <c r="F2957"/>
      <c r="H2957"/>
    </row>
    <row r="2958" spans="1:8" ht="15">
      <c r="A2958"/>
      <c r="B2958"/>
      <c r="D2958"/>
      <c r="E2958"/>
      <c r="F2958"/>
      <c r="H2958"/>
    </row>
    <row r="2959" spans="1:8" ht="15">
      <c r="A2959"/>
      <c r="B2959"/>
      <c r="D2959"/>
      <c r="E2959"/>
      <c r="F2959"/>
      <c r="H2959"/>
    </row>
    <row r="2960" spans="1:8" ht="15">
      <c r="A2960"/>
      <c r="B2960"/>
      <c r="D2960"/>
      <c r="E2960"/>
      <c r="F2960"/>
      <c r="H2960"/>
    </row>
    <row r="2961" spans="1:8" ht="15">
      <c r="A2961"/>
      <c r="B2961"/>
      <c r="D2961"/>
      <c r="E2961"/>
      <c r="F2961"/>
      <c r="H2961"/>
    </row>
    <row r="2962" spans="1:8" ht="15">
      <c r="A2962"/>
      <c r="B2962"/>
      <c r="D2962"/>
      <c r="E2962"/>
      <c r="F2962"/>
      <c r="H2962"/>
    </row>
    <row r="2963" spans="1:8" ht="15">
      <c r="A2963"/>
      <c r="B2963"/>
      <c r="D2963"/>
      <c r="E2963"/>
      <c r="F2963"/>
      <c r="H2963"/>
    </row>
    <row r="2964" spans="1:8" ht="15">
      <c r="A2964"/>
      <c r="B2964"/>
      <c r="D2964"/>
      <c r="E2964"/>
      <c r="F2964"/>
      <c r="H2964"/>
    </row>
    <row r="2965" spans="1:8" ht="15">
      <c r="A2965"/>
      <c r="B2965"/>
      <c r="D2965"/>
      <c r="E2965"/>
      <c r="F2965"/>
      <c r="H2965"/>
    </row>
    <row r="2966" spans="1:8" ht="15">
      <c r="A2966"/>
      <c r="B2966"/>
      <c r="D2966"/>
      <c r="E2966"/>
      <c r="F2966"/>
      <c r="H2966"/>
    </row>
    <row r="2967" spans="1:8" ht="15">
      <c r="A2967"/>
      <c r="B2967"/>
      <c r="D2967"/>
      <c r="E2967"/>
      <c r="F2967"/>
      <c r="H2967"/>
    </row>
    <row r="2968" spans="1:8" ht="15">
      <c r="A2968"/>
      <c r="B2968"/>
      <c r="D2968"/>
      <c r="E2968"/>
      <c r="F2968"/>
      <c r="H2968"/>
    </row>
    <row r="2969" spans="1:8" ht="15">
      <c r="A2969"/>
      <c r="B2969"/>
      <c r="D2969"/>
      <c r="E2969"/>
      <c r="F2969"/>
      <c r="H2969"/>
    </row>
    <row r="2970" spans="1:8" ht="15">
      <c r="A2970"/>
      <c r="B2970"/>
      <c r="D2970"/>
      <c r="E2970"/>
      <c r="F2970"/>
      <c r="H2970"/>
    </row>
    <row r="2971" spans="1:8" ht="15">
      <c r="A2971"/>
      <c r="B2971"/>
      <c r="D2971"/>
      <c r="E2971"/>
      <c r="F2971"/>
      <c r="H2971"/>
    </row>
    <row r="2972" spans="1:8" ht="15">
      <c r="A2972"/>
      <c r="B2972"/>
      <c r="D2972"/>
      <c r="E2972"/>
      <c r="F2972"/>
      <c r="H2972"/>
    </row>
    <row r="2973" spans="1:8" ht="15">
      <c r="A2973"/>
      <c r="B2973"/>
      <c r="D2973"/>
      <c r="E2973"/>
      <c r="F2973"/>
      <c r="H2973"/>
    </row>
    <row r="2974" spans="1:8" ht="15">
      <c r="A2974"/>
      <c r="B2974"/>
      <c r="D2974"/>
      <c r="E2974"/>
      <c r="F2974"/>
      <c r="H2974"/>
    </row>
    <row r="2975" spans="1:8" ht="15">
      <c r="A2975"/>
      <c r="B2975"/>
      <c r="D2975"/>
      <c r="E2975"/>
      <c r="F2975"/>
      <c r="H2975"/>
    </row>
    <row r="2976" spans="1:8" ht="15">
      <c r="A2976"/>
      <c r="B2976"/>
      <c r="D2976"/>
      <c r="E2976"/>
      <c r="F2976"/>
      <c r="H2976"/>
    </row>
    <row r="2977" spans="1:8" ht="15">
      <c r="A2977"/>
      <c r="B2977"/>
      <c r="D2977"/>
      <c r="E2977"/>
      <c r="F2977"/>
      <c r="H2977"/>
    </row>
    <row r="2978" spans="1:8" ht="15">
      <c r="A2978"/>
      <c r="B2978"/>
      <c r="D2978"/>
      <c r="E2978"/>
      <c r="F2978"/>
      <c r="H2978"/>
    </row>
    <row r="2979" spans="1:8" ht="15">
      <c r="A2979"/>
      <c r="B2979"/>
      <c r="D2979"/>
      <c r="E2979"/>
      <c r="F2979"/>
      <c r="H2979"/>
    </row>
    <row r="2980" spans="1:8" ht="15">
      <c r="A2980"/>
      <c r="B2980"/>
      <c r="D2980"/>
      <c r="E2980"/>
      <c r="F2980"/>
      <c r="H2980"/>
    </row>
    <row r="2981" spans="1:8" ht="15">
      <c r="A2981"/>
      <c r="B2981"/>
      <c r="D2981"/>
      <c r="E2981"/>
      <c r="F2981"/>
      <c r="H2981"/>
    </row>
    <row r="2982" spans="1:8" ht="15">
      <c r="A2982"/>
      <c r="B2982"/>
      <c r="D2982"/>
      <c r="E2982"/>
      <c r="F2982"/>
      <c r="H2982"/>
    </row>
    <row r="2983" spans="1:8" ht="15">
      <c r="A2983"/>
      <c r="B2983"/>
      <c r="D2983"/>
      <c r="E2983"/>
      <c r="F2983"/>
      <c r="H2983"/>
    </row>
    <row r="2984" spans="1:8" ht="15">
      <c r="A2984"/>
      <c r="B2984"/>
      <c r="D2984"/>
      <c r="E2984"/>
      <c r="F2984"/>
      <c r="H2984"/>
    </row>
    <row r="2985" spans="1:8" ht="15">
      <c r="A2985"/>
      <c r="B2985"/>
      <c r="D2985"/>
      <c r="E2985"/>
      <c r="F2985"/>
      <c r="H2985"/>
    </row>
    <row r="2986" spans="1:8" ht="15">
      <c r="A2986"/>
      <c r="B2986"/>
      <c r="D2986"/>
      <c r="E2986"/>
      <c r="F2986"/>
      <c r="H2986"/>
    </row>
    <row r="2987" spans="1:8" ht="15">
      <c r="A2987"/>
      <c r="B2987"/>
      <c r="D2987"/>
      <c r="E2987"/>
      <c r="F2987"/>
      <c r="H2987"/>
    </row>
    <row r="2988" spans="1:8" ht="15">
      <c r="A2988"/>
      <c r="B2988"/>
      <c r="D2988"/>
      <c r="E2988"/>
      <c r="F2988"/>
      <c r="H2988"/>
    </row>
    <row r="2989" spans="1:8" ht="15">
      <c r="A2989"/>
      <c r="B2989"/>
      <c r="D2989"/>
      <c r="E2989"/>
      <c r="F2989"/>
      <c r="H2989"/>
    </row>
    <row r="2990" spans="1:8" ht="15">
      <c r="A2990"/>
      <c r="B2990"/>
      <c r="D2990"/>
      <c r="E2990"/>
      <c r="F2990"/>
      <c r="H2990"/>
    </row>
    <row r="2991" spans="1:8" ht="15">
      <c r="A2991"/>
      <c r="B2991"/>
      <c r="D2991"/>
      <c r="E2991"/>
      <c r="F2991"/>
      <c r="H2991"/>
    </row>
    <row r="2992" spans="1:8" ht="15">
      <c r="A2992"/>
      <c r="B2992"/>
      <c r="D2992"/>
      <c r="E2992"/>
      <c r="F2992"/>
      <c r="H2992"/>
    </row>
    <row r="2993" spans="1:8" ht="15">
      <c r="A2993"/>
      <c r="B2993"/>
      <c r="D2993"/>
      <c r="E2993"/>
      <c r="F2993"/>
      <c r="H2993"/>
    </row>
    <row r="2994" spans="1:8" ht="15">
      <c r="A2994"/>
      <c r="B2994"/>
      <c r="D2994"/>
      <c r="E2994"/>
      <c r="F2994"/>
      <c r="H2994"/>
    </row>
    <row r="2995" spans="1:8" ht="15">
      <c r="A2995"/>
      <c r="B2995"/>
      <c r="D2995"/>
      <c r="E2995"/>
      <c r="F2995"/>
      <c r="H2995"/>
    </row>
    <row r="2996" spans="1:8" ht="15">
      <c r="A2996"/>
      <c r="B2996"/>
      <c r="D2996"/>
      <c r="E2996"/>
      <c r="F2996"/>
      <c r="H2996"/>
    </row>
    <row r="2997" spans="1:8" ht="15">
      <c r="A2997"/>
      <c r="B2997"/>
      <c r="D2997"/>
      <c r="E2997"/>
      <c r="F2997"/>
      <c r="H2997"/>
    </row>
    <row r="2998" spans="1:8" ht="15">
      <c r="A2998"/>
      <c r="B2998"/>
      <c r="D2998"/>
      <c r="E2998"/>
      <c r="F2998"/>
      <c r="H2998"/>
    </row>
    <row r="2999" spans="1:8" ht="15">
      <c r="A2999"/>
      <c r="B2999"/>
      <c r="D2999"/>
      <c r="E2999"/>
      <c r="F2999"/>
      <c r="H2999"/>
    </row>
    <row r="3000" spans="1:8" ht="15">
      <c r="A3000"/>
      <c r="B3000"/>
      <c r="D3000"/>
      <c r="E3000"/>
      <c r="F3000"/>
      <c r="H3000"/>
    </row>
    <row r="3001" spans="1:8" ht="15">
      <c r="A3001"/>
      <c r="B3001"/>
      <c r="D3001"/>
      <c r="E3001"/>
      <c r="F3001"/>
      <c r="H3001"/>
    </row>
    <row r="3002" spans="1:8" ht="15">
      <c r="A3002"/>
      <c r="B3002"/>
      <c r="D3002"/>
      <c r="E3002"/>
      <c r="F3002"/>
      <c r="H3002"/>
    </row>
    <row r="3003" spans="1:8" ht="15">
      <c r="A3003"/>
      <c r="B3003"/>
      <c r="D3003"/>
      <c r="E3003"/>
      <c r="F3003"/>
      <c r="H3003"/>
    </row>
    <row r="3004" spans="1:8" ht="15">
      <c r="A3004"/>
      <c r="B3004"/>
      <c r="D3004"/>
      <c r="E3004"/>
      <c r="F3004"/>
      <c r="H3004"/>
    </row>
    <row r="3005" spans="1:8" ht="15">
      <c r="A3005"/>
      <c r="B3005"/>
      <c r="D3005"/>
      <c r="E3005"/>
      <c r="F3005"/>
      <c r="H3005"/>
    </row>
    <row r="3006" spans="1:8" ht="15">
      <c r="A3006"/>
      <c r="B3006"/>
      <c r="D3006"/>
      <c r="E3006"/>
      <c r="F3006"/>
      <c r="H3006"/>
    </row>
    <row r="3007" spans="1:8" ht="15">
      <c r="A3007"/>
      <c r="B3007"/>
      <c r="D3007"/>
      <c r="E3007"/>
      <c r="F3007"/>
      <c r="H3007"/>
    </row>
    <row r="3008" spans="1:8" ht="15">
      <c r="A3008"/>
      <c r="B3008"/>
      <c r="D3008"/>
      <c r="E3008"/>
      <c r="F3008"/>
      <c r="H3008"/>
    </row>
    <row r="3009" spans="1:8" ht="15">
      <c r="A3009"/>
      <c r="B3009"/>
      <c r="D3009"/>
      <c r="E3009"/>
      <c r="F3009"/>
      <c r="H3009"/>
    </row>
    <row r="3010" spans="1:8" ht="15">
      <c r="A3010"/>
      <c r="B3010"/>
      <c r="D3010"/>
      <c r="E3010"/>
      <c r="F3010"/>
      <c r="H3010"/>
    </row>
    <row r="3011" spans="1:8" ht="15">
      <c r="A3011"/>
      <c r="B3011"/>
      <c r="D3011"/>
      <c r="E3011"/>
      <c r="F3011"/>
      <c r="H3011"/>
    </row>
    <row r="3012" spans="1:8" ht="15">
      <c r="A3012"/>
      <c r="B3012"/>
      <c r="D3012"/>
      <c r="E3012"/>
      <c r="F3012"/>
      <c r="H3012"/>
    </row>
    <row r="3013" spans="1:8" ht="15">
      <c r="A3013"/>
      <c r="B3013"/>
      <c r="D3013"/>
      <c r="E3013"/>
      <c r="F3013"/>
      <c r="H3013"/>
    </row>
    <row r="3014" spans="1:8" ht="15">
      <c r="A3014"/>
      <c r="B3014"/>
      <c r="D3014"/>
      <c r="E3014"/>
      <c r="F3014"/>
      <c r="H3014"/>
    </row>
    <row r="3015" spans="1:8" ht="15">
      <c r="A3015"/>
      <c r="B3015"/>
      <c r="D3015"/>
      <c r="E3015"/>
      <c r="F3015"/>
      <c r="H3015"/>
    </row>
    <row r="3016" spans="1:8" ht="15">
      <c r="A3016"/>
      <c r="B3016"/>
      <c r="D3016"/>
      <c r="E3016"/>
      <c r="F3016"/>
      <c r="H3016"/>
    </row>
    <row r="3017" spans="1:8" ht="15">
      <c r="A3017"/>
      <c r="B3017"/>
      <c r="D3017"/>
      <c r="E3017"/>
      <c r="F3017"/>
      <c r="H3017"/>
    </row>
    <row r="3018" spans="1:8" ht="15">
      <c r="A3018"/>
      <c r="B3018"/>
      <c r="D3018"/>
      <c r="E3018"/>
      <c r="F3018"/>
      <c r="H3018"/>
    </row>
    <row r="3019" spans="1:8" ht="15">
      <c r="A3019"/>
      <c r="B3019"/>
      <c r="D3019"/>
      <c r="E3019"/>
      <c r="F3019"/>
      <c r="H3019"/>
    </row>
    <row r="3020" spans="1:8" ht="15">
      <c r="A3020"/>
      <c r="B3020"/>
      <c r="D3020"/>
      <c r="E3020"/>
      <c r="F3020"/>
      <c r="H3020"/>
    </row>
    <row r="3021" spans="1:8" ht="15">
      <c r="A3021"/>
      <c r="B3021"/>
      <c r="D3021"/>
      <c r="E3021"/>
      <c r="F3021"/>
      <c r="H3021"/>
    </row>
    <row r="3022" spans="1:8" ht="15">
      <c r="A3022"/>
      <c r="B3022"/>
      <c r="D3022"/>
      <c r="E3022"/>
      <c r="F3022"/>
      <c r="H3022"/>
    </row>
    <row r="3023" spans="1:8" ht="15">
      <c r="A3023"/>
      <c r="B3023"/>
      <c r="D3023"/>
      <c r="E3023"/>
      <c r="F3023"/>
      <c r="H3023"/>
    </row>
    <row r="3024" spans="1:8" ht="15">
      <c r="A3024"/>
      <c r="B3024"/>
      <c r="D3024"/>
      <c r="E3024"/>
      <c r="F3024"/>
      <c r="H3024"/>
    </row>
    <row r="3025" spans="1:8" ht="15">
      <c r="A3025"/>
      <c r="B3025"/>
      <c r="D3025"/>
      <c r="E3025"/>
      <c r="F3025"/>
      <c r="H3025"/>
    </row>
    <row r="3026" spans="1:8" ht="15">
      <c r="A3026"/>
      <c r="B3026"/>
      <c r="D3026"/>
      <c r="E3026"/>
      <c r="F3026"/>
      <c r="H3026"/>
    </row>
    <row r="3027" spans="1:8" ht="15">
      <c r="A3027"/>
      <c r="B3027"/>
      <c r="D3027"/>
      <c r="E3027"/>
      <c r="F3027"/>
      <c r="H3027"/>
    </row>
    <row r="3028" spans="1:8" ht="15">
      <c r="A3028"/>
      <c r="B3028"/>
      <c r="D3028"/>
      <c r="E3028"/>
      <c r="F3028"/>
      <c r="H3028"/>
    </row>
    <row r="3029" spans="1:8" ht="15">
      <c r="A3029"/>
      <c r="B3029"/>
      <c r="D3029"/>
      <c r="E3029"/>
      <c r="F3029"/>
      <c r="H3029"/>
    </row>
    <row r="3030" spans="1:8" ht="15">
      <c r="A3030"/>
      <c r="B3030"/>
      <c r="D3030"/>
      <c r="E3030"/>
      <c r="F3030"/>
      <c r="H3030"/>
    </row>
    <row r="3031" spans="1:8" ht="15">
      <c r="A3031"/>
      <c r="B3031"/>
      <c r="D3031"/>
      <c r="E3031"/>
      <c r="F3031"/>
      <c r="H3031"/>
    </row>
    <row r="3032" spans="1:8" ht="15">
      <c r="A3032"/>
      <c r="B3032"/>
      <c r="D3032"/>
      <c r="E3032"/>
      <c r="F3032"/>
      <c r="H3032"/>
    </row>
    <row r="3033" spans="1:8" ht="15">
      <c r="A3033"/>
      <c r="B3033"/>
      <c r="D3033"/>
      <c r="E3033"/>
      <c r="F3033"/>
      <c r="H3033"/>
    </row>
    <row r="3034" spans="1:8" ht="15">
      <c r="A3034"/>
      <c r="B3034"/>
      <c r="D3034"/>
      <c r="E3034"/>
      <c r="F3034"/>
      <c r="H3034"/>
    </row>
    <row r="3035" spans="1:8" ht="15">
      <c r="A3035"/>
      <c r="B3035"/>
      <c r="D3035"/>
      <c r="E3035"/>
      <c r="F3035"/>
      <c r="H3035"/>
    </row>
    <row r="3036" spans="1:8" ht="15">
      <c r="A3036"/>
      <c r="B3036"/>
      <c r="D3036"/>
      <c r="E3036"/>
      <c r="F3036"/>
      <c r="H3036"/>
    </row>
    <row r="3037" spans="1:8" ht="15">
      <c r="A3037"/>
      <c r="B3037"/>
      <c r="D3037"/>
      <c r="E3037"/>
      <c r="F3037"/>
      <c r="H3037"/>
    </row>
    <row r="3038" spans="1:8" ht="15">
      <c r="A3038"/>
      <c r="B3038"/>
      <c r="D3038"/>
      <c r="E3038"/>
      <c r="F3038"/>
      <c r="H3038"/>
    </row>
    <row r="3039" spans="1:8" ht="15">
      <c r="A3039"/>
      <c r="B3039"/>
      <c r="D3039"/>
      <c r="E3039"/>
      <c r="F3039"/>
      <c r="H3039"/>
    </row>
    <row r="3040" spans="1:8" ht="15">
      <c r="A3040"/>
      <c r="B3040"/>
      <c r="D3040"/>
      <c r="E3040"/>
      <c r="F3040"/>
      <c r="H3040"/>
    </row>
    <row r="3041" spans="1:8" ht="15">
      <c r="A3041"/>
      <c r="B3041"/>
      <c r="D3041"/>
      <c r="E3041"/>
      <c r="F3041"/>
      <c r="H3041"/>
    </row>
    <row r="3042" spans="1:8" ht="15">
      <c r="A3042"/>
      <c r="B3042"/>
      <c r="D3042"/>
      <c r="E3042"/>
      <c r="F3042"/>
      <c r="H3042"/>
    </row>
    <row r="3043" spans="1:8" ht="15">
      <c r="A3043"/>
      <c r="B3043"/>
      <c r="D3043"/>
      <c r="E3043"/>
      <c r="F3043"/>
      <c r="H3043"/>
    </row>
    <row r="3044" spans="1:8" ht="15">
      <c r="A3044"/>
      <c r="B3044"/>
      <c r="D3044"/>
      <c r="E3044"/>
      <c r="F3044"/>
      <c r="H3044"/>
    </row>
    <row r="3045" spans="1:8" ht="15">
      <c r="A3045"/>
      <c r="B3045"/>
      <c r="D3045"/>
      <c r="E3045"/>
      <c r="F3045"/>
      <c r="H3045"/>
    </row>
    <row r="3046" spans="1:8" ht="15">
      <c r="A3046"/>
      <c r="B3046"/>
      <c r="D3046"/>
      <c r="E3046"/>
      <c r="F3046"/>
      <c r="H3046"/>
    </row>
    <row r="3047" spans="1:8" ht="15">
      <c r="A3047"/>
      <c r="B3047"/>
      <c r="D3047"/>
      <c r="E3047"/>
      <c r="F3047"/>
      <c r="H3047"/>
    </row>
    <row r="3048" spans="1:8" ht="15">
      <c r="A3048"/>
      <c r="B3048"/>
      <c r="D3048"/>
      <c r="E3048"/>
      <c r="F3048"/>
      <c r="H3048"/>
    </row>
    <row r="3049" spans="1:8" ht="15">
      <c r="A3049"/>
      <c r="B3049"/>
      <c r="D3049"/>
      <c r="E3049"/>
      <c r="F3049"/>
      <c r="H3049"/>
    </row>
    <row r="3050" spans="1:8" ht="15">
      <c r="A3050"/>
      <c r="B3050"/>
      <c r="D3050"/>
      <c r="E3050"/>
      <c r="F3050"/>
      <c r="H3050"/>
    </row>
    <row r="3051" spans="1:8" ht="15">
      <c r="A3051"/>
      <c r="B3051"/>
      <c r="D3051"/>
      <c r="E3051"/>
      <c r="F3051"/>
      <c r="H3051"/>
    </row>
    <row r="3052" spans="1:8" ht="15">
      <c r="A3052"/>
      <c r="B3052"/>
      <c r="D3052"/>
      <c r="E3052"/>
      <c r="F3052"/>
      <c r="H3052"/>
    </row>
    <row r="3053" spans="1:8" ht="15">
      <c r="A3053"/>
      <c r="B3053"/>
      <c r="D3053"/>
      <c r="E3053"/>
      <c r="F3053"/>
      <c r="H3053"/>
    </row>
    <row r="3054" spans="1:8" ht="15">
      <c r="A3054"/>
      <c r="B3054"/>
      <c r="D3054"/>
      <c r="E3054"/>
      <c r="F3054"/>
      <c r="H3054"/>
    </row>
    <row r="3055" spans="1:8" ht="15">
      <c r="A3055"/>
      <c r="B3055"/>
      <c r="D3055"/>
      <c r="E3055"/>
      <c r="F3055"/>
      <c r="H3055"/>
    </row>
    <row r="3056" spans="1:8" ht="15">
      <c r="A3056"/>
      <c r="B3056"/>
      <c r="D3056"/>
      <c r="E3056"/>
      <c r="F3056"/>
      <c r="H3056"/>
    </row>
    <row r="3057" spans="1:8" ht="15">
      <c r="A3057"/>
      <c r="B3057"/>
      <c r="D3057"/>
      <c r="E3057"/>
      <c r="F3057"/>
      <c r="H3057"/>
    </row>
    <row r="3058" spans="1:8" ht="15">
      <c r="A3058"/>
      <c r="B3058"/>
      <c r="D3058"/>
      <c r="E3058"/>
      <c r="F3058"/>
      <c r="H3058"/>
    </row>
    <row r="3059" spans="1:8" ht="15">
      <c r="A3059"/>
      <c r="B3059"/>
      <c r="D3059"/>
      <c r="E3059"/>
      <c r="F3059"/>
      <c r="H3059"/>
    </row>
    <row r="3060" spans="1:8" ht="15">
      <c r="A3060"/>
      <c r="B3060"/>
      <c r="D3060"/>
      <c r="E3060"/>
      <c r="F3060"/>
      <c r="H3060"/>
    </row>
    <row r="3061" spans="1:8" ht="15">
      <c r="A3061"/>
      <c r="B3061"/>
      <c r="D3061"/>
      <c r="E3061"/>
      <c r="F3061"/>
      <c r="H3061"/>
    </row>
    <row r="3062" spans="1:8" ht="15">
      <c r="A3062"/>
      <c r="B3062"/>
      <c r="D3062"/>
      <c r="E3062"/>
      <c r="F3062"/>
      <c r="H3062"/>
    </row>
    <row r="3063" spans="1:8" ht="15">
      <c r="A3063"/>
      <c r="B3063"/>
      <c r="D3063"/>
      <c r="E3063"/>
      <c r="F3063"/>
      <c r="H3063"/>
    </row>
    <row r="3064" spans="1:8" ht="15">
      <c r="A3064"/>
      <c r="B3064"/>
      <c r="D3064"/>
      <c r="E3064"/>
      <c r="F3064"/>
      <c r="H3064"/>
    </row>
    <row r="3065" spans="1:8" ht="15">
      <c r="A3065"/>
      <c r="B3065"/>
      <c r="D3065"/>
      <c r="E3065"/>
      <c r="F3065"/>
      <c r="H3065"/>
    </row>
    <row r="3066" spans="1:8" ht="15">
      <c r="A3066"/>
      <c r="B3066"/>
      <c r="D3066"/>
      <c r="E3066"/>
      <c r="F3066"/>
      <c r="H3066"/>
    </row>
    <row r="3067" spans="1:8" ht="15">
      <c r="A3067"/>
      <c r="B3067"/>
      <c r="D3067"/>
      <c r="E3067"/>
      <c r="F3067"/>
      <c r="H3067"/>
    </row>
    <row r="3068" spans="1:8" ht="15">
      <c r="A3068"/>
      <c r="B3068"/>
      <c r="D3068"/>
      <c r="E3068"/>
      <c r="F3068"/>
      <c r="H3068"/>
    </row>
    <row r="3069" spans="1:8" ht="15">
      <c r="A3069"/>
      <c r="B3069"/>
      <c r="D3069"/>
      <c r="E3069"/>
      <c r="F3069"/>
      <c r="H3069"/>
    </row>
    <row r="3070" spans="1:8" ht="15">
      <c r="A3070"/>
      <c r="B3070"/>
      <c r="D3070"/>
      <c r="E3070"/>
      <c r="F3070"/>
      <c r="H3070"/>
    </row>
    <row r="3071" spans="1:8" ht="15">
      <c r="A3071"/>
      <c r="B3071"/>
      <c r="D3071"/>
      <c r="E3071"/>
      <c r="F3071"/>
      <c r="H3071"/>
    </row>
    <row r="3072" spans="1:8" ht="15">
      <c r="A3072"/>
      <c r="B3072"/>
      <c r="D3072"/>
      <c r="E3072"/>
      <c r="F3072"/>
      <c r="H3072"/>
    </row>
    <row r="3073" spans="1:8" ht="15">
      <c r="A3073"/>
      <c r="B3073"/>
      <c r="D3073"/>
      <c r="E3073"/>
      <c r="F3073"/>
      <c r="H3073"/>
    </row>
    <row r="3074" spans="1:8" ht="15">
      <c r="A3074"/>
      <c r="B3074"/>
      <c r="D3074"/>
      <c r="E3074"/>
      <c r="F3074"/>
      <c r="H3074"/>
    </row>
    <row r="3075" spans="1:8" ht="15">
      <c r="A3075"/>
      <c r="B3075"/>
      <c r="D3075"/>
      <c r="E3075"/>
      <c r="F3075"/>
      <c r="H3075"/>
    </row>
    <row r="3076" spans="1:8" ht="15">
      <c r="A3076"/>
      <c r="B3076"/>
      <c r="D3076"/>
      <c r="E3076"/>
      <c r="F3076"/>
      <c r="H3076"/>
    </row>
    <row r="3077" spans="1:8" ht="15">
      <c r="A3077"/>
      <c r="B3077"/>
      <c r="D3077"/>
      <c r="E3077"/>
      <c r="F3077"/>
      <c r="H3077"/>
    </row>
    <row r="3078" spans="1:8" ht="15">
      <c r="A3078"/>
      <c r="B3078"/>
      <c r="D3078"/>
      <c r="E3078"/>
      <c r="F3078"/>
      <c r="H3078"/>
    </row>
    <row r="3079" spans="1:8" ht="15">
      <c r="A3079"/>
      <c r="B3079"/>
      <c r="D3079"/>
      <c r="E3079"/>
      <c r="F3079"/>
      <c r="H3079"/>
    </row>
    <row r="3080" spans="1:8" ht="15">
      <c r="A3080"/>
      <c r="B3080"/>
      <c r="D3080"/>
      <c r="E3080"/>
      <c r="F3080"/>
      <c r="H3080"/>
    </row>
    <row r="3081" spans="1:8" ht="15">
      <c r="A3081"/>
      <c r="B3081"/>
      <c r="D3081"/>
      <c r="E3081"/>
      <c r="F3081"/>
      <c r="H3081"/>
    </row>
    <row r="3082" spans="1:8" ht="15">
      <c r="A3082"/>
      <c r="B3082"/>
      <c r="D3082"/>
      <c r="E3082"/>
      <c r="F3082"/>
      <c r="H3082"/>
    </row>
    <row r="3083" spans="1:8" ht="15">
      <c r="A3083"/>
      <c r="B3083"/>
      <c r="D3083"/>
      <c r="E3083"/>
      <c r="F3083"/>
      <c r="H3083"/>
    </row>
    <row r="3084" spans="1:8" ht="15">
      <c r="A3084"/>
      <c r="B3084"/>
      <c r="D3084"/>
      <c r="E3084"/>
      <c r="F3084"/>
      <c r="H3084"/>
    </row>
    <row r="3085" spans="1:8" ht="15">
      <c r="A3085"/>
      <c r="B3085"/>
      <c r="D3085"/>
      <c r="E3085"/>
      <c r="F3085"/>
      <c r="H3085"/>
    </row>
    <row r="3086" spans="1:8" ht="15">
      <c r="A3086"/>
      <c r="B3086"/>
      <c r="D3086"/>
      <c r="E3086"/>
      <c r="F3086"/>
      <c r="H3086"/>
    </row>
    <row r="3087" spans="1:8" ht="15">
      <c r="A3087"/>
      <c r="B3087"/>
      <c r="D3087"/>
      <c r="E3087"/>
      <c r="F3087"/>
      <c r="H3087"/>
    </row>
    <row r="3088" spans="1:8" ht="15">
      <c r="A3088"/>
      <c r="B3088"/>
      <c r="D3088"/>
      <c r="E3088"/>
      <c r="F3088"/>
      <c r="H3088"/>
    </row>
    <row r="3089" spans="1:8" ht="15">
      <c r="A3089"/>
      <c r="B3089"/>
      <c r="D3089"/>
      <c r="E3089"/>
      <c r="F3089"/>
      <c r="H3089"/>
    </row>
    <row r="3090" spans="1:8" ht="15">
      <c r="A3090"/>
      <c r="B3090"/>
      <c r="D3090"/>
      <c r="E3090"/>
      <c r="F3090"/>
      <c r="H3090"/>
    </row>
    <row r="3091" spans="1:8" ht="15">
      <c r="A3091"/>
      <c r="B3091"/>
      <c r="D3091"/>
      <c r="E3091"/>
      <c r="F3091"/>
      <c r="H3091"/>
    </row>
    <row r="3092" spans="1:8" ht="15">
      <c r="A3092"/>
      <c r="B3092"/>
      <c r="D3092"/>
      <c r="E3092"/>
      <c r="F3092"/>
      <c r="H3092"/>
    </row>
    <row r="3093" spans="1:8" ht="15">
      <c r="A3093"/>
      <c r="B3093"/>
      <c r="D3093"/>
      <c r="E3093"/>
      <c r="F3093"/>
      <c r="H3093"/>
    </row>
    <row r="3094" spans="1:8" ht="15">
      <c r="A3094"/>
      <c r="B3094"/>
      <c r="D3094"/>
      <c r="E3094"/>
      <c r="F3094"/>
      <c r="H3094"/>
    </row>
    <row r="3095" spans="1:8" ht="15">
      <c r="A3095"/>
      <c r="B3095"/>
      <c r="D3095"/>
      <c r="E3095"/>
      <c r="F3095"/>
      <c r="H3095"/>
    </row>
    <row r="3096" spans="1:8" ht="15">
      <c r="A3096"/>
      <c r="B3096"/>
      <c r="D3096"/>
      <c r="E3096"/>
      <c r="F3096"/>
      <c r="H3096"/>
    </row>
    <row r="3097" spans="1:8" ht="15">
      <c r="A3097"/>
      <c r="B3097"/>
      <c r="D3097"/>
      <c r="E3097"/>
      <c r="F3097"/>
      <c r="H3097"/>
    </row>
    <row r="3098" spans="1:8" ht="15">
      <c r="A3098"/>
      <c r="B3098"/>
      <c r="D3098"/>
      <c r="E3098"/>
      <c r="F3098"/>
      <c r="H3098"/>
    </row>
    <row r="3099" spans="1:8" ht="15">
      <c r="A3099"/>
      <c r="B3099"/>
      <c r="D3099"/>
      <c r="E3099"/>
      <c r="F3099"/>
      <c r="H3099"/>
    </row>
    <row r="3100" spans="1:8" ht="15">
      <c r="A3100"/>
      <c r="B3100"/>
      <c r="D3100"/>
      <c r="E3100"/>
      <c r="F3100"/>
      <c r="H3100"/>
    </row>
    <row r="3101" spans="1:8" ht="15">
      <c r="A3101"/>
      <c r="B3101"/>
      <c r="D3101"/>
      <c r="E3101"/>
      <c r="F3101"/>
      <c r="H3101"/>
    </row>
    <row r="3102" spans="1:8" ht="15">
      <c r="A3102"/>
      <c r="B3102"/>
      <c r="D3102"/>
      <c r="E3102"/>
      <c r="F3102"/>
      <c r="H3102"/>
    </row>
    <row r="3103" spans="1:8" ht="15">
      <c r="A3103"/>
      <c r="B3103"/>
      <c r="D3103"/>
      <c r="E3103"/>
      <c r="F3103"/>
      <c r="H3103"/>
    </row>
    <row r="3104" spans="1:8" ht="15">
      <c r="A3104"/>
      <c r="B3104"/>
      <c r="D3104"/>
      <c r="E3104"/>
      <c r="F3104"/>
      <c r="H3104"/>
    </row>
    <row r="3105" spans="1:8" ht="15">
      <c r="A3105"/>
      <c r="B3105"/>
      <c r="D3105"/>
      <c r="E3105"/>
      <c r="F3105"/>
      <c r="H3105"/>
    </row>
    <row r="3106" spans="1:8" ht="15">
      <c r="A3106"/>
      <c r="B3106"/>
      <c r="D3106"/>
      <c r="E3106"/>
      <c r="F3106"/>
      <c r="H3106"/>
    </row>
    <row r="3107" spans="1:8" ht="15">
      <c r="A3107"/>
      <c r="B3107"/>
      <c r="D3107"/>
      <c r="E3107"/>
      <c r="F3107"/>
      <c r="H3107"/>
    </row>
    <row r="3108" spans="1:8" ht="15">
      <c r="A3108"/>
      <c r="B3108"/>
      <c r="D3108"/>
      <c r="E3108"/>
      <c r="F3108"/>
      <c r="H3108"/>
    </row>
    <row r="3109" spans="1:8" ht="15">
      <c r="A3109"/>
      <c r="B3109"/>
      <c r="D3109"/>
      <c r="E3109"/>
      <c r="F3109"/>
      <c r="H3109"/>
    </row>
    <row r="3110" spans="1:8" ht="15">
      <c r="A3110"/>
      <c r="B3110"/>
      <c r="D3110"/>
      <c r="E3110"/>
      <c r="F3110"/>
      <c r="H3110"/>
    </row>
    <row r="3111" spans="1:8" ht="15">
      <c r="A3111"/>
      <c r="B3111"/>
      <c r="D3111"/>
      <c r="E3111"/>
      <c r="F3111"/>
      <c r="H3111"/>
    </row>
    <row r="3112" spans="1:8" ht="15">
      <c r="A3112"/>
      <c r="B3112"/>
      <c r="D3112"/>
      <c r="E3112"/>
      <c r="F3112"/>
      <c r="H3112"/>
    </row>
    <row r="3113" spans="1:8" ht="15">
      <c r="A3113"/>
      <c r="B3113"/>
      <c r="D3113"/>
      <c r="E3113"/>
      <c r="F3113"/>
      <c r="H3113"/>
    </row>
    <row r="3114" spans="1:8" ht="15">
      <c r="A3114"/>
      <c r="B3114"/>
      <c r="D3114"/>
      <c r="E3114"/>
      <c r="F3114"/>
      <c r="H3114"/>
    </row>
    <row r="3115" spans="1:8" ht="15">
      <c r="A3115"/>
      <c r="B3115"/>
      <c r="D3115"/>
      <c r="E3115"/>
      <c r="F3115"/>
      <c r="H3115"/>
    </row>
    <row r="3116" spans="1:8" ht="15">
      <c r="A3116"/>
      <c r="B3116"/>
      <c r="D3116"/>
      <c r="E3116"/>
      <c r="F3116"/>
      <c r="H3116"/>
    </row>
    <row r="3117" spans="1:8" ht="15">
      <c r="A3117"/>
      <c r="B3117"/>
      <c r="D3117"/>
      <c r="E3117"/>
      <c r="F3117"/>
      <c r="H3117"/>
    </row>
    <row r="3118" spans="1:8" ht="15">
      <c r="A3118"/>
      <c r="B3118"/>
      <c r="D3118"/>
      <c r="E3118"/>
      <c r="F3118"/>
      <c r="H3118"/>
    </row>
    <row r="3119" spans="1:8" ht="15">
      <c r="A3119"/>
      <c r="B3119"/>
      <c r="D3119"/>
      <c r="E3119"/>
      <c r="F3119"/>
      <c r="H3119"/>
    </row>
    <row r="3120" spans="1:8" ht="15">
      <c r="A3120"/>
      <c r="B3120"/>
      <c r="D3120"/>
      <c r="E3120"/>
      <c r="F3120"/>
      <c r="H3120"/>
    </row>
    <row r="3121" spans="1:8" ht="15">
      <c r="A3121"/>
      <c r="B3121"/>
      <c r="D3121"/>
      <c r="E3121"/>
      <c r="F3121"/>
      <c r="H3121"/>
    </row>
    <row r="3122" spans="1:8" ht="15">
      <c r="A3122"/>
      <c r="B3122"/>
      <c r="D3122"/>
      <c r="E3122"/>
      <c r="F3122"/>
      <c r="H3122"/>
    </row>
    <row r="3123" spans="1:8" ht="15">
      <c r="A3123"/>
      <c r="B3123"/>
      <c r="D3123"/>
      <c r="E3123"/>
      <c r="F3123"/>
      <c r="H3123"/>
    </row>
    <row r="3124" spans="1:8" ht="15">
      <c r="A3124"/>
      <c r="B3124"/>
      <c r="D3124"/>
      <c r="E3124"/>
      <c r="F3124"/>
      <c r="H3124"/>
    </row>
    <row r="3125" spans="1:8" ht="15">
      <c r="A3125"/>
      <c r="B3125"/>
      <c r="D3125"/>
      <c r="E3125"/>
      <c r="F3125"/>
      <c r="H3125"/>
    </row>
    <row r="3126" spans="1:8" ht="15">
      <c r="A3126"/>
      <c r="B3126"/>
      <c r="D3126"/>
      <c r="E3126"/>
      <c r="F3126"/>
      <c r="H3126"/>
    </row>
    <row r="3127" spans="1:8" ht="15">
      <c r="A3127"/>
      <c r="B3127"/>
      <c r="D3127"/>
      <c r="E3127"/>
      <c r="F3127"/>
      <c r="H3127"/>
    </row>
    <row r="3128" spans="1:8" ht="15">
      <c r="A3128"/>
      <c r="B3128"/>
      <c r="D3128"/>
      <c r="E3128"/>
      <c r="F3128"/>
      <c r="H3128"/>
    </row>
    <row r="3129" spans="1:8" ht="15">
      <c r="A3129"/>
      <c r="B3129"/>
      <c r="D3129"/>
      <c r="E3129"/>
      <c r="F3129"/>
      <c r="H3129"/>
    </row>
    <row r="3130" spans="1:8" ht="15">
      <c r="A3130"/>
      <c r="B3130"/>
      <c r="D3130"/>
      <c r="E3130"/>
      <c r="F3130"/>
      <c r="H3130"/>
    </row>
    <row r="3131" spans="1:8" ht="15">
      <c r="A3131"/>
      <c r="B3131"/>
      <c r="D3131"/>
      <c r="E3131"/>
      <c r="F3131"/>
      <c r="H3131"/>
    </row>
    <row r="3132" spans="1:8" ht="15">
      <c r="A3132"/>
      <c r="B3132"/>
      <c r="D3132"/>
      <c r="E3132"/>
      <c r="F3132"/>
      <c r="H3132"/>
    </row>
    <row r="3133" spans="1:8" ht="15">
      <c r="A3133"/>
      <c r="B3133"/>
      <c r="D3133"/>
      <c r="E3133"/>
      <c r="F3133"/>
      <c r="H3133"/>
    </row>
    <row r="3134" spans="1:8" ht="15">
      <c r="A3134"/>
      <c r="B3134"/>
      <c r="D3134"/>
      <c r="E3134"/>
      <c r="F3134"/>
      <c r="H3134"/>
    </row>
    <row r="3135" spans="1:8" ht="15">
      <c r="A3135"/>
      <c r="B3135"/>
      <c r="D3135"/>
      <c r="E3135"/>
      <c r="F3135"/>
      <c r="H3135"/>
    </row>
    <row r="3136" spans="1:8" ht="15">
      <c r="A3136"/>
      <c r="B3136"/>
      <c r="D3136"/>
      <c r="E3136"/>
      <c r="F3136"/>
      <c r="H3136"/>
    </row>
    <row r="3137" spans="1:8" ht="15">
      <c r="A3137"/>
      <c r="B3137"/>
      <c r="D3137"/>
      <c r="E3137"/>
      <c r="F3137"/>
      <c r="H3137"/>
    </row>
    <row r="3138" spans="1:8" ht="15">
      <c r="A3138"/>
      <c r="B3138"/>
      <c r="D3138"/>
      <c r="E3138"/>
      <c r="F3138"/>
      <c r="H3138"/>
    </row>
    <row r="3139" spans="1:8" ht="15">
      <c r="A3139"/>
      <c r="B3139"/>
      <c r="D3139"/>
      <c r="E3139"/>
      <c r="F3139"/>
      <c r="H3139"/>
    </row>
    <row r="3140" spans="1:8" ht="15">
      <c r="A3140"/>
      <c r="B3140"/>
      <c r="D3140"/>
      <c r="E3140"/>
      <c r="F3140"/>
      <c r="H3140"/>
    </row>
    <row r="3141" spans="1:8" ht="15">
      <c r="A3141"/>
      <c r="B3141"/>
      <c r="D3141"/>
      <c r="E3141"/>
      <c r="F3141"/>
      <c r="H3141"/>
    </row>
    <row r="3142" spans="1:8" ht="15">
      <c r="A3142"/>
      <c r="B3142"/>
      <c r="D3142"/>
      <c r="E3142"/>
      <c r="F3142"/>
      <c r="H3142"/>
    </row>
    <row r="3143" spans="1:8" ht="15">
      <c r="A3143"/>
      <c r="B3143"/>
      <c r="D3143"/>
      <c r="E3143"/>
      <c r="F3143"/>
      <c r="H3143"/>
    </row>
    <row r="3144" spans="1:8" ht="15">
      <c r="A3144"/>
      <c r="B3144"/>
      <c r="D3144"/>
      <c r="E3144"/>
      <c r="F3144"/>
      <c r="H3144"/>
    </row>
    <row r="3145" spans="1:8" ht="15">
      <c r="A3145"/>
      <c r="B3145"/>
      <c r="D3145"/>
      <c r="E3145"/>
      <c r="F3145"/>
      <c r="H3145"/>
    </row>
    <row r="3146" spans="1:8" ht="15">
      <c r="A3146"/>
      <c r="B3146"/>
      <c r="D3146"/>
      <c r="E3146"/>
      <c r="F3146"/>
      <c r="H3146"/>
    </row>
    <row r="3147" spans="1:8" ht="15">
      <c r="A3147"/>
      <c r="B3147"/>
      <c r="D3147"/>
      <c r="E3147"/>
      <c r="F3147"/>
      <c r="H3147"/>
    </row>
    <row r="3148" spans="1:8" ht="15">
      <c r="A3148"/>
      <c r="B3148"/>
      <c r="D3148"/>
      <c r="E3148"/>
      <c r="F3148"/>
      <c r="H3148"/>
    </row>
    <row r="3149" spans="1:8" ht="15">
      <c r="A3149"/>
      <c r="B3149"/>
      <c r="D3149"/>
      <c r="E3149"/>
      <c r="F3149"/>
      <c r="H3149"/>
    </row>
    <row r="3150" spans="1:8" ht="15">
      <c r="A3150"/>
      <c r="B3150"/>
      <c r="D3150"/>
      <c r="E3150"/>
      <c r="F3150"/>
      <c r="H3150"/>
    </row>
    <row r="3151" spans="1:8" ht="15">
      <c r="A3151"/>
      <c r="B3151"/>
      <c r="D3151"/>
      <c r="E3151"/>
      <c r="F3151"/>
      <c r="H3151"/>
    </row>
    <row r="3152" spans="1:8" ht="15">
      <c r="A3152"/>
      <c r="B3152"/>
      <c r="D3152"/>
      <c r="E3152"/>
      <c r="F3152"/>
      <c r="H3152"/>
    </row>
    <row r="3153" spans="1:8" ht="15">
      <c r="A3153"/>
      <c r="B3153"/>
      <c r="D3153"/>
      <c r="E3153"/>
      <c r="F3153"/>
      <c r="H3153"/>
    </row>
    <row r="3154" spans="1:8" ht="15">
      <c r="A3154"/>
      <c r="B3154"/>
      <c r="D3154"/>
      <c r="E3154"/>
      <c r="F3154"/>
      <c r="H3154"/>
    </row>
    <row r="3155" spans="1:8" ht="15">
      <c r="A3155"/>
      <c r="B3155"/>
      <c r="D3155"/>
      <c r="E3155"/>
      <c r="F3155"/>
      <c r="H3155"/>
    </row>
    <row r="3156" spans="1:8" ht="15">
      <c r="A3156"/>
      <c r="B3156"/>
      <c r="D3156"/>
      <c r="E3156"/>
      <c r="F3156"/>
      <c r="H3156"/>
    </row>
    <row r="3157" spans="1:8" ht="15">
      <c r="A3157"/>
      <c r="B3157"/>
      <c r="D3157"/>
      <c r="E3157"/>
      <c r="F3157"/>
      <c r="H3157"/>
    </row>
    <row r="3158" spans="1:8" ht="15">
      <c r="A3158"/>
      <c r="B3158"/>
      <c r="D3158"/>
      <c r="E3158"/>
      <c r="F3158"/>
      <c r="H3158"/>
    </row>
    <row r="3159" spans="1:8" ht="15">
      <c r="A3159"/>
      <c r="B3159"/>
      <c r="D3159"/>
      <c r="E3159"/>
      <c r="F3159"/>
      <c r="H3159"/>
    </row>
    <row r="3160" spans="1:8" ht="15">
      <c r="A3160"/>
      <c r="B3160"/>
      <c r="D3160"/>
      <c r="E3160"/>
      <c r="F3160"/>
      <c r="H3160"/>
    </row>
    <row r="3161" spans="1:8" ht="15">
      <c r="A3161"/>
      <c r="B3161"/>
      <c r="D3161"/>
      <c r="E3161"/>
      <c r="F3161"/>
      <c r="H3161"/>
    </row>
    <row r="3162" spans="1:8" ht="15">
      <c r="A3162"/>
      <c r="B3162"/>
      <c r="D3162"/>
      <c r="E3162"/>
      <c r="F3162"/>
      <c r="H3162"/>
    </row>
    <row r="3163" spans="1:8" ht="15">
      <c r="A3163"/>
      <c r="B3163"/>
      <c r="D3163"/>
      <c r="E3163"/>
      <c r="F3163"/>
      <c r="H3163"/>
    </row>
    <row r="3164" spans="1:8" ht="15">
      <c r="A3164"/>
      <c r="B3164"/>
      <c r="D3164"/>
      <c r="E3164"/>
      <c r="F3164"/>
      <c r="H3164"/>
    </row>
    <row r="3165" spans="1:8" ht="15">
      <c r="A3165"/>
      <c r="B3165"/>
      <c r="D3165"/>
      <c r="E3165"/>
      <c r="F3165"/>
      <c r="H3165"/>
    </row>
    <row r="3166" spans="1:8" ht="15">
      <c r="A3166"/>
      <c r="B3166"/>
      <c r="D3166"/>
      <c r="E3166"/>
      <c r="F3166"/>
      <c r="H3166"/>
    </row>
    <row r="3167" spans="1:8" ht="15">
      <c r="A3167"/>
      <c r="B3167"/>
      <c r="D3167"/>
      <c r="E3167"/>
      <c r="F3167"/>
      <c r="H3167"/>
    </row>
    <row r="3168" spans="1:8" ht="15">
      <c r="A3168"/>
      <c r="B3168"/>
      <c r="D3168"/>
      <c r="E3168"/>
      <c r="F3168"/>
      <c r="H3168"/>
    </row>
    <row r="3169" spans="1:8" ht="15">
      <c r="A3169"/>
      <c r="B3169"/>
      <c r="D3169"/>
      <c r="E3169"/>
      <c r="F3169"/>
      <c r="H3169"/>
    </row>
    <row r="3170" spans="1:8" ht="15">
      <c r="A3170"/>
      <c r="B3170"/>
      <c r="D3170"/>
      <c r="E3170"/>
      <c r="F3170"/>
      <c r="H3170"/>
    </row>
    <row r="3171" spans="1:8" ht="15">
      <c r="A3171"/>
      <c r="B3171"/>
      <c r="D3171"/>
      <c r="E3171"/>
      <c r="F3171"/>
      <c r="H3171"/>
    </row>
    <row r="3172" spans="1:8" ht="15">
      <c r="A3172"/>
      <c r="B3172"/>
      <c r="D3172"/>
      <c r="E3172"/>
      <c r="F3172"/>
      <c r="H3172"/>
    </row>
    <row r="3173" spans="1:8" ht="15">
      <c r="A3173"/>
      <c r="B3173"/>
      <c r="D3173"/>
      <c r="E3173"/>
      <c r="F3173"/>
      <c r="H3173"/>
    </row>
    <row r="3174" spans="1:8" ht="15">
      <c r="A3174"/>
      <c r="B3174"/>
      <c r="D3174"/>
      <c r="E3174"/>
      <c r="F3174"/>
      <c r="H3174"/>
    </row>
    <row r="3175" spans="1:8" ht="15">
      <c r="A3175"/>
      <c r="B3175"/>
      <c r="D3175"/>
      <c r="E3175"/>
      <c r="F3175"/>
      <c r="H3175"/>
    </row>
    <row r="3176" spans="1:8" ht="15">
      <c r="A3176"/>
      <c r="B3176"/>
      <c r="D3176"/>
      <c r="E3176"/>
      <c r="F3176"/>
      <c r="H3176"/>
    </row>
    <row r="3177" spans="1:8" ht="15">
      <c r="A3177"/>
      <c r="B3177"/>
      <c r="D3177"/>
      <c r="E3177"/>
      <c r="F3177"/>
      <c r="H3177"/>
    </row>
    <row r="3178" spans="1:8" ht="15">
      <c r="A3178"/>
      <c r="B3178"/>
      <c r="D3178"/>
      <c r="E3178"/>
      <c r="F3178"/>
      <c r="H3178"/>
    </row>
    <row r="3179" spans="1:8" ht="15">
      <c r="A3179"/>
      <c r="B3179"/>
      <c r="D3179"/>
      <c r="E3179"/>
      <c r="F3179"/>
      <c r="H3179"/>
    </row>
    <row r="3180" spans="1:8" ht="15">
      <c r="A3180"/>
      <c r="B3180"/>
      <c r="D3180"/>
      <c r="E3180"/>
      <c r="F3180"/>
      <c r="H3180"/>
    </row>
    <row r="3181" spans="1:8" ht="15">
      <c r="A3181"/>
      <c r="B3181"/>
      <c r="D3181"/>
      <c r="E3181"/>
      <c r="F3181"/>
      <c r="H3181"/>
    </row>
    <row r="3182" spans="1:8" ht="15">
      <c r="A3182"/>
      <c r="B3182"/>
      <c r="D3182"/>
      <c r="E3182"/>
      <c r="F3182"/>
      <c r="H3182"/>
    </row>
    <row r="3183" spans="1:8" ht="15">
      <c r="A3183"/>
      <c r="B3183"/>
      <c r="D3183"/>
      <c r="E3183"/>
      <c r="F3183"/>
      <c r="H3183"/>
    </row>
    <row r="3184" spans="1:8" ht="15">
      <c r="A3184"/>
      <c r="B3184"/>
      <c r="D3184"/>
      <c r="E3184"/>
      <c r="F3184"/>
      <c r="H3184"/>
    </row>
    <row r="3185" spans="1:8" ht="15">
      <c r="A3185"/>
      <c r="B3185"/>
      <c r="D3185"/>
      <c r="E3185"/>
      <c r="F3185"/>
      <c r="H3185"/>
    </row>
    <row r="3186" spans="1:8" ht="15">
      <c r="A3186"/>
      <c r="B3186"/>
      <c r="D3186"/>
      <c r="E3186"/>
      <c r="F3186"/>
      <c r="H3186"/>
    </row>
    <row r="3187" spans="1:8" ht="15">
      <c r="A3187"/>
      <c r="B3187"/>
      <c r="D3187"/>
      <c r="E3187"/>
      <c r="F3187"/>
      <c r="H3187"/>
    </row>
    <row r="3188" spans="1:8" ht="15">
      <c r="A3188"/>
      <c r="B3188"/>
      <c r="D3188"/>
      <c r="E3188"/>
      <c r="F3188"/>
      <c r="H3188"/>
    </row>
    <row r="3189" spans="1:8" ht="15">
      <c r="A3189"/>
      <c r="B3189"/>
      <c r="D3189"/>
      <c r="E3189"/>
      <c r="F3189"/>
      <c r="H3189"/>
    </row>
    <row r="3190" spans="1:8" ht="15">
      <c r="A3190"/>
      <c r="B3190"/>
      <c r="D3190"/>
      <c r="E3190"/>
      <c r="F3190"/>
      <c r="H3190"/>
    </row>
    <row r="3191" spans="1:8" ht="15">
      <c r="A3191"/>
      <c r="B3191"/>
      <c r="D3191"/>
      <c r="E3191"/>
      <c r="F3191"/>
      <c r="H3191"/>
    </row>
    <row r="3192" spans="1:8" ht="15">
      <c r="A3192"/>
      <c r="B3192"/>
      <c r="D3192"/>
      <c r="E3192"/>
      <c r="F3192"/>
      <c r="H3192"/>
    </row>
    <row r="3193" spans="1:8" ht="15">
      <c r="A3193"/>
      <c r="B3193"/>
      <c r="D3193"/>
      <c r="E3193"/>
      <c r="F3193"/>
      <c r="H3193"/>
    </row>
    <row r="3194" spans="1:8" ht="15">
      <c r="A3194"/>
      <c r="B3194"/>
      <c r="D3194"/>
      <c r="E3194"/>
      <c r="F3194"/>
      <c r="H3194"/>
    </row>
    <row r="3195" spans="1:8" ht="15">
      <c r="A3195"/>
      <c r="B3195"/>
      <c r="D3195"/>
      <c r="E3195"/>
      <c r="F3195"/>
      <c r="H3195"/>
    </row>
    <row r="3196" spans="1:8" ht="15">
      <c r="A3196"/>
      <c r="B3196"/>
      <c r="D3196"/>
      <c r="E3196"/>
      <c r="F3196"/>
      <c r="H3196"/>
    </row>
    <row r="3197" spans="1:8" ht="15">
      <c r="A3197"/>
      <c r="B3197"/>
      <c r="D3197"/>
      <c r="E3197"/>
      <c r="F3197"/>
      <c r="H3197"/>
    </row>
    <row r="3198" spans="1:8" ht="15">
      <c r="A3198"/>
      <c r="B3198"/>
      <c r="D3198"/>
      <c r="E3198"/>
      <c r="F3198"/>
      <c r="H3198"/>
    </row>
    <row r="3199" spans="1:8" ht="15">
      <c r="A3199"/>
      <c r="B3199"/>
      <c r="D3199"/>
      <c r="E3199"/>
      <c r="F3199"/>
      <c r="H3199"/>
    </row>
    <row r="3200" spans="1:8" ht="15">
      <c r="A3200"/>
      <c r="B3200"/>
      <c r="D3200"/>
      <c r="E3200"/>
      <c r="F3200"/>
      <c r="H3200"/>
    </row>
    <row r="3201" spans="1:8" ht="15">
      <c r="A3201"/>
      <c r="B3201"/>
      <c r="D3201"/>
      <c r="E3201"/>
      <c r="F3201"/>
      <c r="H3201"/>
    </row>
    <row r="3202" spans="1:8" ht="15">
      <c r="A3202"/>
      <c r="B3202"/>
      <c r="D3202"/>
      <c r="E3202"/>
      <c r="F3202"/>
      <c r="H3202"/>
    </row>
    <row r="3203" spans="1:8" ht="15">
      <c r="A3203"/>
      <c r="B3203"/>
      <c r="D3203"/>
      <c r="E3203"/>
      <c r="F3203"/>
      <c r="H3203"/>
    </row>
    <row r="3204" spans="1:8" ht="15">
      <c r="A3204"/>
      <c r="B3204"/>
      <c r="D3204"/>
      <c r="E3204"/>
      <c r="F3204"/>
      <c r="H3204"/>
    </row>
    <row r="3205" spans="1:8" ht="15">
      <c r="A3205"/>
      <c r="B3205"/>
      <c r="D3205"/>
      <c r="E3205"/>
      <c r="F3205"/>
      <c r="H3205"/>
    </row>
    <row r="3206" spans="1:8" ht="15">
      <c r="A3206"/>
      <c r="B3206"/>
      <c r="D3206"/>
      <c r="E3206"/>
      <c r="F3206"/>
      <c r="H3206"/>
    </row>
    <row r="3207" spans="1:8" ht="15">
      <c r="A3207"/>
      <c r="B3207"/>
      <c r="D3207"/>
      <c r="E3207"/>
      <c r="F3207"/>
      <c r="H3207"/>
    </row>
    <row r="3208" spans="1:8" ht="15">
      <c r="A3208"/>
      <c r="B3208"/>
      <c r="D3208"/>
      <c r="E3208"/>
      <c r="F3208"/>
      <c r="H3208"/>
    </row>
    <row r="3209" spans="1:8" ht="15">
      <c r="A3209"/>
      <c r="B3209"/>
      <c r="D3209"/>
      <c r="E3209"/>
      <c r="F3209"/>
      <c r="H3209"/>
    </row>
    <row r="3210" spans="1:8" ht="15">
      <c r="A3210"/>
      <c r="B3210"/>
      <c r="D3210"/>
      <c r="E3210"/>
      <c r="F3210"/>
      <c r="H3210"/>
    </row>
    <row r="3211" spans="1:8" ht="15">
      <c r="A3211"/>
      <c r="B3211"/>
      <c r="D3211"/>
      <c r="E3211"/>
      <c r="F3211"/>
      <c r="H3211"/>
    </row>
    <row r="3212" spans="1:8" ht="15">
      <c r="A3212"/>
      <c r="B3212"/>
      <c r="D3212"/>
      <c r="E3212"/>
      <c r="F3212"/>
      <c r="H3212"/>
    </row>
    <row r="3213" spans="1:8" ht="15">
      <c r="A3213"/>
      <c r="B3213"/>
      <c r="D3213"/>
      <c r="E3213"/>
      <c r="F3213"/>
      <c r="H3213"/>
    </row>
    <row r="3214" spans="1:8" ht="15">
      <c r="A3214"/>
      <c r="B3214"/>
      <c r="D3214"/>
      <c r="E3214"/>
      <c r="F3214"/>
      <c r="H3214"/>
    </row>
    <row r="3215" spans="1:8" ht="15">
      <c r="A3215"/>
      <c r="B3215"/>
      <c r="D3215"/>
      <c r="E3215"/>
      <c r="F3215"/>
      <c r="H3215"/>
    </row>
    <row r="3216" spans="1:8" ht="15">
      <c r="A3216"/>
      <c r="B3216"/>
      <c r="D3216"/>
      <c r="E3216"/>
      <c r="F3216"/>
      <c r="H3216"/>
    </row>
    <row r="3217" spans="1:8" ht="15">
      <c r="A3217"/>
      <c r="B3217"/>
      <c r="D3217"/>
      <c r="E3217"/>
      <c r="F3217"/>
      <c r="H3217"/>
    </row>
    <row r="3218" spans="1:8" ht="15">
      <c r="A3218"/>
      <c r="B3218"/>
      <c r="D3218"/>
      <c r="E3218"/>
      <c r="F3218"/>
      <c r="H3218"/>
    </row>
    <row r="3219" spans="1:8" ht="15">
      <c r="A3219"/>
      <c r="B3219"/>
      <c r="D3219"/>
      <c r="E3219"/>
      <c r="F3219"/>
      <c r="H3219"/>
    </row>
    <row r="3220" spans="1:8" ht="15">
      <c r="A3220"/>
      <c r="B3220"/>
      <c r="D3220"/>
      <c r="E3220"/>
      <c r="F3220"/>
      <c r="H3220"/>
    </row>
    <row r="3221" spans="1:8" ht="15">
      <c r="A3221"/>
      <c r="B3221"/>
      <c r="D3221"/>
      <c r="E3221"/>
      <c r="F3221"/>
      <c r="H3221"/>
    </row>
    <row r="3222" spans="1:8" ht="15">
      <c r="A3222"/>
      <c r="B3222"/>
      <c r="D3222"/>
      <c r="E3222"/>
      <c r="F3222"/>
      <c r="H3222"/>
    </row>
    <row r="3223" spans="1:8" ht="15">
      <c r="A3223"/>
      <c r="B3223"/>
      <c r="D3223"/>
      <c r="E3223"/>
      <c r="F3223"/>
      <c r="H3223"/>
    </row>
    <row r="3224" spans="1:8" ht="15">
      <c r="A3224"/>
      <c r="B3224"/>
      <c r="D3224"/>
      <c r="E3224"/>
      <c r="F3224"/>
      <c r="H3224"/>
    </row>
    <row r="3225" spans="1:8" ht="15">
      <c r="A3225"/>
      <c r="B3225"/>
      <c r="D3225"/>
      <c r="E3225"/>
      <c r="F3225"/>
      <c r="H3225"/>
    </row>
    <row r="3226" spans="1:8" ht="15">
      <c r="A3226"/>
      <c r="B3226"/>
      <c r="D3226"/>
      <c r="E3226"/>
      <c r="F3226"/>
      <c r="H3226"/>
    </row>
    <row r="3227" spans="1:8" ht="15">
      <c r="A3227"/>
      <c r="B3227"/>
      <c r="D3227"/>
      <c r="E3227"/>
      <c r="F3227"/>
      <c r="H3227"/>
    </row>
    <row r="3228" spans="1:8" ht="15">
      <c r="A3228"/>
      <c r="B3228"/>
      <c r="D3228"/>
      <c r="E3228"/>
      <c r="F3228"/>
      <c r="H3228"/>
    </row>
    <row r="3229" spans="1:8" ht="15">
      <c r="A3229"/>
      <c r="B3229"/>
      <c r="D3229"/>
      <c r="E3229"/>
      <c r="F3229"/>
      <c r="H3229"/>
    </row>
    <row r="3230" spans="1:8" ht="15">
      <c r="A3230"/>
      <c r="B3230"/>
      <c r="D3230"/>
      <c r="E3230"/>
      <c r="F3230"/>
      <c r="H3230"/>
    </row>
    <row r="3231" spans="1:8" ht="15">
      <c r="A3231"/>
      <c r="B3231"/>
      <c r="D3231"/>
      <c r="E3231"/>
      <c r="F3231"/>
      <c r="H3231"/>
    </row>
    <row r="3232" spans="1:8" ht="15">
      <c r="A3232"/>
      <c r="B3232"/>
      <c r="D3232"/>
      <c r="E3232"/>
      <c r="F3232"/>
      <c r="H3232"/>
    </row>
    <row r="3233" spans="1:8" ht="15">
      <c r="A3233"/>
      <c r="B3233"/>
      <c r="D3233"/>
      <c r="E3233"/>
      <c r="F3233"/>
      <c r="H3233"/>
    </row>
    <row r="3234" spans="1:8" ht="15">
      <c r="A3234"/>
      <c r="B3234"/>
      <c r="D3234"/>
      <c r="E3234"/>
      <c r="F3234"/>
      <c r="H3234"/>
    </row>
    <row r="3235" spans="1:8" ht="15">
      <c r="A3235"/>
      <c r="B3235"/>
      <c r="D3235"/>
      <c r="E3235"/>
      <c r="F3235"/>
      <c r="H3235"/>
    </row>
    <row r="3236" spans="1:8" ht="15">
      <c r="A3236"/>
      <c r="B3236"/>
      <c r="D3236"/>
      <c r="E3236"/>
      <c r="F3236"/>
      <c r="H3236"/>
    </row>
    <row r="3237" spans="1:8" ht="15">
      <c r="A3237"/>
      <c r="B3237"/>
      <c r="D3237"/>
      <c r="E3237"/>
      <c r="F3237"/>
      <c r="H3237"/>
    </row>
    <row r="3238" spans="1:8" ht="15">
      <c r="A3238"/>
      <c r="B3238"/>
      <c r="D3238"/>
      <c r="E3238"/>
      <c r="F3238"/>
      <c r="H3238"/>
    </row>
    <row r="3239" spans="1:8" ht="15">
      <c r="A3239"/>
      <c r="B3239"/>
      <c r="D3239"/>
      <c r="E3239"/>
      <c r="F3239"/>
      <c r="H3239"/>
    </row>
    <row r="3240" spans="1:8" ht="15">
      <c r="A3240"/>
      <c r="B3240"/>
      <c r="D3240"/>
      <c r="E3240"/>
      <c r="F3240"/>
      <c r="H3240"/>
    </row>
    <row r="3241" spans="1:8" ht="15">
      <c r="A3241"/>
      <c r="B3241"/>
      <c r="D3241"/>
      <c r="E3241"/>
      <c r="F3241"/>
      <c r="H3241"/>
    </row>
    <row r="3242" spans="1:8" ht="15">
      <c r="A3242"/>
      <c r="B3242"/>
      <c r="D3242"/>
      <c r="E3242"/>
      <c r="F3242"/>
      <c r="H3242"/>
    </row>
    <row r="3243" spans="1:8" ht="15">
      <c r="A3243"/>
      <c r="B3243"/>
      <c r="D3243"/>
      <c r="E3243"/>
      <c r="F3243"/>
      <c r="H3243"/>
    </row>
    <row r="3244" spans="1:8" ht="15">
      <c r="A3244"/>
      <c r="B3244"/>
      <c r="D3244"/>
      <c r="E3244"/>
      <c r="F3244"/>
      <c r="H3244"/>
    </row>
    <row r="3245" spans="1:8" ht="15">
      <c r="A3245"/>
      <c r="B3245"/>
      <c r="D3245"/>
      <c r="E3245"/>
      <c r="F3245"/>
      <c r="H3245"/>
    </row>
    <row r="3246" spans="1:8" ht="15">
      <c r="A3246"/>
      <c r="B3246"/>
      <c r="D3246"/>
      <c r="E3246"/>
      <c r="F3246"/>
      <c r="H3246"/>
    </row>
    <row r="3247" spans="1:8" ht="15">
      <c r="A3247"/>
      <c r="B3247"/>
      <c r="D3247"/>
      <c r="E3247"/>
      <c r="F3247"/>
      <c r="H3247"/>
    </row>
    <row r="3248" spans="1:8" ht="15">
      <c r="A3248"/>
      <c r="B3248"/>
      <c r="D3248"/>
      <c r="E3248"/>
      <c r="F3248"/>
      <c r="H3248"/>
    </row>
    <row r="3249" spans="1:8" ht="15">
      <c r="A3249"/>
      <c r="B3249"/>
      <c r="D3249"/>
      <c r="E3249"/>
      <c r="F3249"/>
      <c r="H3249"/>
    </row>
    <row r="3250" spans="1:8" ht="15">
      <c r="A3250"/>
      <c r="B3250"/>
      <c r="D3250"/>
      <c r="E3250"/>
      <c r="F3250"/>
      <c r="H3250"/>
    </row>
    <row r="3251" spans="1:8" ht="15">
      <c r="A3251"/>
      <c r="B3251"/>
      <c r="D3251"/>
      <c r="E3251"/>
      <c r="F3251"/>
      <c r="H3251"/>
    </row>
    <row r="3252" spans="1:8" ht="15">
      <c r="A3252"/>
      <c r="B3252"/>
      <c r="D3252"/>
      <c r="E3252"/>
      <c r="F3252"/>
      <c r="H3252"/>
    </row>
    <row r="3253" spans="1:8" ht="15">
      <c r="A3253"/>
      <c r="B3253"/>
      <c r="D3253"/>
      <c r="E3253"/>
      <c r="F3253"/>
      <c r="H3253"/>
    </row>
    <row r="3254" spans="1:8" ht="15">
      <c r="A3254"/>
      <c r="B3254"/>
      <c r="D3254"/>
      <c r="E3254"/>
      <c r="F3254"/>
      <c r="H3254"/>
    </row>
    <row r="3255" spans="1:8" ht="15">
      <c r="A3255"/>
      <c r="B3255"/>
      <c r="D3255"/>
      <c r="E3255"/>
      <c r="F3255"/>
      <c r="H3255"/>
    </row>
    <row r="3256" spans="1:8" ht="15">
      <c r="A3256"/>
      <c r="B3256"/>
      <c r="D3256"/>
      <c r="E3256"/>
      <c r="F3256"/>
      <c r="H3256"/>
    </row>
    <row r="3257" spans="1:8" ht="15">
      <c r="A3257"/>
      <c r="B3257"/>
      <c r="D3257"/>
      <c r="E3257"/>
      <c r="F3257"/>
      <c r="H3257"/>
    </row>
    <row r="3258" spans="1:8" ht="15">
      <c r="A3258"/>
      <c r="B3258"/>
      <c r="D3258"/>
      <c r="E3258"/>
      <c r="F3258"/>
      <c r="H3258"/>
    </row>
    <row r="3259" spans="1:8" ht="15">
      <c r="A3259"/>
      <c r="B3259"/>
      <c r="D3259"/>
      <c r="E3259"/>
      <c r="F3259"/>
      <c r="H3259"/>
    </row>
    <row r="3260" spans="1:8" ht="15">
      <c r="A3260"/>
      <c r="B3260"/>
      <c r="D3260"/>
      <c r="E3260"/>
      <c r="F3260"/>
      <c r="H3260"/>
    </row>
    <row r="3261" spans="1:8" ht="15">
      <c r="A3261"/>
      <c r="B3261"/>
      <c r="D3261"/>
      <c r="E3261"/>
      <c r="F3261"/>
      <c r="H3261"/>
    </row>
    <row r="3262" spans="1:8" ht="15">
      <c r="A3262"/>
      <c r="B3262"/>
      <c r="D3262"/>
      <c r="E3262"/>
      <c r="F3262"/>
      <c r="H3262"/>
    </row>
    <row r="3263" spans="1:8" ht="15">
      <c r="A3263"/>
      <c r="B3263"/>
      <c r="D3263"/>
      <c r="E3263"/>
      <c r="F3263"/>
      <c r="H3263"/>
    </row>
    <row r="3264" spans="1:8" ht="15">
      <c r="A3264"/>
      <c r="B3264"/>
      <c r="D3264"/>
      <c r="E3264"/>
      <c r="F3264"/>
      <c r="H3264"/>
    </row>
    <row r="3265" spans="1:8" ht="15">
      <c r="A3265"/>
      <c r="B3265"/>
      <c r="D3265"/>
      <c r="E3265"/>
      <c r="F3265"/>
      <c r="H3265"/>
    </row>
    <row r="3266" spans="1:8" ht="15">
      <c r="A3266"/>
      <c r="B3266"/>
      <c r="D3266"/>
      <c r="E3266"/>
      <c r="F3266"/>
      <c r="H3266"/>
    </row>
    <row r="3267" spans="1:8" ht="15">
      <c r="A3267"/>
      <c r="B3267"/>
      <c r="D3267"/>
      <c r="E3267"/>
      <c r="F3267"/>
      <c r="H3267"/>
    </row>
    <row r="3268" spans="1:8" ht="15">
      <c r="A3268"/>
      <c r="B3268"/>
      <c r="D3268"/>
      <c r="E3268"/>
      <c r="F3268"/>
      <c r="H3268"/>
    </row>
    <row r="3269" spans="1:8" ht="15">
      <c r="A3269"/>
      <c r="B3269"/>
      <c r="D3269"/>
      <c r="E3269"/>
      <c r="F3269"/>
      <c r="H3269"/>
    </row>
    <row r="3270" spans="1:8" ht="15">
      <c r="A3270"/>
      <c r="B3270"/>
      <c r="D3270"/>
      <c r="E3270"/>
      <c r="F3270"/>
      <c r="H3270"/>
    </row>
    <row r="3271" spans="1:8" ht="15">
      <c r="A3271"/>
      <c r="B3271"/>
      <c r="D3271"/>
      <c r="E3271"/>
      <c r="F3271"/>
      <c r="H3271"/>
    </row>
    <row r="3272" spans="1:8" ht="15">
      <c r="A3272"/>
      <c r="B3272"/>
      <c r="D3272"/>
      <c r="E3272"/>
      <c r="F3272"/>
      <c r="H3272"/>
    </row>
    <row r="3273" spans="1:8" ht="15">
      <c r="A3273"/>
      <c r="B3273"/>
      <c r="D3273"/>
      <c r="E3273"/>
      <c r="F3273"/>
      <c r="H3273"/>
    </row>
    <row r="3274" spans="1:8" ht="15">
      <c r="A3274"/>
      <c r="B3274"/>
      <c r="D3274"/>
      <c r="E3274"/>
      <c r="F3274"/>
      <c r="H3274"/>
    </row>
    <row r="3275" spans="1:8" ht="15">
      <c r="A3275"/>
      <c r="B3275"/>
      <c r="D3275"/>
      <c r="E3275"/>
      <c r="F3275"/>
      <c r="H3275"/>
    </row>
    <row r="3276" spans="1:8" ht="15">
      <c r="A3276"/>
      <c r="B3276"/>
      <c r="D3276"/>
      <c r="E3276"/>
      <c r="F3276"/>
      <c r="H3276"/>
    </row>
    <row r="3277" spans="1:8" ht="15">
      <c r="A3277"/>
      <c r="B3277"/>
      <c r="D3277"/>
      <c r="E3277"/>
      <c r="F3277"/>
      <c r="H3277"/>
    </row>
    <row r="3278" spans="1:8" ht="15">
      <c r="A3278"/>
      <c r="B3278"/>
      <c r="D3278"/>
      <c r="E3278"/>
      <c r="F3278"/>
      <c r="H3278"/>
    </row>
    <row r="3279" spans="1:8" ht="15">
      <c r="A3279"/>
      <c r="B3279"/>
      <c r="D3279"/>
      <c r="E3279"/>
      <c r="F3279"/>
      <c r="H3279"/>
    </row>
    <row r="3280" spans="1:8" ht="15">
      <c r="A3280"/>
      <c r="B3280"/>
      <c r="D3280"/>
      <c r="E3280"/>
      <c r="F3280"/>
      <c r="H3280"/>
    </row>
    <row r="3281" spans="1:8" ht="15">
      <c r="A3281"/>
      <c r="B3281"/>
      <c r="D3281"/>
      <c r="E3281"/>
      <c r="F3281"/>
      <c r="H3281"/>
    </row>
    <row r="3282" spans="1:8" ht="15">
      <c r="A3282"/>
      <c r="B3282"/>
      <c r="D3282"/>
      <c r="E3282"/>
      <c r="F3282"/>
      <c r="H3282"/>
    </row>
    <row r="3283" spans="1:8" ht="15">
      <c r="A3283"/>
      <c r="B3283"/>
      <c r="D3283"/>
      <c r="E3283"/>
      <c r="F3283"/>
      <c r="H3283"/>
    </row>
    <row r="3284" spans="1:8" ht="15">
      <c r="A3284"/>
      <c r="B3284"/>
      <c r="D3284"/>
      <c r="E3284"/>
      <c r="F3284"/>
      <c r="H3284"/>
    </row>
    <row r="3285" spans="1:8" ht="15">
      <c r="A3285"/>
      <c r="B3285"/>
      <c r="D3285"/>
      <c r="E3285"/>
      <c r="F3285"/>
      <c r="H3285"/>
    </row>
    <row r="3286" spans="1:8" ht="15">
      <c r="A3286"/>
      <c r="B3286"/>
      <c r="D3286"/>
      <c r="E3286"/>
      <c r="F3286"/>
      <c r="H3286"/>
    </row>
    <row r="3287" spans="1:8" ht="15">
      <c r="A3287"/>
      <c r="B3287"/>
      <c r="D3287"/>
      <c r="E3287"/>
      <c r="F3287"/>
      <c r="H3287"/>
    </row>
    <row r="3288" spans="1:8" ht="15">
      <c r="A3288"/>
      <c r="B3288"/>
      <c r="D3288"/>
      <c r="E3288"/>
      <c r="F3288"/>
      <c r="H3288"/>
    </row>
    <row r="3289" spans="1:8" ht="15">
      <c r="A3289"/>
      <c r="B3289"/>
      <c r="D3289"/>
      <c r="E3289"/>
      <c r="F3289"/>
      <c r="H3289"/>
    </row>
    <row r="3290" spans="1:8" ht="15">
      <c r="A3290"/>
      <c r="B3290"/>
      <c r="D3290"/>
      <c r="E3290"/>
      <c r="F3290"/>
      <c r="H3290"/>
    </row>
    <row r="3291" spans="1:8" ht="15">
      <c r="A3291"/>
      <c r="B3291"/>
      <c r="D3291"/>
      <c r="E3291"/>
      <c r="F3291"/>
      <c r="H3291"/>
    </row>
    <row r="3292" spans="1:8" ht="15">
      <c r="A3292"/>
      <c r="B3292"/>
      <c r="D3292"/>
      <c r="E3292"/>
      <c r="F3292"/>
      <c r="H3292"/>
    </row>
    <row r="3293" spans="1:8" ht="15">
      <c r="A3293"/>
      <c r="B3293"/>
      <c r="D3293"/>
      <c r="E3293"/>
      <c r="F3293"/>
      <c r="H3293"/>
    </row>
    <row r="3294" spans="1:8" ht="15">
      <c r="A3294"/>
      <c r="B3294"/>
      <c r="D3294"/>
      <c r="E3294"/>
      <c r="F3294"/>
      <c r="H3294"/>
    </row>
    <row r="3295" spans="1:8" ht="15">
      <c r="A3295"/>
      <c r="B3295"/>
      <c r="D3295"/>
      <c r="E3295"/>
      <c r="F3295"/>
      <c r="H3295"/>
    </row>
    <row r="3296" spans="1:8" ht="15">
      <c r="A3296"/>
      <c r="B3296"/>
      <c r="D3296"/>
      <c r="E3296"/>
      <c r="F3296"/>
      <c r="H3296"/>
    </row>
    <row r="3297" spans="1:8" ht="15">
      <c r="A3297"/>
      <c r="B3297"/>
      <c r="D3297"/>
      <c r="E3297"/>
      <c r="F3297"/>
      <c r="H3297"/>
    </row>
    <row r="3298" spans="1:8" ht="15">
      <c r="A3298"/>
      <c r="B3298"/>
      <c r="D3298"/>
      <c r="E3298"/>
      <c r="F3298"/>
      <c r="H3298"/>
    </row>
    <row r="3299" spans="1:8" ht="15">
      <c r="A3299"/>
      <c r="B3299"/>
      <c r="D3299"/>
      <c r="E3299"/>
      <c r="F3299"/>
      <c r="H3299"/>
    </row>
    <row r="3300" spans="1:8" ht="15">
      <c r="A3300"/>
      <c r="B3300"/>
      <c r="D3300"/>
      <c r="E3300"/>
      <c r="F3300"/>
      <c r="H3300"/>
    </row>
    <row r="3301" spans="1:8" ht="15">
      <c r="A3301"/>
      <c r="B3301"/>
      <c r="D3301"/>
      <c r="E3301"/>
      <c r="F3301"/>
      <c r="H3301"/>
    </row>
    <row r="3302" spans="1:8" ht="15">
      <c r="A3302"/>
      <c r="B3302"/>
      <c r="D3302"/>
      <c r="E3302"/>
      <c r="F3302"/>
      <c r="H3302"/>
    </row>
    <row r="3303" spans="1:8" ht="15">
      <c r="A3303"/>
      <c r="B3303"/>
      <c r="D3303"/>
      <c r="E3303"/>
      <c r="F3303"/>
      <c r="H3303"/>
    </row>
    <row r="3304" spans="1:8" ht="15">
      <c r="A3304"/>
      <c r="B3304"/>
      <c r="D3304"/>
      <c r="E3304"/>
      <c r="F3304"/>
      <c r="H3304"/>
    </row>
    <row r="3305" spans="1:8" ht="15">
      <c r="A3305"/>
      <c r="B3305"/>
      <c r="D3305"/>
      <c r="E3305"/>
      <c r="F3305"/>
      <c r="H3305"/>
    </row>
    <row r="3306" spans="1:8" ht="15">
      <c r="A3306"/>
      <c r="B3306"/>
      <c r="D3306"/>
      <c r="E3306"/>
      <c r="F3306"/>
      <c r="H3306"/>
    </row>
    <row r="3307" spans="1:8" ht="15">
      <c r="A3307"/>
      <c r="B3307"/>
      <c r="D3307"/>
      <c r="E3307"/>
      <c r="F3307"/>
      <c r="H3307"/>
    </row>
    <row r="3308" spans="1:8" ht="15">
      <c r="A3308"/>
      <c r="B3308"/>
      <c r="D3308"/>
      <c r="E3308"/>
      <c r="F3308"/>
      <c r="H3308"/>
    </row>
    <row r="3309" spans="1:8" ht="15">
      <c r="A3309"/>
      <c r="B3309"/>
      <c r="D3309"/>
      <c r="E3309"/>
      <c r="F3309"/>
      <c r="H3309"/>
    </row>
    <row r="3310" spans="1:8" ht="15">
      <c r="A3310"/>
      <c r="B3310"/>
      <c r="D3310"/>
      <c r="E3310"/>
      <c r="F3310"/>
      <c r="H3310"/>
    </row>
    <row r="3311" spans="1:8" ht="15">
      <c r="A3311"/>
      <c r="B3311"/>
      <c r="D3311"/>
      <c r="E3311"/>
      <c r="F3311"/>
      <c r="H3311"/>
    </row>
    <row r="3312" spans="1:8" ht="15">
      <c r="A3312"/>
      <c r="B3312"/>
      <c r="D3312"/>
      <c r="E3312"/>
      <c r="F3312"/>
      <c r="H3312"/>
    </row>
    <row r="3313" spans="1:8" ht="15">
      <c r="A3313"/>
      <c r="B3313"/>
      <c r="D3313"/>
      <c r="E3313"/>
      <c r="F3313"/>
      <c r="H3313"/>
    </row>
    <row r="3314" spans="1:8" ht="15">
      <c r="A3314"/>
      <c r="B3314"/>
      <c r="D3314"/>
      <c r="E3314"/>
      <c r="F3314"/>
      <c r="H3314"/>
    </row>
    <row r="3315" spans="1:8" ht="15">
      <c r="A3315"/>
      <c r="B3315"/>
      <c r="D3315"/>
      <c r="E3315"/>
      <c r="F3315"/>
      <c r="H3315"/>
    </row>
    <row r="3316" spans="1:8" ht="15">
      <c r="A3316"/>
      <c r="B3316"/>
      <c r="D3316"/>
      <c r="E3316"/>
      <c r="F3316"/>
      <c r="H3316"/>
    </row>
    <row r="3317" spans="1:8" ht="15">
      <c r="A3317"/>
      <c r="B3317"/>
      <c r="D3317"/>
      <c r="E3317"/>
      <c r="F3317"/>
      <c r="H3317"/>
    </row>
    <row r="3318" spans="1:8" ht="15">
      <c r="A3318"/>
      <c r="B3318"/>
      <c r="D3318"/>
      <c r="E3318"/>
      <c r="F3318"/>
      <c r="H3318"/>
    </row>
    <row r="3319" spans="1:8" ht="15">
      <c r="A3319"/>
      <c r="B3319"/>
      <c r="D3319"/>
      <c r="E3319"/>
      <c r="F3319"/>
      <c r="H3319"/>
    </row>
    <row r="3320" spans="1:8" ht="15">
      <c r="A3320"/>
      <c r="B3320"/>
      <c r="D3320"/>
      <c r="E3320"/>
      <c r="F3320"/>
      <c r="H3320"/>
    </row>
    <row r="3321" spans="1:8" ht="15">
      <c r="A3321"/>
      <c r="B3321"/>
      <c r="D3321"/>
      <c r="E3321"/>
      <c r="F3321"/>
      <c r="H3321"/>
    </row>
    <row r="3322" spans="1:8" ht="15">
      <c r="A3322"/>
      <c r="B3322"/>
      <c r="D3322"/>
      <c r="E3322"/>
      <c r="F3322"/>
      <c r="H3322"/>
    </row>
    <row r="3323" spans="1:8" ht="15">
      <c r="A3323"/>
      <c r="B3323"/>
      <c r="D3323"/>
      <c r="E3323"/>
      <c r="F3323"/>
      <c r="H3323"/>
    </row>
    <row r="3324" spans="1:8" ht="15">
      <c r="A3324"/>
      <c r="B3324"/>
      <c r="D3324"/>
      <c r="E3324"/>
      <c r="F3324"/>
      <c r="H3324"/>
    </row>
    <row r="3325" spans="1:8" ht="15">
      <c r="A3325"/>
      <c r="B3325"/>
      <c r="D3325"/>
      <c r="E3325"/>
      <c r="F3325"/>
      <c r="H3325"/>
    </row>
    <row r="3326" spans="1:8" ht="15">
      <c r="A3326"/>
      <c r="B3326"/>
      <c r="D3326"/>
      <c r="E3326"/>
      <c r="F3326"/>
      <c r="H3326"/>
    </row>
    <row r="3327" spans="1:8" ht="15">
      <c r="A3327"/>
      <c r="B3327"/>
      <c r="D3327"/>
      <c r="E3327"/>
      <c r="F3327"/>
      <c r="H3327"/>
    </row>
    <row r="3328" spans="1:8" ht="15">
      <c r="A3328"/>
      <c r="B3328"/>
      <c r="D3328"/>
      <c r="E3328"/>
      <c r="F3328"/>
      <c r="H3328"/>
    </row>
    <row r="3329" spans="1:8" ht="15">
      <c r="A3329"/>
      <c r="B3329"/>
      <c r="D3329"/>
      <c r="E3329"/>
      <c r="F3329"/>
      <c r="H3329"/>
    </row>
    <row r="3330" spans="1:8" ht="15">
      <c r="A3330"/>
      <c r="B3330"/>
      <c r="D3330"/>
      <c r="E3330"/>
      <c r="F3330"/>
      <c r="H3330"/>
    </row>
    <row r="3331" spans="1:8" ht="15">
      <c r="A3331"/>
      <c r="B3331"/>
      <c r="D3331"/>
      <c r="E3331"/>
      <c r="F3331"/>
      <c r="H3331"/>
    </row>
    <row r="3332" spans="1:8" ht="15">
      <c r="A3332"/>
      <c r="B3332"/>
      <c r="D3332"/>
      <c r="E3332"/>
      <c r="F3332"/>
      <c r="H3332"/>
    </row>
    <row r="3333" spans="1:8" ht="15">
      <c r="A3333"/>
      <c r="B3333"/>
      <c r="D3333"/>
      <c r="E3333"/>
      <c r="F3333"/>
      <c r="H3333"/>
    </row>
    <row r="3334" spans="1:8" ht="15">
      <c r="A3334"/>
      <c r="B3334"/>
      <c r="D3334"/>
      <c r="E3334"/>
      <c r="F3334"/>
      <c r="H3334"/>
    </row>
    <row r="3335" spans="1:8" ht="15">
      <c r="A3335"/>
      <c r="B3335"/>
      <c r="D3335"/>
      <c r="E3335"/>
      <c r="F3335"/>
      <c r="H3335"/>
    </row>
    <row r="3336" spans="1:8" ht="15">
      <c r="A3336"/>
      <c r="B3336"/>
      <c r="D3336"/>
      <c r="E3336"/>
      <c r="F3336"/>
      <c r="H3336"/>
    </row>
    <row r="3337" spans="1:8" ht="15">
      <c r="A3337"/>
      <c r="B3337"/>
      <c r="D3337"/>
      <c r="E3337"/>
      <c r="F3337"/>
      <c r="H3337"/>
    </row>
    <row r="3338" spans="1:8" ht="15">
      <c r="A3338"/>
      <c r="B3338"/>
      <c r="D3338"/>
      <c r="E3338"/>
      <c r="F3338"/>
      <c r="H3338"/>
    </row>
    <row r="3339" spans="1:8" ht="15">
      <c r="A3339"/>
      <c r="B3339"/>
      <c r="D3339"/>
      <c r="E3339"/>
      <c r="F3339"/>
      <c r="H3339"/>
    </row>
    <row r="3340" spans="1:8" ht="15">
      <c r="A3340"/>
      <c r="B3340"/>
      <c r="D3340"/>
      <c r="E3340"/>
      <c r="F3340"/>
      <c r="H3340"/>
    </row>
    <row r="3341" spans="1:8" ht="15">
      <c r="A3341"/>
      <c r="B3341"/>
      <c r="D3341"/>
      <c r="E3341"/>
      <c r="F3341"/>
      <c r="H3341"/>
    </row>
    <row r="3342" spans="1:8" ht="15">
      <c r="A3342"/>
      <c r="B3342"/>
      <c r="D3342"/>
      <c r="E3342"/>
      <c r="F3342"/>
      <c r="H3342"/>
    </row>
    <row r="3343" spans="1:8" ht="15">
      <c r="A3343"/>
      <c r="B3343"/>
      <c r="D3343"/>
      <c r="E3343"/>
      <c r="F3343"/>
      <c r="H3343"/>
    </row>
    <row r="3344" spans="1:8" ht="15">
      <c r="A3344"/>
      <c r="B3344"/>
      <c r="D3344"/>
      <c r="E3344"/>
      <c r="F3344"/>
      <c r="H3344"/>
    </row>
    <row r="3345" spans="1:8" ht="15">
      <c r="A3345"/>
      <c r="B3345"/>
      <c r="D3345"/>
      <c r="E3345"/>
      <c r="F3345"/>
      <c r="H3345"/>
    </row>
    <row r="3346" spans="1:8" ht="15">
      <c r="A3346"/>
      <c r="B3346"/>
      <c r="D3346"/>
      <c r="E3346"/>
      <c r="F3346"/>
      <c r="H3346"/>
    </row>
    <row r="3347" spans="1:8" ht="15">
      <c r="A3347"/>
      <c r="B3347"/>
      <c r="D3347"/>
      <c r="E3347"/>
      <c r="F3347"/>
      <c r="H3347"/>
    </row>
    <row r="3348" spans="1:8" ht="15">
      <c r="A3348"/>
      <c r="B3348"/>
      <c r="D3348"/>
      <c r="E3348"/>
      <c r="F3348"/>
      <c r="H3348"/>
    </row>
    <row r="3349" spans="1:8" ht="15">
      <c r="A3349"/>
      <c r="B3349"/>
      <c r="D3349"/>
      <c r="E3349"/>
      <c r="F3349"/>
      <c r="H3349"/>
    </row>
    <row r="3350" spans="1:8" ht="15">
      <c r="A3350"/>
      <c r="B3350"/>
      <c r="D3350"/>
      <c r="E3350"/>
      <c r="F3350"/>
      <c r="H3350"/>
    </row>
    <row r="3351" spans="1:8" ht="15">
      <c r="A3351"/>
      <c r="B3351"/>
      <c r="D3351"/>
      <c r="E3351"/>
      <c r="F3351"/>
      <c r="H3351"/>
    </row>
    <row r="3352" spans="1:8" ht="15">
      <c r="A3352"/>
      <c r="B3352"/>
      <c r="D3352"/>
      <c r="E3352"/>
      <c r="F3352"/>
      <c r="H3352"/>
    </row>
    <row r="3353" spans="1:8" ht="15">
      <c r="A3353"/>
      <c r="B3353"/>
      <c r="D3353"/>
      <c r="E3353"/>
      <c r="F3353"/>
      <c r="H3353"/>
    </row>
    <row r="3354" spans="1:8" ht="15">
      <c r="A3354"/>
      <c r="B3354"/>
      <c r="D3354"/>
      <c r="E3354"/>
      <c r="F3354"/>
      <c r="H3354"/>
    </row>
    <row r="3355" spans="1:8" ht="15">
      <c r="A3355"/>
      <c r="B3355"/>
      <c r="D3355"/>
      <c r="E3355"/>
      <c r="F3355"/>
      <c r="H3355"/>
    </row>
    <row r="3356" spans="1:8" ht="15">
      <c r="A3356"/>
      <c r="B3356"/>
      <c r="D3356"/>
      <c r="E3356"/>
      <c r="F3356"/>
      <c r="H3356"/>
    </row>
    <row r="3357" spans="1:8" ht="15">
      <c r="A3357"/>
      <c r="B3357"/>
      <c r="D3357"/>
      <c r="E3357"/>
      <c r="F3357"/>
      <c r="H3357"/>
    </row>
    <row r="3358" spans="1:8" ht="15">
      <c r="A3358"/>
      <c r="B3358"/>
      <c r="D3358"/>
      <c r="E3358"/>
      <c r="F3358"/>
      <c r="H3358"/>
    </row>
    <row r="3359" spans="1:8" ht="15">
      <c r="A3359"/>
      <c r="B3359"/>
      <c r="D3359"/>
      <c r="E3359"/>
      <c r="F3359"/>
      <c r="H3359"/>
    </row>
    <row r="3360" spans="1:8" ht="15">
      <c r="A3360"/>
      <c r="B3360"/>
      <c r="D3360"/>
      <c r="E3360"/>
      <c r="F3360"/>
      <c r="H3360"/>
    </row>
    <row r="3361" spans="1:8" ht="15">
      <c r="A3361"/>
      <c r="B3361"/>
      <c r="D3361"/>
      <c r="E3361"/>
      <c r="F3361"/>
      <c r="H3361"/>
    </row>
    <row r="3362" spans="1:8" ht="15">
      <c r="A3362"/>
      <c r="B3362"/>
      <c r="D3362"/>
      <c r="E3362"/>
      <c r="F3362"/>
      <c r="H3362"/>
    </row>
    <row r="3363" spans="1:8" ht="15">
      <c r="A3363"/>
      <c r="B3363"/>
      <c r="D3363"/>
      <c r="E3363"/>
      <c r="F3363"/>
      <c r="H3363"/>
    </row>
    <row r="3364" spans="1:8" ht="15">
      <c r="A3364"/>
      <c r="B3364"/>
      <c r="D3364"/>
      <c r="E3364"/>
      <c r="F3364"/>
      <c r="H3364"/>
    </row>
    <row r="3365" spans="1:8" ht="15">
      <c r="A3365"/>
      <c r="B3365"/>
      <c r="D3365"/>
      <c r="E3365"/>
      <c r="F3365"/>
      <c r="H3365"/>
    </row>
    <row r="3366" spans="1:8" ht="15">
      <c r="A3366"/>
      <c r="B3366"/>
      <c r="D3366"/>
      <c r="E3366"/>
      <c r="F3366"/>
      <c r="H3366"/>
    </row>
    <row r="3367" spans="1:8" ht="15">
      <c r="A3367"/>
      <c r="B3367"/>
      <c r="D3367"/>
      <c r="E3367"/>
      <c r="F3367"/>
      <c r="H3367"/>
    </row>
    <row r="3368" spans="1:8" ht="15">
      <c r="A3368"/>
      <c r="B3368"/>
      <c r="D3368"/>
      <c r="E3368"/>
      <c r="F3368"/>
      <c r="H3368"/>
    </row>
    <row r="3369" spans="1:8" ht="15">
      <c r="A3369"/>
      <c r="B3369"/>
      <c r="D3369"/>
      <c r="E3369"/>
      <c r="F3369"/>
      <c r="H3369"/>
    </row>
    <row r="3370" spans="1:8" ht="15">
      <c r="A3370"/>
      <c r="B3370"/>
      <c r="D3370"/>
      <c r="E3370"/>
      <c r="F3370"/>
      <c r="H3370"/>
    </row>
    <row r="3371" spans="1:8" ht="15">
      <c r="A3371"/>
      <c r="B3371"/>
      <c r="D3371"/>
      <c r="E3371"/>
      <c r="F3371"/>
      <c r="H3371"/>
    </row>
    <row r="3372" spans="1:8" ht="15">
      <c r="A3372"/>
      <c r="B3372"/>
      <c r="D3372"/>
      <c r="E3372"/>
      <c r="F3372"/>
      <c r="H3372"/>
    </row>
    <row r="3373" spans="1:8" ht="15">
      <c r="A3373"/>
      <c r="B3373"/>
      <c r="D3373"/>
      <c r="E3373"/>
      <c r="F3373"/>
      <c r="H3373"/>
    </row>
    <row r="3374" spans="1:8" ht="15">
      <c r="A3374"/>
      <c r="B3374"/>
      <c r="D3374"/>
      <c r="E3374"/>
      <c r="F3374"/>
      <c r="H3374"/>
    </row>
    <row r="3375" spans="1:8" ht="15">
      <c r="A3375"/>
      <c r="B3375"/>
      <c r="D3375"/>
      <c r="E3375"/>
      <c r="F3375"/>
      <c r="H3375"/>
    </row>
    <row r="3376" spans="1:8" ht="15">
      <c r="A3376"/>
      <c r="B3376"/>
      <c r="D3376"/>
      <c r="E3376"/>
      <c r="F3376"/>
      <c r="H3376"/>
    </row>
    <row r="3377" spans="1:8" ht="15">
      <c r="A3377"/>
      <c r="B3377"/>
      <c r="D3377"/>
      <c r="E3377"/>
      <c r="F3377"/>
      <c r="H3377"/>
    </row>
    <row r="3378" spans="1:8" ht="15">
      <c r="A3378"/>
      <c r="B3378"/>
      <c r="D3378"/>
      <c r="E3378"/>
      <c r="F3378"/>
      <c r="H3378"/>
    </row>
    <row r="3379" spans="1:8" ht="15">
      <c r="A3379"/>
      <c r="B3379"/>
      <c r="D3379"/>
      <c r="E3379"/>
      <c r="F3379"/>
      <c r="H3379"/>
    </row>
    <row r="3380" spans="1:8" ht="15">
      <c r="A3380"/>
      <c r="B3380"/>
      <c r="D3380"/>
      <c r="E3380"/>
      <c r="F3380"/>
      <c r="H3380"/>
    </row>
    <row r="3381" spans="1:8" ht="15">
      <c r="A3381"/>
      <c r="B3381"/>
      <c r="D3381"/>
      <c r="E3381"/>
      <c r="F3381"/>
      <c r="H3381"/>
    </row>
    <row r="3382" spans="1:8" ht="15">
      <c r="A3382"/>
      <c r="B3382"/>
      <c r="D3382"/>
      <c r="E3382"/>
      <c r="F3382"/>
      <c r="H3382"/>
    </row>
    <row r="3383" spans="1:8" ht="15">
      <c r="A3383"/>
      <c r="B3383"/>
      <c r="D3383"/>
      <c r="E3383"/>
      <c r="F3383"/>
      <c r="H3383"/>
    </row>
    <row r="3384" spans="1:8" ht="15">
      <c r="A3384"/>
      <c r="B3384"/>
      <c r="D3384"/>
      <c r="E3384"/>
      <c r="F3384"/>
      <c r="H3384"/>
    </row>
    <row r="3385" spans="1:8" ht="15">
      <c r="A3385"/>
      <c r="B3385"/>
      <c r="D3385"/>
      <c r="E3385"/>
      <c r="F3385"/>
      <c r="H3385"/>
    </row>
    <row r="3386" spans="1:8" ht="15">
      <c r="A3386"/>
      <c r="B3386"/>
      <c r="D3386"/>
      <c r="E3386"/>
      <c r="F3386"/>
      <c r="H3386"/>
    </row>
    <row r="3387" spans="1:8" ht="15">
      <c r="A3387"/>
      <c r="B3387"/>
      <c r="D3387"/>
      <c r="E3387"/>
      <c r="F3387"/>
      <c r="H3387"/>
    </row>
    <row r="3388" spans="1:8" ht="15">
      <c r="A3388"/>
      <c r="B3388"/>
      <c r="D3388"/>
      <c r="E3388"/>
      <c r="F3388"/>
      <c r="H3388"/>
    </row>
    <row r="3389" spans="1:8" ht="15">
      <c r="A3389"/>
      <c r="B3389"/>
      <c r="D3389"/>
      <c r="E3389"/>
      <c r="F3389"/>
      <c r="H3389"/>
    </row>
    <row r="3390" spans="1:8" ht="15">
      <c r="A3390"/>
      <c r="B3390"/>
      <c r="D3390"/>
      <c r="E3390"/>
      <c r="F3390"/>
      <c r="H3390"/>
    </row>
    <row r="3391" spans="1:8" ht="15">
      <c r="A3391"/>
      <c r="B3391"/>
      <c r="D3391"/>
      <c r="E3391"/>
      <c r="F3391"/>
      <c r="H3391"/>
    </row>
    <row r="3392" spans="1:8" ht="15">
      <c r="A3392"/>
      <c r="B3392"/>
      <c r="D3392"/>
      <c r="E3392"/>
      <c r="F3392"/>
      <c r="H3392"/>
    </row>
    <row r="3393" spans="1:8" ht="15">
      <c r="A3393"/>
      <c r="B3393"/>
      <c r="D3393"/>
      <c r="E3393"/>
      <c r="F3393"/>
      <c r="H3393"/>
    </row>
    <row r="3394" spans="1:8" ht="15">
      <c r="A3394"/>
      <c r="B3394"/>
      <c r="D3394"/>
      <c r="E3394"/>
      <c r="F3394"/>
      <c r="H3394"/>
    </row>
    <row r="3395" spans="1:8" ht="15">
      <c r="A3395"/>
      <c r="B3395"/>
      <c r="D3395"/>
      <c r="E3395"/>
      <c r="F3395"/>
      <c r="H3395"/>
    </row>
    <row r="3396" spans="1:8" ht="15">
      <c r="A3396"/>
      <c r="B3396"/>
      <c r="D3396"/>
      <c r="E3396"/>
      <c r="F3396"/>
      <c r="H3396"/>
    </row>
    <row r="3397" spans="1:8" ht="15">
      <c r="A3397"/>
      <c r="B3397"/>
      <c r="D3397"/>
      <c r="E3397"/>
      <c r="F3397"/>
      <c r="H3397"/>
    </row>
    <row r="3398" spans="1:8" ht="15">
      <c r="A3398"/>
      <c r="B3398"/>
      <c r="D3398"/>
      <c r="E3398"/>
      <c r="F3398"/>
      <c r="H3398"/>
    </row>
    <row r="3399" spans="1:8" ht="15">
      <c r="A3399"/>
      <c r="B3399"/>
      <c r="D3399"/>
      <c r="E3399"/>
      <c r="F3399"/>
      <c r="H3399"/>
    </row>
    <row r="3400" spans="1:8" ht="15">
      <c r="A3400"/>
      <c r="B3400"/>
      <c r="D3400"/>
      <c r="E3400"/>
      <c r="F3400"/>
      <c r="H3400"/>
    </row>
    <row r="3401" spans="1:8" ht="15">
      <c r="A3401"/>
      <c r="B3401"/>
      <c r="D3401"/>
      <c r="E3401"/>
      <c r="F3401"/>
      <c r="H3401"/>
    </row>
    <row r="3402" spans="1:8" ht="15">
      <c r="A3402"/>
      <c r="B3402"/>
      <c r="D3402"/>
      <c r="E3402"/>
      <c r="F3402"/>
      <c r="H3402"/>
    </row>
    <row r="3403" spans="1:8" ht="15">
      <c r="A3403"/>
      <c r="B3403"/>
      <c r="D3403"/>
      <c r="E3403"/>
      <c r="F3403"/>
      <c r="H3403"/>
    </row>
    <row r="3404" spans="1:8" ht="15">
      <c r="A3404"/>
      <c r="B3404"/>
      <c r="D3404"/>
      <c r="E3404"/>
      <c r="F3404"/>
      <c r="H3404"/>
    </row>
    <row r="3405" spans="1:8" ht="15">
      <c r="A3405"/>
      <c r="B3405"/>
      <c r="D3405"/>
      <c r="E3405"/>
      <c r="F3405"/>
      <c r="H3405"/>
    </row>
    <row r="3406" spans="1:8" ht="15">
      <c r="A3406"/>
      <c r="B3406"/>
      <c r="D3406"/>
      <c r="E3406"/>
      <c r="F3406"/>
      <c r="H3406"/>
    </row>
    <row r="3407" spans="1:8" ht="15">
      <c r="A3407"/>
      <c r="B3407"/>
      <c r="D3407"/>
      <c r="E3407"/>
      <c r="F3407"/>
      <c r="H3407"/>
    </row>
    <row r="3408" spans="1:8" ht="15">
      <c r="A3408"/>
      <c r="B3408"/>
      <c r="D3408"/>
      <c r="E3408"/>
      <c r="F3408"/>
      <c r="H3408"/>
    </row>
    <row r="3409" spans="1:8" ht="15">
      <c r="A3409"/>
      <c r="B3409"/>
      <c r="D3409"/>
      <c r="E3409"/>
      <c r="F3409"/>
      <c r="H3409"/>
    </row>
    <row r="3410" spans="1:8" ht="15">
      <c r="A3410"/>
      <c r="B3410"/>
      <c r="D3410"/>
      <c r="E3410"/>
      <c r="F3410"/>
      <c r="H3410"/>
    </row>
    <row r="3411" spans="1:8" ht="15">
      <c r="A3411"/>
      <c r="B3411"/>
      <c r="D3411"/>
      <c r="E3411"/>
      <c r="F3411"/>
      <c r="H3411"/>
    </row>
    <row r="3412" spans="1:8" ht="15">
      <c r="A3412"/>
      <c r="B3412"/>
      <c r="D3412"/>
      <c r="E3412"/>
      <c r="F3412"/>
      <c r="H3412"/>
    </row>
    <row r="3413" spans="1:8" ht="15">
      <c r="A3413"/>
      <c r="B3413"/>
      <c r="D3413"/>
      <c r="E3413"/>
      <c r="F3413"/>
      <c r="H3413"/>
    </row>
    <row r="3414" spans="1:8" ht="15">
      <c r="A3414"/>
      <c r="B3414"/>
      <c r="D3414"/>
      <c r="E3414"/>
      <c r="F3414"/>
      <c r="H3414"/>
    </row>
    <row r="3415" spans="1:8" ht="15">
      <c r="A3415"/>
      <c r="B3415"/>
      <c r="D3415"/>
      <c r="E3415"/>
      <c r="F3415"/>
      <c r="H3415"/>
    </row>
    <row r="3416" spans="1:8" ht="15">
      <c r="A3416"/>
      <c r="B3416"/>
      <c r="D3416"/>
      <c r="E3416"/>
      <c r="F3416"/>
      <c r="H3416"/>
    </row>
    <row r="3417" spans="1:8" ht="15">
      <c r="A3417"/>
      <c r="B3417"/>
      <c r="D3417"/>
      <c r="E3417"/>
      <c r="F3417"/>
      <c r="H3417"/>
    </row>
    <row r="3418" spans="1:8" ht="15">
      <c r="A3418"/>
      <c r="B3418"/>
      <c r="D3418"/>
      <c r="E3418"/>
      <c r="F3418"/>
      <c r="H3418"/>
    </row>
    <row r="3419" spans="1:8" ht="15">
      <c r="A3419"/>
      <c r="B3419"/>
      <c r="D3419"/>
      <c r="E3419"/>
      <c r="F3419"/>
      <c r="H3419"/>
    </row>
    <row r="3420" spans="1:8" ht="15">
      <c r="A3420"/>
      <c r="B3420"/>
      <c r="D3420"/>
      <c r="E3420"/>
      <c r="F3420"/>
      <c r="H3420"/>
    </row>
    <row r="3421" spans="1:8" ht="15">
      <c r="A3421"/>
      <c r="B3421"/>
      <c r="D3421"/>
      <c r="E3421"/>
      <c r="F3421"/>
      <c r="H3421"/>
    </row>
    <row r="3422" spans="1:8" ht="15">
      <c r="A3422"/>
      <c r="B3422"/>
      <c r="D3422"/>
      <c r="E3422"/>
      <c r="F3422"/>
      <c r="H3422"/>
    </row>
    <row r="3423" spans="1:8" ht="15">
      <c r="A3423"/>
      <c r="B3423"/>
      <c r="D3423"/>
      <c r="E3423"/>
      <c r="F3423"/>
      <c r="H3423"/>
    </row>
    <row r="3424" spans="1:8" ht="15">
      <c r="A3424"/>
      <c r="B3424"/>
      <c r="D3424"/>
      <c r="E3424"/>
      <c r="F3424"/>
      <c r="H3424"/>
    </row>
    <row r="3425" spans="1:8" ht="15">
      <c r="A3425"/>
      <c r="B3425"/>
      <c r="D3425"/>
      <c r="E3425"/>
      <c r="F3425"/>
      <c r="H3425"/>
    </row>
    <row r="3426" spans="1:8" ht="15">
      <c r="A3426"/>
      <c r="B3426"/>
      <c r="D3426"/>
      <c r="E3426"/>
      <c r="F3426"/>
      <c r="H3426"/>
    </row>
    <row r="3427" spans="1:8" ht="15">
      <c r="A3427"/>
      <c r="B3427"/>
      <c r="D3427"/>
      <c r="E3427"/>
      <c r="F3427"/>
      <c r="H3427"/>
    </row>
    <row r="3428" spans="1:8" ht="15">
      <c r="A3428"/>
      <c r="B3428"/>
      <c r="D3428"/>
      <c r="E3428"/>
      <c r="F3428"/>
      <c r="H3428"/>
    </row>
    <row r="3429" spans="1:8" ht="15">
      <c r="A3429"/>
      <c r="B3429"/>
      <c r="D3429"/>
      <c r="E3429"/>
      <c r="F3429"/>
      <c r="H3429"/>
    </row>
    <row r="3430" spans="1:8" ht="15">
      <c r="A3430"/>
      <c r="B3430"/>
      <c r="D3430"/>
      <c r="E3430"/>
      <c r="F3430"/>
      <c r="H3430"/>
    </row>
    <row r="3431" spans="1:8" ht="15">
      <c r="A3431"/>
      <c r="B3431"/>
      <c r="D3431"/>
      <c r="E3431"/>
      <c r="F3431"/>
      <c r="H3431"/>
    </row>
    <row r="3432" spans="1:8" ht="15">
      <c r="A3432"/>
      <c r="B3432"/>
      <c r="D3432"/>
      <c r="E3432"/>
      <c r="F3432"/>
      <c r="H3432"/>
    </row>
    <row r="3433" spans="1:8" ht="15">
      <c r="A3433"/>
      <c r="B3433"/>
      <c r="D3433"/>
      <c r="E3433"/>
      <c r="F3433"/>
      <c r="H3433"/>
    </row>
    <row r="3434" spans="1:8" ht="15">
      <c r="A3434"/>
      <c r="B3434"/>
      <c r="D3434"/>
      <c r="E3434"/>
      <c r="F3434"/>
      <c r="H3434"/>
    </row>
    <row r="3435" spans="1:8" ht="15">
      <c r="A3435"/>
      <c r="B3435"/>
      <c r="D3435"/>
      <c r="E3435"/>
      <c r="F3435"/>
      <c r="H3435"/>
    </row>
    <row r="3436" spans="1:8" ht="15">
      <c r="A3436"/>
      <c r="B3436"/>
      <c r="D3436"/>
      <c r="E3436"/>
      <c r="F3436"/>
      <c r="H3436"/>
    </row>
    <row r="3437" spans="1:8" ht="15">
      <c r="A3437"/>
      <c r="B3437"/>
      <c r="D3437"/>
      <c r="E3437"/>
      <c r="F3437"/>
      <c r="H3437"/>
    </row>
    <row r="3438" spans="1:8" ht="15">
      <c r="A3438"/>
      <c r="B3438"/>
      <c r="D3438"/>
      <c r="E3438"/>
      <c r="F3438"/>
      <c r="H3438"/>
    </row>
    <row r="3439" spans="1:8" ht="15">
      <c r="A3439"/>
      <c r="B3439"/>
      <c r="D3439"/>
      <c r="E3439"/>
      <c r="F3439"/>
      <c r="H3439"/>
    </row>
    <row r="3440" spans="1:8" ht="15">
      <c r="A3440"/>
      <c r="B3440"/>
      <c r="D3440"/>
      <c r="E3440"/>
      <c r="F3440"/>
      <c r="H3440"/>
    </row>
    <row r="3441" spans="1:8" ht="15">
      <c r="A3441"/>
      <c r="B3441"/>
      <c r="D3441"/>
      <c r="E3441"/>
      <c r="F3441"/>
      <c r="H3441"/>
    </row>
    <row r="3442" spans="1:8" ht="15">
      <c r="A3442"/>
      <c r="B3442"/>
      <c r="D3442"/>
      <c r="E3442"/>
      <c r="F3442"/>
      <c r="H3442"/>
    </row>
    <row r="3443" spans="1:8" ht="15">
      <c r="A3443"/>
      <c r="B3443"/>
      <c r="D3443"/>
      <c r="E3443"/>
      <c r="F3443"/>
      <c r="H3443"/>
    </row>
    <row r="3444" spans="1:8" ht="15">
      <c r="A3444"/>
      <c r="B3444"/>
      <c r="D3444"/>
      <c r="E3444"/>
      <c r="F3444"/>
      <c r="H3444"/>
    </row>
    <row r="3445" spans="1:8" ht="15">
      <c r="A3445"/>
      <c r="B3445"/>
      <c r="D3445"/>
      <c r="E3445"/>
      <c r="F3445"/>
      <c r="H3445"/>
    </row>
    <row r="3446" spans="1:8" ht="15">
      <c r="A3446"/>
      <c r="B3446"/>
      <c r="D3446"/>
      <c r="E3446"/>
      <c r="F3446"/>
      <c r="H3446"/>
    </row>
    <row r="3447" spans="1:8" ht="15">
      <c r="A3447"/>
      <c r="B3447"/>
      <c r="D3447"/>
      <c r="E3447"/>
      <c r="F3447"/>
      <c r="H3447"/>
    </row>
    <row r="3448" spans="1:8" ht="15">
      <c r="A3448"/>
      <c r="B3448"/>
      <c r="D3448"/>
      <c r="E3448"/>
      <c r="F3448"/>
      <c r="H3448"/>
    </row>
    <row r="3449" spans="1:8" ht="15">
      <c r="A3449"/>
      <c r="B3449"/>
      <c r="D3449"/>
      <c r="E3449"/>
      <c r="F3449"/>
      <c r="H3449"/>
    </row>
    <row r="3450" spans="1:8" ht="15">
      <c r="A3450"/>
      <c r="B3450"/>
      <c r="D3450"/>
      <c r="E3450"/>
      <c r="F3450"/>
      <c r="H3450"/>
    </row>
    <row r="3451" spans="1:8" ht="15">
      <c r="A3451"/>
      <c r="B3451"/>
      <c r="D3451"/>
      <c r="E3451"/>
      <c r="F3451"/>
      <c r="H3451"/>
    </row>
    <row r="3452" spans="1:8" ht="15">
      <c r="A3452"/>
      <c r="B3452"/>
      <c r="D3452"/>
      <c r="E3452"/>
      <c r="F3452"/>
      <c r="H3452"/>
    </row>
    <row r="3453" spans="1:8" ht="15">
      <c r="A3453"/>
      <c r="B3453"/>
      <c r="D3453"/>
      <c r="E3453"/>
      <c r="F3453"/>
      <c r="H3453"/>
    </row>
    <row r="3454" spans="1:8" ht="15">
      <c r="A3454"/>
      <c r="B3454"/>
      <c r="D3454"/>
      <c r="E3454"/>
      <c r="F3454"/>
      <c r="H3454"/>
    </row>
    <row r="3455" spans="1:8" ht="15">
      <c r="A3455"/>
      <c r="B3455"/>
      <c r="D3455"/>
      <c r="E3455"/>
      <c r="F3455"/>
      <c r="H3455"/>
    </row>
    <row r="3456" spans="1:8" ht="15">
      <c r="A3456"/>
      <c r="B3456"/>
      <c r="D3456"/>
      <c r="E3456"/>
      <c r="F3456"/>
      <c r="H3456"/>
    </row>
    <row r="3457" spans="1:8" ht="15">
      <c r="A3457"/>
      <c r="B3457"/>
      <c r="D3457"/>
      <c r="E3457"/>
      <c r="F3457"/>
      <c r="H3457"/>
    </row>
    <row r="3458" spans="1:8" ht="15">
      <c r="A3458"/>
      <c r="B3458"/>
      <c r="D3458"/>
      <c r="E3458"/>
      <c r="F3458"/>
      <c r="H3458"/>
    </row>
    <row r="3459" spans="1:8" ht="15">
      <c r="A3459"/>
      <c r="B3459"/>
      <c r="D3459"/>
      <c r="E3459"/>
      <c r="F3459"/>
      <c r="H3459"/>
    </row>
    <row r="3460" spans="1:8" ht="15">
      <c r="A3460"/>
      <c r="B3460"/>
      <c r="D3460"/>
      <c r="E3460"/>
      <c r="F3460"/>
      <c r="H3460"/>
    </row>
    <row r="3461" spans="1:8" ht="15">
      <c r="A3461"/>
      <c r="B3461"/>
      <c r="D3461"/>
      <c r="E3461"/>
      <c r="F3461"/>
      <c r="H3461"/>
    </row>
    <row r="3462" spans="1:8" ht="15">
      <c r="A3462"/>
      <c r="B3462"/>
      <c r="D3462"/>
      <c r="E3462"/>
      <c r="F3462"/>
      <c r="H3462"/>
    </row>
    <row r="3463" spans="1:8" ht="15">
      <c r="A3463"/>
      <c r="B3463"/>
      <c r="D3463"/>
      <c r="E3463"/>
      <c r="F3463"/>
      <c r="H3463"/>
    </row>
    <row r="3464" spans="1:8" ht="15">
      <c r="A3464"/>
      <c r="B3464"/>
      <c r="D3464"/>
      <c r="E3464"/>
      <c r="F3464"/>
      <c r="H3464"/>
    </row>
    <row r="3465" spans="1:8" ht="15">
      <c r="A3465"/>
      <c r="B3465"/>
      <c r="D3465"/>
      <c r="E3465"/>
      <c r="F3465"/>
      <c r="H3465"/>
    </row>
    <row r="3466" spans="1:8" ht="15">
      <c r="A3466"/>
      <c r="B3466"/>
      <c r="D3466"/>
      <c r="E3466"/>
      <c r="F3466"/>
      <c r="H3466"/>
    </row>
    <row r="3467" spans="1:8" ht="15">
      <c r="A3467"/>
      <c r="B3467"/>
      <c r="D3467"/>
      <c r="E3467"/>
      <c r="F3467"/>
      <c r="H3467"/>
    </row>
    <row r="3468" spans="1:8" ht="15">
      <c r="A3468"/>
      <c r="B3468"/>
      <c r="D3468"/>
      <c r="E3468"/>
      <c r="F3468"/>
      <c r="H3468"/>
    </row>
    <row r="3469" spans="1:8" ht="15">
      <c r="A3469"/>
      <c r="B3469"/>
      <c r="D3469"/>
      <c r="E3469"/>
      <c r="F3469"/>
      <c r="H3469"/>
    </row>
    <row r="3470" spans="1:8" ht="15">
      <c r="A3470"/>
      <c r="B3470"/>
      <c r="D3470"/>
      <c r="E3470"/>
      <c r="F3470"/>
      <c r="H3470"/>
    </row>
    <row r="3471" spans="1:8" ht="15">
      <c r="A3471"/>
      <c r="B3471"/>
      <c r="D3471"/>
      <c r="E3471"/>
      <c r="F3471"/>
      <c r="H3471"/>
    </row>
    <row r="3472" spans="1:8" ht="15">
      <c r="A3472"/>
      <c r="B3472"/>
      <c r="D3472"/>
      <c r="E3472"/>
      <c r="F3472"/>
      <c r="H3472"/>
    </row>
    <row r="3473" spans="1:8" ht="15">
      <c r="A3473"/>
      <c r="B3473"/>
      <c r="D3473"/>
      <c r="E3473"/>
      <c r="F3473"/>
      <c r="H3473"/>
    </row>
    <row r="3474" spans="1:8" ht="15">
      <c r="A3474"/>
      <c r="B3474"/>
      <c r="D3474"/>
      <c r="E3474"/>
      <c r="F3474"/>
      <c r="H3474"/>
    </row>
    <row r="3475" spans="1:8" ht="15">
      <c r="A3475"/>
      <c r="B3475"/>
      <c r="D3475"/>
      <c r="E3475"/>
      <c r="F3475"/>
      <c r="H3475"/>
    </row>
    <row r="3476" spans="1:8" ht="15">
      <c r="A3476"/>
      <c r="B3476"/>
      <c r="D3476"/>
      <c r="E3476"/>
      <c r="F3476"/>
      <c r="H3476"/>
    </row>
    <row r="3477" spans="1:8" ht="15">
      <c r="A3477"/>
      <c r="B3477"/>
      <c r="D3477"/>
      <c r="E3477"/>
      <c r="F3477"/>
      <c r="H3477"/>
    </row>
    <row r="3478" spans="1:8" ht="15">
      <c r="A3478"/>
      <c r="B3478"/>
      <c r="D3478"/>
      <c r="E3478"/>
      <c r="F3478"/>
      <c r="H3478"/>
    </row>
    <row r="3479" spans="1:8" ht="15">
      <c r="A3479"/>
      <c r="B3479"/>
      <c r="D3479"/>
      <c r="E3479"/>
      <c r="F3479"/>
      <c r="H3479"/>
    </row>
    <row r="3480" spans="1:8" ht="15">
      <c r="A3480"/>
      <c r="B3480"/>
      <c r="D3480"/>
      <c r="E3480"/>
      <c r="F3480"/>
      <c r="H3480"/>
    </row>
    <row r="3481" spans="1:8" ht="15">
      <c r="A3481"/>
      <c r="B3481"/>
      <c r="D3481"/>
      <c r="E3481"/>
      <c r="F3481"/>
      <c r="H3481"/>
    </row>
    <row r="3482" spans="1:8" ht="15">
      <c r="A3482"/>
      <c r="B3482"/>
      <c r="D3482"/>
      <c r="E3482"/>
      <c r="F3482"/>
      <c r="H3482"/>
    </row>
    <row r="3483" spans="1:8" ht="15">
      <c r="A3483"/>
      <c r="B3483"/>
      <c r="D3483"/>
      <c r="E3483"/>
      <c r="F3483"/>
      <c r="H3483"/>
    </row>
    <row r="3484" spans="1:8" ht="15">
      <c r="A3484"/>
      <c r="B3484"/>
      <c r="D3484"/>
      <c r="E3484"/>
      <c r="F3484"/>
      <c r="H3484"/>
    </row>
    <row r="3485" spans="1:8" ht="15">
      <c r="A3485"/>
      <c r="B3485"/>
      <c r="D3485"/>
      <c r="E3485"/>
      <c r="F3485"/>
      <c r="H3485"/>
    </row>
    <row r="3486" spans="1:8" ht="15">
      <c r="A3486"/>
      <c r="B3486"/>
      <c r="D3486"/>
      <c r="E3486"/>
      <c r="F3486"/>
      <c r="H3486"/>
    </row>
    <row r="3487" spans="1:8" ht="15">
      <c r="A3487"/>
      <c r="B3487"/>
      <c r="D3487"/>
      <c r="E3487"/>
      <c r="F3487"/>
      <c r="H3487"/>
    </row>
    <row r="3488" spans="1:8" ht="15">
      <c r="A3488"/>
      <c r="B3488"/>
      <c r="D3488"/>
      <c r="E3488"/>
      <c r="F3488"/>
      <c r="H3488"/>
    </row>
    <row r="3489" spans="1:8" ht="15">
      <c r="A3489"/>
      <c r="B3489"/>
      <c r="D3489"/>
      <c r="E3489"/>
      <c r="F3489"/>
      <c r="H3489"/>
    </row>
    <row r="3490" spans="1:8" ht="15">
      <c r="A3490"/>
      <c r="B3490"/>
      <c r="D3490"/>
      <c r="E3490"/>
      <c r="F3490"/>
      <c r="H3490"/>
    </row>
    <row r="3491" spans="1:8" ht="15">
      <c r="A3491"/>
      <c r="B3491"/>
      <c r="D3491"/>
      <c r="E3491"/>
      <c r="F3491"/>
      <c r="H3491"/>
    </row>
    <row r="3492" spans="1:8" ht="15">
      <c r="A3492"/>
      <c r="B3492"/>
      <c r="D3492"/>
      <c r="E3492"/>
      <c r="F3492"/>
      <c r="H3492"/>
    </row>
    <row r="3493" spans="1:8" ht="15">
      <c r="A3493"/>
      <c r="B3493"/>
      <c r="D3493"/>
      <c r="E3493"/>
      <c r="F3493"/>
      <c r="H3493"/>
    </row>
    <row r="3494" spans="1:8" ht="15">
      <c r="A3494"/>
      <c r="B3494"/>
      <c r="D3494"/>
      <c r="E3494"/>
      <c r="F3494"/>
      <c r="H3494"/>
    </row>
    <row r="3495" spans="1:8" ht="15">
      <c r="A3495"/>
      <c r="B3495"/>
      <c r="D3495"/>
      <c r="E3495"/>
      <c r="F3495"/>
      <c r="H3495"/>
    </row>
    <row r="3496" spans="1:8" ht="15">
      <c r="A3496"/>
      <c r="B3496"/>
      <c r="D3496"/>
      <c r="E3496"/>
      <c r="F3496"/>
      <c r="H3496"/>
    </row>
    <row r="3497" spans="1:8" ht="15">
      <c r="A3497"/>
      <c r="B3497"/>
      <c r="D3497"/>
      <c r="E3497"/>
      <c r="F3497"/>
      <c r="H3497"/>
    </row>
    <row r="3498" spans="1:8" ht="15">
      <c r="A3498"/>
      <c r="B3498"/>
      <c r="D3498"/>
      <c r="E3498"/>
      <c r="F3498"/>
      <c r="H3498"/>
    </row>
    <row r="3499" spans="1:8" ht="15">
      <c r="A3499"/>
      <c r="B3499"/>
      <c r="D3499"/>
      <c r="E3499"/>
      <c r="F3499"/>
      <c r="H3499"/>
    </row>
    <row r="3500" spans="1:8" ht="15">
      <c r="A3500"/>
      <c r="B3500"/>
      <c r="D3500"/>
      <c r="E3500"/>
      <c r="F3500"/>
      <c r="H3500"/>
    </row>
    <row r="3501" spans="1:8" ht="15">
      <c r="A3501"/>
      <c r="B3501"/>
      <c r="D3501"/>
      <c r="E3501"/>
      <c r="F3501"/>
      <c r="H3501"/>
    </row>
    <row r="3502" spans="1:8" ht="15">
      <c r="A3502"/>
      <c r="B3502"/>
      <c r="D3502"/>
      <c r="E3502"/>
      <c r="F3502"/>
      <c r="H3502"/>
    </row>
    <row r="3503" spans="1:8" ht="15">
      <c r="A3503"/>
      <c r="B3503"/>
      <c r="D3503"/>
      <c r="E3503"/>
      <c r="F3503"/>
      <c r="H3503"/>
    </row>
    <row r="3504" spans="1:8" ht="15">
      <c r="A3504"/>
      <c r="B3504"/>
      <c r="D3504"/>
      <c r="E3504"/>
      <c r="F3504"/>
      <c r="H3504"/>
    </row>
    <row r="3505" spans="1:8" ht="15">
      <c r="A3505"/>
      <c r="B3505"/>
      <c r="D3505"/>
      <c r="E3505"/>
      <c r="F3505"/>
      <c r="H3505"/>
    </row>
    <row r="3506" spans="1:8" ht="15">
      <c r="A3506"/>
      <c r="B3506"/>
      <c r="D3506"/>
      <c r="E3506"/>
      <c r="F3506"/>
      <c r="H3506"/>
    </row>
    <row r="3507" spans="1:8" ht="15">
      <c r="A3507"/>
      <c r="B3507"/>
      <c r="D3507"/>
      <c r="E3507"/>
      <c r="F3507"/>
      <c r="H3507"/>
    </row>
    <row r="3508" spans="1:8" ht="15">
      <c r="A3508"/>
      <c r="B3508"/>
      <c r="D3508"/>
      <c r="E3508"/>
      <c r="F3508"/>
      <c r="H3508"/>
    </row>
    <row r="3509" spans="1:8" ht="15">
      <c r="A3509"/>
      <c r="B3509"/>
      <c r="D3509"/>
      <c r="E3509"/>
      <c r="F3509"/>
      <c r="H3509"/>
    </row>
    <row r="3510" spans="1:8" ht="15">
      <c r="A3510"/>
      <c r="B3510"/>
      <c r="D3510"/>
      <c r="E3510"/>
      <c r="F3510"/>
      <c r="H3510"/>
    </row>
    <row r="3511" spans="1:8" ht="15">
      <c r="A3511"/>
      <c r="B3511"/>
      <c r="D3511"/>
      <c r="E3511"/>
      <c r="F3511"/>
      <c r="H3511"/>
    </row>
    <row r="3512" spans="1:8" ht="15">
      <c r="A3512"/>
      <c r="B3512"/>
      <c r="D3512"/>
      <c r="E3512"/>
      <c r="F3512"/>
      <c r="H3512"/>
    </row>
    <row r="3513" spans="1:8" ht="15">
      <c r="A3513"/>
      <c r="B3513"/>
      <c r="D3513"/>
      <c r="E3513"/>
      <c r="F3513"/>
      <c r="H3513"/>
    </row>
    <row r="3514" spans="1:8" ht="15">
      <c r="A3514"/>
      <c r="B3514"/>
      <c r="D3514"/>
      <c r="E3514"/>
      <c r="F3514"/>
      <c r="H3514"/>
    </row>
    <row r="3515" spans="1:8" ht="15">
      <c r="A3515"/>
      <c r="B3515"/>
      <c r="D3515"/>
      <c r="E3515"/>
      <c r="F3515"/>
      <c r="H3515"/>
    </row>
    <row r="3516" spans="1:8" ht="15">
      <c r="A3516"/>
      <c r="B3516"/>
      <c r="D3516"/>
      <c r="E3516"/>
      <c r="F3516"/>
      <c r="H3516"/>
    </row>
    <row r="3517" spans="1:8" ht="15">
      <c r="A3517"/>
      <c r="B3517"/>
      <c r="D3517"/>
      <c r="E3517"/>
      <c r="F3517"/>
      <c r="H3517"/>
    </row>
    <row r="3518" spans="1:8" ht="15">
      <c r="A3518"/>
      <c r="B3518"/>
      <c r="D3518"/>
      <c r="E3518"/>
      <c r="F3518"/>
      <c r="H3518"/>
    </row>
    <row r="3519" spans="1:8" ht="15">
      <c r="A3519"/>
      <c r="B3519"/>
      <c r="D3519"/>
      <c r="E3519"/>
      <c r="F3519"/>
      <c r="H3519"/>
    </row>
    <row r="3520" spans="1:8" ht="15">
      <c r="A3520"/>
      <c r="B3520"/>
      <c r="D3520"/>
      <c r="E3520"/>
      <c r="F3520"/>
      <c r="H3520"/>
    </row>
    <row r="3521" spans="1:8" ht="15">
      <c r="A3521"/>
      <c r="B3521"/>
      <c r="D3521"/>
      <c r="E3521"/>
      <c r="F3521"/>
      <c r="H3521"/>
    </row>
    <row r="3522" spans="1:8" ht="15">
      <c r="A3522"/>
      <c r="B3522"/>
      <c r="D3522"/>
      <c r="E3522"/>
      <c r="F3522"/>
      <c r="H3522"/>
    </row>
    <row r="3523" spans="1:8" ht="15">
      <c r="A3523"/>
      <c r="B3523"/>
      <c r="D3523"/>
      <c r="E3523"/>
      <c r="F3523"/>
      <c r="H3523"/>
    </row>
    <row r="3524" spans="1:8" ht="15">
      <c r="A3524"/>
      <c r="B3524"/>
      <c r="D3524"/>
      <c r="E3524"/>
      <c r="F3524"/>
      <c r="H3524"/>
    </row>
    <row r="3525" spans="1:8" ht="15">
      <c r="A3525"/>
      <c r="B3525"/>
      <c r="D3525"/>
      <c r="E3525"/>
      <c r="F3525"/>
      <c r="H3525"/>
    </row>
    <row r="3526" spans="1:8" ht="15">
      <c r="A3526"/>
      <c r="B3526"/>
      <c r="D3526"/>
      <c r="E3526"/>
      <c r="F3526"/>
      <c r="H3526"/>
    </row>
    <row r="3527" spans="1:8" ht="15">
      <c r="A3527"/>
      <c r="B3527"/>
      <c r="D3527"/>
      <c r="E3527"/>
      <c r="F3527"/>
      <c r="H3527"/>
    </row>
    <row r="3528" spans="1:8" ht="15">
      <c r="A3528"/>
      <c r="B3528"/>
      <c r="D3528"/>
      <c r="E3528"/>
      <c r="F3528"/>
      <c r="H3528"/>
    </row>
    <row r="3529" spans="1:8" ht="15">
      <c r="A3529"/>
      <c r="B3529"/>
      <c r="D3529"/>
      <c r="E3529"/>
      <c r="F3529"/>
      <c r="H3529"/>
    </row>
    <row r="3530" spans="1:8" ht="15">
      <c r="A3530"/>
      <c r="B3530"/>
      <c r="D3530"/>
      <c r="E3530"/>
      <c r="F3530"/>
      <c r="H3530"/>
    </row>
    <row r="3531" spans="1:8" ht="15">
      <c r="A3531"/>
      <c r="B3531"/>
      <c r="D3531"/>
      <c r="E3531"/>
      <c r="F3531"/>
      <c r="H3531"/>
    </row>
    <row r="3532" spans="1:8" ht="15">
      <c r="A3532"/>
      <c r="B3532"/>
      <c r="D3532"/>
      <c r="E3532"/>
      <c r="F3532"/>
      <c r="H3532"/>
    </row>
    <row r="3533" spans="1:8" ht="15">
      <c r="A3533"/>
      <c r="B3533"/>
      <c r="D3533"/>
      <c r="E3533"/>
      <c r="F3533"/>
      <c r="H3533"/>
    </row>
    <row r="3534" spans="1:8" ht="15">
      <c r="A3534"/>
      <c r="B3534"/>
      <c r="D3534"/>
      <c r="E3534"/>
      <c r="F3534"/>
      <c r="H3534"/>
    </row>
    <row r="3535" spans="1:8" ht="15">
      <c r="A3535"/>
      <c r="B3535"/>
      <c r="D3535"/>
      <c r="E3535"/>
      <c r="F3535"/>
      <c r="H3535"/>
    </row>
    <row r="3536" spans="1:8" ht="15">
      <c r="A3536"/>
      <c r="B3536"/>
      <c r="D3536"/>
      <c r="E3536"/>
      <c r="F3536"/>
      <c r="H3536"/>
    </row>
    <row r="3537" spans="1:8" ht="15">
      <c r="A3537"/>
      <c r="B3537"/>
      <c r="D3537"/>
      <c r="E3537"/>
      <c r="F3537"/>
      <c r="H3537"/>
    </row>
    <row r="3538" spans="1:8" ht="15">
      <c r="A3538"/>
      <c r="B3538"/>
      <c r="D3538"/>
      <c r="E3538"/>
      <c r="F3538"/>
      <c r="H3538"/>
    </row>
    <row r="3539" spans="1:8" ht="15">
      <c r="A3539"/>
      <c r="B3539"/>
      <c r="D3539"/>
      <c r="E3539"/>
      <c r="F3539"/>
      <c r="H3539"/>
    </row>
    <row r="3540" spans="1:8" ht="15">
      <c r="A3540"/>
      <c r="B3540"/>
      <c r="D3540"/>
      <c r="E3540"/>
      <c r="F3540"/>
      <c r="H3540"/>
    </row>
    <row r="3541" spans="1:8" ht="15">
      <c r="A3541"/>
      <c r="B3541"/>
      <c r="D3541"/>
      <c r="E3541"/>
      <c r="F3541"/>
      <c r="H3541"/>
    </row>
    <row r="3542" spans="1:8" ht="15">
      <c r="A3542"/>
      <c r="B3542"/>
      <c r="D3542"/>
      <c r="E3542"/>
      <c r="F3542"/>
      <c r="H3542"/>
    </row>
    <row r="3543" spans="1:8" ht="15">
      <c r="A3543"/>
      <c r="B3543"/>
      <c r="D3543"/>
      <c r="E3543"/>
      <c r="F3543"/>
      <c r="H3543"/>
    </row>
    <row r="3544" spans="1:8" ht="15">
      <c r="A3544"/>
      <c r="B3544"/>
      <c r="D3544"/>
      <c r="E3544"/>
      <c r="F3544"/>
      <c r="H3544"/>
    </row>
    <row r="3545" spans="1:8" ht="15">
      <c r="A3545"/>
      <c r="B3545"/>
      <c r="D3545"/>
      <c r="E3545"/>
      <c r="F3545"/>
      <c r="H3545"/>
    </row>
    <row r="3546" spans="1:8" ht="15">
      <c r="A3546"/>
      <c r="B3546"/>
      <c r="D3546"/>
      <c r="E3546"/>
      <c r="F3546"/>
      <c r="H3546"/>
    </row>
    <row r="3547" spans="1:8" ht="15">
      <c r="A3547"/>
      <c r="B3547"/>
      <c r="D3547"/>
      <c r="E3547"/>
      <c r="F3547"/>
      <c r="H3547"/>
    </row>
    <row r="3548" spans="1:8" ht="15">
      <c r="A3548"/>
      <c r="B3548"/>
      <c r="D3548"/>
      <c r="E3548"/>
      <c r="F3548"/>
      <c r="H3548"/>
    </row>
    <row r="3549" spans="1:8" ht="15">
      <c r="A3549"/>
      <c r="B3549"/>
      <c r="D3549"/>
      <c r="E3549"/>
      <c r="F3549"/>
      <c r="H3549"/>
    </row>
    <row r="3550" spans="1:8" ht="15">
      <c r="A3550"/>
      <c r="B3550"/>
      <c r="D3550"/>
      <c r="E3550"/>
      <c r="F3550"/>
      <c r="H3550"/>
    </row>
    <row r="3551" spans="1:8" ht="15">
      <c r="A3551"/>
      <c r="B3551"/>
      <c r="D3551"/>
      <c r="E3551"/>
      <c r="F3551"/>
      <c r="H3551"/>
    </row>
    <row r="3552" spans="1:8" ht="15">
      <c r="A3552"/>
      <c r="B3552"/>
      <c r="D3552"/>
      <c r="E3552"/>
      <c r="F3552"/>
      <c r="H3552"/>
    </row>
    <row r="3553" spans="1:8" ht="15">
      <c r="A3553"/>
      <c r="B3553"/>
      <c r="D3553"/>
      <c r="E3553"/>
      <c r="F3553"/>
      <c r="H3553"/>
    </row>
    <row r="3554" spans="1:8" ht="15">
      <c r="A3554"/>
      <c r="B3554"/>
      <c r="D3554"/>
      <c r="E3554"/>
      <c r="F3554"/>
      <c r="H3554"/>
    </row>
    <row r="3555" spans="1:8" ht="15">
      <c r="A3555"/>
      <c r="B3555"/>
      <c r="D3555"/>
      <c r="E3555"/>
      <c r="F3555"/>
      <c r="H3555"/>
    </row>
    <row r="3556" spans="1:8" ht="15">
      <c r="A3556"/>
      <c r="B3556"/>
      <c r="D3556"/>
      <c r="E3556"/>
      <c r="F3556"/>
      <c r="H3556"/>
    </row>
    <row r="3557" spans="1:8" ht="15">
      <c r="A3557"/>
      <c r="B3557"/>
      <c r="D3557"/>
      <c r="E3557"/>
      <c r="F3557"/>
      <c r="H3557"/>
    </row>
    <row r="3558" spans="1:8" ht="15">
      <c r="A3558"/>
      <c r="B3558"/>
      <c r="D3558"/>
      <c r="E3558"/>
      <c r="F3558"/>
      <c r="H3558"/>
    </row>
    <row r="3559" spans="1:8" ht="15">
      <c r="A3559"/>
      <c r="B3559"/>
      <c r="D3559"/>
      <c r="E3559"/>
      <c r="F3559"/>
      <c r="H3559"/>
    </row>
    <row r="3560" spans="1:8" ht="15">
      <c r="A3560"/>
      <c r="B3560"/>
      <c r="D3560"/>
      <c r="E3560"/>
      <c r="F3560"/>
      <c r="H3560"/>
    </row>
    <row r="3561" spans="1:8" ht="15">
      <c r="A3561"/>
      <c r="B3561"/>
      <c r="D3561"/>
      <c r="E3561"/>
      <c r="F3561"/>
      <c r="H3561"/>
    </row>
    <row r="3562" spans="1:8" ht="15">
      <c r="A3562"/>
      <c r="B3562"/>
      <c r="D3562"/>
      <c r="E3562"/>
      <c r="F3562"/>
      <c r="H3562"/>
    </row>
    <row r="3563" spans="1:8" ht="15">
      <c r="A3563"/>
      <c r="B3563"/>
      <c r="D3563"/>
      <c r="E3563"/>
      <c r="F3563"/>
      <c r="H3563"/>
    </row>
    <row r="3564" spans="1:8" ht="15">
      <c r="A3564"/>
      <c r="B3564"/>
      <c r="D3564"/>
      <c r="E3564"/>
      <c r="F3564"/>
      <c r="H3564"/>
    </row>
    <row r="3565" spans="1:8" ht="15">
      <c r="A3565"/>
      <c r="B3565"/>
      <c r="D3565"/>
      <c r="E3565"/>
      <c r="F3565"/>
      <c r="H3565"/>
    </row>
    <row r="3566" spans="1:8" ht="15">
      <c r="A3566"/>
      <c r="B3566"/>
      <c r="D3566"/>
      <c r="E3566"/>
      <c r="F3566"/>
      <c r="H3566"/>
    </row>
    <row r="3567" spans="1:8" ht="15">
      <c r="A3567"/>
      <c r="B3567"/>
      <c r="D3567"/>
      <c r="E3567"/>
      <c r="F3567"/>
      <c r="H3567"/>
    </row>
    <row r="3568" spans="1:8" ht="15">
      <c r="A3568"/>
      <c r="B3568"/>
      <c r="D3568"/>
      <c r="E3568"/>
      <c r="F3568"/>
      <c r="H3568"/>
    </row>
    <row r="3569" spans="1:8" ht="15">
      <c r="A3569"/>
      <c r="B3569"/>
      <c r="D3569"/>
      <c r="E3569"/>
      <c r="F3569"/>
      <c r="H3569"/>
    </row>
    <row r="3570" spans="1:8" ht="15">
      <c r="A3570"/>
      <c r="B3570"/>
      <c r="D3570"/>
      <c r="E3570"/>
      <c r="F3570"/>
      <c r="H3570"/>
    </row>
    <row r="3571" spans="1:8" ht="15">
      <c r="A3571"/>
      <c r="B3571"/>
      <c r="D3571"/>
      <c r="E3571"/>
      <c r="F3571"/>
      <c r="H3571"/>
    </row>
    <row r="3572" spans="1:8" ht="15">
      <c r="A3572"/>
      <c r="B3572"/>
      <c r="D3572"/>
      <c r="E3572"/>
      <c r="F3572"/>
      <c r="H3572"/>
    </row>
    <row r="3573" spans="1:8" ht="15">
      <c r="A3573"/>
      <c r="B3573"/>
      <c r="D3573"/>
      <c r="E3573"/>
      <c r="F3573"/>
      <c r="H3573"/>
    </row>
    <row r="3574" spans="1:8" ht="15">
      <c r="A3574"/>
      <c r="B3574"/>
      <c r="D3574"/>
      <c r="E3574"/>
      <c r="F3574"/>
      <c r="H3574"/>
    </row>
    <row r="3575" spans="1:8" ht="15">
      <c r="A3575"/>
      <c r="B3575"/>
      <c r="D3575"/>
      <c r="E3575"/>
      <c r="F3575"/>
      <c r="H3575"/>
    </row>
    <row r="3576" spans="1:8" ht="15">
      <c r="A3576"/>
      <c r="B3576"/>
      <c r="D3576"/>
      <c r="E3576"/>
      <c r="F3576"/>
      <c r="H3576"/>
    </row>
    <row r="3577" spans="1:8" ht="15">
      <c r="A3577"/>
      <c r="B3577"/>
      <c r="D3577"/>
      <c r="E3577"/>
      <c r="F3577"/>
      <c r="H3577"/>
    </row>
    <row r="3578" spans="1:8" ht="15">
      <c r="A3578"/>
      <c r="B3578"/>
      <c r="D3578"/>
      <c r="E3578"/>
      <c r="F3578"/>
      <c r="H3578"/>
    </row>
    <row r="3579" spans="1:8" ht="15">
      <c r="A3579"/>
      <c r="B3579"/>
      <c r="D3579"/>
      <c r="E3579"/>
      <c r="F3579"/>
      <c r="H3579"/>
    </row>
    <row r="3580" spans="1:8" ht="15">
      <c r="A3580"/>
      <c r="B3580"/>
      <c r="D3580"/>
      <c r="E3580"/>
      <c r="F3580"/>
      <c r="H3580"/>
    </row>
    <row r="3581" spans="1:8" ht="15">
      <c r="A3581"/>
      <c r="B3581"/>
      <c r="D3581"/>
      <c r="E3581"/>
      <c r="F3581"/>
      <c r="H3581"/>
    </row>
    <row r="3582" spans="1:8" ht="15">
      <c r="A3582"/>
      <c r="B3582"/>
      <c r="D3582"/>
      <c r="E3582"/>
      <c r="F3582"/>
      <c r="H3582"/>
    </row>
    <row r="3583" spans="1:8" ht="15">
      <c r="A3583"/>
      <c r="B3583"/>
      <c r="D3583"/>
      <c r="E3583"/>
      <c r="F3583"/>
      <c r="H3583"/>
    </row>
    <row r="3584" spans="1:8" ht="15">
      <c r="A3584"/>
      <c r="B3584"/>
      <c r="D3584"/>
      <c r="E3584"/>
      <c r="F3584"/>
      <c r="H3584"/>
    </row>
    <row r="3585" spans="1:8" ht="15">
      <c r="A3585"/>
      <c r="B3585"/>
      <c r="D3585"/>
      <c r="E3585"/>
      <c r="F3585"/>
      <c r="H3585"/>
    </row>
    <row r="3586" spans="1:8" ht="15">
      <c r="A3586"/>
      <c r="B3586"/>
      <c r="D3586"/>
      <c r="E3586"/>
      <c r="F3586"/>
      <c r="H3586"/>
    </row>
    <row r="3587" spans="1:8" ht="15">
      <c r="A3587"/>
      <c r="B3587"/>
      <c r="D3587"/>
      <c r="E3587"/>
      <c r="F3587"/>
      <c r="H3587"/>
    </row>
    <row r="3588" spans="1:8" ht="15">
      <c r="A3588"/>
      <c r="B3588"/>
      <c r="D3588"/>
      <c r="E3588"/>
      <c r="F3588"/>
      <c r="H3588"/>
    </row>
    <row r="3589" spans="1:8" ht="15">
      <c r="A3589"/>
      <c r="B3589"/>
      <c r="D3589"/>
      <c r="E3589"/>
      <c r="F3589"/>
      <c r="H3589"/>
    </row>
    <row r="3590" spans="1:8" ht="15">
      <c r="A3590"/>
      <c r="B3590"/>
      <c r="D3590"/>
      <c r="E3590"/>
      <c r="F3590"/>
      <c r="H3590"/>
    </row>
    <row r="3591" spans="1:8" ht="15">
      <c r="A3591"/>
      <c r="B3591"/>
      <c r="D3591"/>
      <c r="E3591"/>
      <c r="F3591"/>
      <c r="H3591"/>
    </row>
    <row r="3592" spans="1:8" ht="15">
      <c r="A3592"/>
      <c r="B3592"/>
      <c r="D3592"/>
      <c r="E3592"/>
      <c r="F3592"/>
      <c r="H3592"/>
    </row>
    <row r="3593" spans="1:8" ht="15">
      <c r="A3593"/>
      <c r="B3593"/>
      <c r="D3593"/>
      <c r="E3593"/>
      <c r="F3593"/>
      <c r="H3593"/>
    </row>
    <row r="3594" spans="1:8" ht="15">
      <c r="A3594"/>
      <c r="B3594"/>
      <c r="D3594"/>
      <c r="E3594"/>
      <c r="F3594"/>
      <c r="H3594"/>
    </row>
    <row r="3595" spans="1:8" ht="15">
      <c r="A3595"/>
      <c r="B3595"/>
      <c r="D3595"/>
      <c r="E3595"/>
      <c r="F3595"/>
      <c r="H3595"/>
    </row>
    <row r="3596" spans="1:8" ht="15">
      <c r="A3596"/>
      <c r="B3596"/>
      <c r="D3596"/>
      <c r="E3596"/>
      <c r="F3596"/>
      <c r="H3596"/>
    </row>
    <row r="3597" spans="1:8" ht="15">
      <c r="A3597"/>
      <c r="B3597"/>
      <c r="D3597"/>
      <c r="E3597"/>
      <c r="F3597"/>
      <c r="H3597"/>
    </row>
    <row r="3598" spans="1:8" ht="15">
      <c r="A3598"/>
      <c r="B3598"/>
      <c r="D3598"/>
      <c r="E3598"/>
      <c r="F3598"/>
      <c r="H3598"/>
    </row>
    <row r="3599" spans="1:8" ht="15">
      <c r="A3599"/>
      <c r="B3599"/>
      <c r="D3599"/>
      <c r="E3599"/>
      <c r="F3599"/>
      <c r="H3599"/>
    </row>
    <row r="3600" spans="1:8" ht="15">
      <c r="A3600"/>
      <c r="B3600"/>
      <c r="D3600"/>
      <c r="E3600"/>
      <c r="F3600"/>
      <c r="H3600"/>
    </row>
    <row r="3601" spans="1:8" ht="15">
      <c r="A3601"/>
      <c r="B3601"/>
      <c r="D3601"/>
      <c r="E3601"/>
      <c r="F3601"/>
      <c r="H3601"/>
    </row>
    <row r="3602" spans="1:8" ht="15">
      <c r="A3602"/>
      <c r="B3602"/>
      <c r="D3602"/>
      <c r="E3602"/>
      <c r="F3602"/>
      <c r="H3602"/>
    </row>
    <row r="3603" spans="1:8" ht="15">
      <c r="A3603"/>
      <c r="B3603"/>
      <c r="D3603"/>
      <c r="E3603"/>
      <c r="F3603"/>
      <c r="H3603"/>
    </row>
    <row r="3604" spans="1:8" ht="15">
      <c r="A3604"/>
      <c r="B3604"/>
      <c r="D3604"/>
      <c r="E3604"/>
      <c r="F3604"/>
      <c r="H3604"/>
    </row>
    <row r="3605" spans="1:8" ht="15">
      <c r="A3605"/>
      <c r="B3605"/>
      <c r="D3605"/>
      <c r="E3605"/>
      <c r="F3605"/>
      <c r="H3605"/>
    </row>
    <row r="3606" spans="1:8" ht="15">
      <c r="A3606"/>
      <c r="B3606"/>
      <c r="D3606"/>
      <c r="E3606"/>
      <c r="F3606"/>
      <c r="H3606"/>
    </row>
    <row r="3607" spans="1:8" ht="15">
      <c r="A3607"/>
      <c r="B3607"/>
      <c r="D3607"/>
      <c r="E3607"/>
      <c r="F3607"/>
      <c r="H3607"/>
    </row>
    <row r="3608" spans="1:8" ht="15">
      <c r="A3608"/>
      <c r="B3608"/>
      <c r="D3608"/>
      <c r="E3608"/>
      <c r="F3608"/>
      <c r="H3608"/>
    </row>
    <row r="3609" spans="1:8" ht="15">
      <c r="A3609"/>
      <c r="B3609"/>
      <c r="D3609"/>
      <c r="E3609"/>
      <c r="F3609"/>
      <c r="H3609"/>
    </row>
    <row r="3610" spans="1:8" ht="15">
      <c r="A3610"/>
      <c r="B3610"/>
      <c r="D3610"/>
      <c r="E3610"/>
      <c r="F3610"/>
      <c r="H3610"/>
    </row>
    <row r="3611" spans="1:8" ht="15">
      <c r="A3611"/>
      <c r="B3611"/>
      <c r="D3611"/>
      <c r="E3611"/>
      <c r="F3611"/>
      <c r="H3611"/>
    </row>
    <row r="3612" spans="1:8" ht="15">
      <c r="A3612"/>
      <c r="B3612"/>
      <c r="D3612"/>
      <c r="E3612"/>
      <c r="F3612"/>
      <c r="H3612"/>
    </row>
    <row r="3613" spans="1:8" ht="15">
      <c r="A3613"/>
      <c r="B3613"/>
      <c r="D3613"/>
      <c r="E3613"/>
      <c r="F3613"/>
      <c r="H3613"/>
    </row>
    <row r="3614" spans="1:8" ht="15">
      <c r="A3614"/>
      <c r="B3614"/>
      <c r="D3614"/>
      <c r="E3614"/>
      <c r="F3614"/>
      <c r="H3614"/>
    </row>
    <row r="3615" spans="1:8" ht="15">
      <c r="A3615"/>
      <c r="B3615"/>
      <c r="D3615"/>
      <c r="E3615"/>
      <c r="F3615"/>
      <c r="H3615"/>
    </row>
    <row r="3616" spans="1:8" ht="15">
      <c r="A3616"/>
      <c r="B3616"/>
      <c r="D3616"/>
      <c r="E3616"/>
      <c r="F3616"/>
      <c r="H3616"/>
    </row>
    <row r="3617" spans="1:8" ht="15">
      <c r="A3617"/>
      <c r="B3617"/>
      <c r="D3617"/>
      <c r="E3617"/>
      <c r="F3617"/>
      <c r="H3617"/>
    </row>
    <row r="3618" spans="1:8" ht="15">
      <c r="A3618"/>
      <c r="B3618"/>
      <c r="D3618"/>
      <c r="E3618"/>
      <c r="F3618"/>
      <c r="H3618"/>
    </row>
    <row r="3619" spans="1:8" ht="15">
      <c r="A3619"/>
      <c r="B3619"/>
      <c r="D3619"/>
      <c r="E3619"/>
      <c r="F3619"/>
      <c r="H3619"/>
    </row>
    <row r="3620" spans="1:8" ht="15">
      <c r="A3620"/>
      <c r="B3620"/>
      <c r="D3620"/>
      <c r="E3620"/>
      <c r="F3620"/>
      <c r="H3620"/>
    </row>
    <row r="3621" spans="1:8" ht="15">
      <c r="A3621"/>
      <c r="B3621"/>
      <c r="D3621"/>
      <c r="E3621"/>
      <c r="F3621"/>
      <c r="H3621"/>
    </row>
    <row r="3622" spans="1:8" ht="15">
      <c r="A3622"/>
      <c r="B3622"/>
      <c r="D3622"/>
      <c r="E3622"/>
      <c r="F3622"/>
      <c r="H3622"/>
    </row>
    <row r="3623" spans="1:8" ht="15">
      <c r="A3623"/>
      <c r="B3623"/>
      <c r="D3623"/>
      <c r="E3623"/>
      <c r="F3623"/>
      <c r="H3623"/>
    </row>
    <row r="3624" spans="1:8" ht="15">
      <c r="A3624"/>
      <c r="B3624"/>
      <c r="D3624"/>
      <c r="E3624"/>
      <c r="F3624"/>
      <c r="H3624"/>
    </row>
    <row r="3625" spans="1:8" ht="15">
      <c r="A3625"/>
      <c r="B3625"/>
      <c r="D3625"/>
      <c r="E3625"/>
      <c r="F3625"/>
      <c r="H3625"/>
    </row>
    <row r="3626" spans="1:8" ht="15">
      <c r="A3626"/>
      <c r="B3626"/>
      <c r="D3626"/>
      <c r="E3626"/>
      <c r="F3626"/>
      <c r="H3626"/>
    </row>
    <row r="3627" spans="1:8" ht="15">
      <c r="A3627"/>
      <c r="B3627"/>
      <c r="D3627"/>
      <c r="E3627"/>
      <c r="F3627"/>
      <c r="H3627"/>
    </row>
    <row r="3628" spans="1:8" ht="15">
      <c r="A3628"/>
      <c r="B3628"/>
      <c r="D3628"/>
      <c r="E3628"/>
      <c r="F3628"/>
      <c r="H3628"/>
    </row>
    <row r="3629" spans="1:8" ht="15">
      <c r="A3629"/>
      <c r="B3629"/>
      <c r="D3629"/>
      <c r="E3629"/>
      <c r="F3629"/>
      <c r="H3629"/>
    </row>
    <row r="3630" spans="1:8" ht="15">
      <c r="A3630"/>
      <c r="B3630"/>
      <c r="D3630"/>
      <c r="E3630"/>
      <c r="F3630"/>
      <c r="H3630"/>
    </row>
    <row r="3631" spans="1:8" ht="15">
      <c r="A3631"/>
      <c r="B3631"/>
      <c r="D3631"/>
      <c r="E3631"/>
      <c r="F3631"/>
      <c r="H3631"/>
    </row>
    <row r="3632" spans="1:8" ht="15">
      <c r="A3632"/>
      <c r="B3632"/>
      <c r="D3632"/>
      <c r="E3632"/>
      <c r="F3632"/>
      <c r="H3632"/>
    </row>
    <row r="3633" spans="1:8" ht="15">
      <c r="A3633"/>
      <c r="B3633"/>
      <c r="D3633"/>
      <c r="E3633"/>
      <c r="F3633"/>
      <c r="H3633"/>
    </row>
    <row r="3634" spans="1:8" ht="15">
      <c r="A3634"/>
      <c r="B3634"/>
      <c r="D3634"/>
      <c r="E3634"/>
      <c r="F3634"/>
      <c r="H3634"/>
    </row>
    <row r="3635" spans="1:8" ht="15">
      <c r="A3635"/>
      <c r="B3635"/>
      <c r="D3635"/>
      <c r="E3635"/>
      <c r="F3635"/>
      <c r="H3635"/>
    </row>
    <row r="3636" spans="1:8" ht="15">
      <c r="A3636"/>
      <c r="B3636"/>
      <c r="D3636"/>
      <c r="E3636"/>
      <c r="F3636"/>
      <c r="H3636"/>
    </row>
    <row r="3637" spans="1:8" ht="15">
      <c r="A3637"/>
      <c r="B3637"/>
      <c r="D3637"/>
      <c r="E3637"/>
      <c r="F3637"/>
      <c r="H3637"/>
    </row>
    <row r="3638" spans="1:8" ht="15">
      <c r="A3638"/>
      <c r="B3638"/>
      <c r="D3638"/>
      <c r="E3638"/>
      <c r="F3638"/>
      <c r="H3638"/>
    </row>
    <row r="3639" spans="1:8" ht="15">
      <c r="A3639"/>
      <c r="B3639"/>
      <c r="D3639"/>
      <c r="E3639"/>
      <c r="F3639"/>
      <c r="H3639"/>
    </row>
    <row r="3640" spans="1:8" ht="15">
      <c r="A3640"/>
      <c r="B3640"/>
      <c r="D3640"/>
      <c r="E3640"/>
      <c r="F3640"/>
      <c r="H3640"/>
    </row>
    <row r="3641" spans="1:8" ht="15">
      <c r="A3641"/>
      <c r="B3641"/>
      <c r="D3641"/>
      <c r="E3641"/>
      <c r="F3641"/>
      <c r="H3641"/>
    </row>
    <row r="3642" spans="1:8" ht="15">
      <c r="A3642"/>
      <c r="B3642"/>
      <c r="D3642"/>
      <c r="E3642"/>
      <c r="F3642"/>
      <c r="H3642"/>
    </row>
    <row r="3643" spans="1:8" ht="15">
      <c r="A3643"/>
      <c r="B3643"/>
      <c r="D3643"/>
      <c r="E3643"/>
      <c r="F3643"/>
      <c r="H3643"/>
    </row>
    <row r="3644" spans="1:8" ht="15">
      <c r="A3644"/>
      <c r="B3644"/>
      <c r="D3644"/>
      <c r="E3644"/>
      <c r="F3644"/>
      <c r="H3644"/>
    </row>
    <row r="3645" spans="1:8" ht="15">
      <c r="A3645"/>
      <c r="B3645"/>
      <c r="D3645"/>
      <c r="E3645"/>
      <c r="F3645"/>
      <c r="H3645"/>
    </row>
    <row r="3646" spans="1:8" ht="15">
      <c r="A3646"/>
      <c r="B3646"/>
      <c r="D3646"/>
      <c r="E3646"/>
      <c r="F3646"/>
      <c r="H3646"/>
    </row>
    <row r="3647" spans="1:8" ht="15">
      <c r="A3647"/>
      <c r="B3647"/>
      <c r="D3647"/>
      <c r="E3647"/>
      <c r="F3647"/>
      <c r="H3647"/>
    </row>
    <row r="3648" spans="1:8" ht="15">
      <c r="A3648"/>
      <c r="B3648"/>
      <c r="D3648"/>
      <c r="E3648"/>
      <c r="F3648"/>
      <c r="H3648"/>
    </row>
    <row r="3649" spans="1:8" ht="15">
      <c r="A3649"/>
      <c r="B3649"/>
      <c r="D3649"/>
      <c r="E3649"/>
      <c r="F3649"/>
      <c r="H3649"/>
    </row>
    <row r="3650" spans="1:8" ht="15">
      <c r="A3650"/>
      <c r="B3650"/>
      <c r="D3650"/>
      <c r="E3650"/>
      <c r="F3650"/>
      <c r="H3650"/>
    </row>
    <row r="3651" spans="1:8" ht="15">
      <c r="A3651"/>
      <c r="B3651"/>
      <c r="D3651"/>
      <c r="E3651"/>
      <c r="F3651"/>
      <c r="H3651"/>
    </row>
    <row r="3652" spans="1:8" ht="15">
      <c r="A3652"/>
      <c r="B3652"/>
      <c r="D3652"/>
      <c r="E3652"/>
      <c r="F3652"/>
      <c r="H3652"/>
    </row>
    <row r="3653" spans="1:8" ht="15">
      <c r="A3653"/>
      <c r="B3653"/>
      <c r="D3653"/>
      <c r="E3653"/>
      <c r="F3653"/>
      <c r="H3653"/>
    </row>
    <row r="3654" spans="1:8" ht="15">
      <c r="A3654"/>
      <c r="B3654"/>
      <c r="D3654"/>
      <c r="E3654"/>
      <c r="F3654"/>
      <c r="H3654"/>
    </row>
    <row r="3655" spans="1:8" ht="15">
      <c r="A3655"/>
      <c r="B3655"/>
      <c r="D3655"/>
      <c r="E3655"/>
      <c r="F3655"/>
      <c r="H3655"/>
    </row>
    <row r="3656" spans="1:8" ht="15">
      <c r="A3656"/>
      <c r="B3656"/>
      <c r="D3656"/>
      <c r="E3656"/>
      <c r="F3656"/>
      <c r="H3656"/>
    </row>
    <row r="3657" spans="1:8" ht="15">
      <c r="A3657"/>
      <c r="B3657"/>
      <c r="D3657"/>
      <c r="E3657"/>
      <c r="F3657"/>
      <c r="H3657"/>
    </row>
    <row r="3658" spans="1:8" ht="15">
      <c r="A3658"/>
      <c r="B3658"/>
      <c r="D3658"/>
      <c r="E3658"/>
      <c r="F3658"/>
      <c r="H3658"/>
    </row>
    <row r="3659" spans="1:8" ht="15">
      <c r="A3659"/>
      <c r="B3659"/>
      <c r="D3659"/>
      <c r="E3659"/>
      <c r="F3659"/>
      <c r="H3659"/>
    </row>
    <row r="3660" spans="1:8" ht="15">
      <c r="A3660"/>
      <c r="B3660"/>
      <c r="D3660"/>
      <c r="E3660"/>
      <c r="F3660"/>
      <c r="H3660"/>
    </row>
    <row r="3661" spans="1:8" ht="15">
      <c r="A3661"/>
      <c r="B3661"/>
      <c r="D3661"/>
      <c r="E3661"/>
      <c r="F3661"/>
      <c r="H3661"/>
    </row>
    <row r="3662" spans="1:8" ht="15">
      <c r="A3662"/>
      <c r="B3662"/>
      <c r="D3662"/>
      <c r="E3662"/>
      <c r="F3662"/>
      <c r="H3662"/>
    </row>
    <row r="3663" spans="1:8" ht="15">
      <c r="A3663"/>
      <c r="B3663"/>
      <c r="D3663"/>
      <c r="E3663"/>
      <c r="F3663"/>
      <c r="H3663"/>
    </row>
    <row r="3664" spans="1:8" ht="15">
      <c r="A3664"/>
      <c r="B3664"/>
      <c r="D3664"/>
      <c r="E3664"/>
      <c r="F3664"/>
      <c r="H3664"/>
    </row>
    <row r="3665" spans="1:8" ht="15">
      <c r="A3665"/>
      <c r="B3665"/>
      <c r="D3665"/>
      <c r="E3665"/>
      <c r="F3665"/>
      <c r="H3665"/>
    </row>
    <row r="3666" spans="1:8" ht="15">
      <c r="A3666"/>
      <c r="B3666"/>
      <c r="D3666"/>
      <c r="E3666"/>
      <c r="F3666"/>
      <c r="H3666"/>
    </row>
    <row r="3667" spans="1:8" ht="15">
      <c r="A3667"/>
      <c r="B3667"/>
      <c r="D3667"/>
      <c r="E3667"/>
      <c r="F3667"/>
      <c r="H3667"/>
    </row>
    <row r="3668" spans="1:8" ht="15">
      <c r="A3668"/>
      <c r="B3668"/>
      <c r="D3668"/>
      <c r="E3668"/>
      <c r="F3668"/>
      <c r="H3668"/>
    </row>
    <row r="3669" spans="1:8" ht="15">
      <c r="A3669"/>
      <c r="B3669"/>
      <c r="D3669"/>
      <c r="E3669"/>
      <c r="F3669"/>
      <c r="H3669"/>
    </row>
    <row r="3670" spans="1:8" ht="15">
      <c r="A3670"/>
      <c r="B3670"/>
      <c r="D3670"/>
      <c r="E3670"/>
      <c r="F3670"/>
      <c r="H3670"/>
    </row>
    <row r="3671" spans="1:8" ht="15">
      <c r="A3671"/>
      <c r="B3671"/>
      <c r="D3671"/>
      <c r="E3671"/>
      <c r="F3671"/>
      <c r="H3671"/>
    </row>
    <row r="3672" spans="1:8" ht="15">
      <c r="A3672"/>
      <c r="B3672"/>
      <c r="D3672"/>
      <c r="E3672"/>
      <c r="F3672"/>
      <c r="H3672"/>
    </row>
    <row r="3673" spans="1:8" ht="15">
      <c r="A3673"/>
      <c r="B3673"/>
      <c r="D3673"/>
      <c r="E3673"/>
      <c r="F3673"/>
      <c r="H3673"/>
    </row>
    <row r="3674" spans="1:8" ht="15">
      <c r="A3674"/>
      <c r="B3674"/>
      <c r="D3674"/>
      <c r="E3674"/>
      <c r="F3674"/>
      <c r="H3674"/>
    </row>
    <row r="3675" spans="1:8" ht="15">
      <c r="A3675"/>
      <c r="B3675"/>
      <c r="D3675"/>
      <c r="E3675"/>
      <c r="F3675"/>
      <c r="H3675"/>
    </row>
    <row r="3676" spans="1:8" ht="15">
      <c r="A3676"/>
      <c r="B3676"/>
      <c r="D3676"/>
      <c r="E3676"/>
      <c r="F3676"/>
      <c r="H3676"/>
    </row>
    <row r="3677" spans="1:8" ht="15">
      <c r="A3677"/>
      <c r="B3677"/>
      <c r="D3677"/>
      <c r="E3677"/>
      <c r="F3677"/>
      <c r="H3677"/>
    </row>
    <row r="3678" spans="1:8" ht="15">
      <c r="A3678"/>
      <c r="B3678"/>
      <c r="D3678"/>
      <c r="E3678"/>
      <c r="F3678"/>
      <c r="H3678"/>
    </row>
    <row r="3679" spans="1:8" ht="15">
      <c r="A3679"/>
      <c r="B3679"/>
      <c r="D3679"/>
      <c r="E3679"/>
      <c r="F3679"/>
      <c r="H3679"/>
    </row>
    <row r="3680" spans="1:8" ht="15">
      <c r="A3680"/>
      <c r="B3680"/>
      <c r="D3680"/>
      <c r="E3680"/>
      <c r="F3680"/>
      <c r="H3680"/>
    </row>
    <row r="3681" spans="1:8" ht="15">
      <c r="A3681"/>
      <c r="B3681"/>
      <c r="D3681"/>
      <c r="E3681"/>
      <c r="F3681"/>
      <c r="H3681"/>
    </row>
    <row r="3682" spans="1:8" ht="15">
      <c r="A3682"/>
      <c r="B3682"/>
      <c r="D3682"/>
      <c r="E3682"/>
      <c r="F3682"/>
      <c r="H3682"/>
    </row>
    <row r="3683" spans="1:8" ht="15">
      <c r="A3683"/>
      <c r="B3683"/>
      <c r="D3683"/>
      <c r="E3683"/>
      <c r="F3683"/>
      <c r="H3683"/>
    </row>
    <row r="3684" spans="1:8" ht="15">
      <c r="A3684"/>
      <c r="B3684"/>
      <c r="D3684"/>
      <c r="E3684"/>
      <c r="F3684"/>
      <c r="H3684"/>
    </row>
    <row r="3685" spans="1:8" ht="15">
      <c r="A3685"/>
      <c r="B3685"/>
      <c r="D3685"/>
      <c r="E3685"/>
      <c r="F3685"/>
      <c r="H3685"/>
    </row>
    <row r="3686" spans="1:8" ht="15">
      <c r="A3686"/>
      <c r="B3686"/>
      <c r="D3686"/>
      <c r="E3686"/>
      <c r="F3686"/>
      <c r="H3686"/>
    </row>
    <row r="3687" spans="1:8" ht="15">
      <c r="A3687"/>
      <c r="B3687"/>
      <c r="D3687"/>
      <c r="E3687"/>
      <c r="F3687"/>
      <c r="H3687"/>
    </row>
    <row r="3688" spans="1:8" ht="15">
      <c r="A3688"/>
      <c r="B3688"/>
      <c r="D3688"/>
      <c r="E3688"/>
      <c r="F3688"/>
      <c r="H3688"/>
    </row>
    <row r="3689" spans="1:8" ht="15">
      <c r="A3689"/>
      <c r="B3689"/>
      <c r="D3689"/>
      <c r="E3689"/>
      <c r="F3689"/>
      <c r="H3689"/>
    </row>
    <row r="3690" spans="1:8" ht="15">
      <c r="A3690"/>
      <c r="B3690"/>
      <c r="D3690"/>
      <c r="E3690"/>
      <c r="F3690"/>
      <c r="H3690"/>
    </row>
    <row r="3691" spans="1:8" ht="15">
      <c r="A3691"/>
      <c r="B3691"/>
      <c r="D3691"/>
      <c r="E3691"/>
      <c r="F3691"/>
      <c r="H3691"/>
    </row>
    <row r="3692" spans="1:8" ht="15">
      <c r="A3692"/>
      <c r="B3692"/>
      <c r="D3692"/>
      <c r="E3692"/>
      <c r="F3692"/>
      <c r="H3692"/>
    </row>
    <row r="3693" spans="1:8" ht="15">
      <c r="A3693"/>
      <c r="B3693"/>
      <c r="D3693"/>
      <c r="E3693"/>
      <c r="F3693"/>
      <c r="H3693"/>
    </row>
    <row r="3694" spans="1:8" ht="15">
      <c r="A3694"/>
      <c r="B3694"/>
      <c r="D3694"/>
      <c r="E3694"/>
      <c r="F3694"/>
      <c r="H3694"/>
    </row>
    <row r="3695" spans="1:8" ht="15">
      <c r="A3695"/>
      <c r="B3695"/>
      <c r="D3695"/>
      <c r="E3695"/>
      <c r="F3695"/>
      <c r="H3695"/>
    </row>
    <row r="3696" spans="1:8" ht="15">
      <c r="A3696"/>
      <c r="B3696"/>
      <c r="D3696"/>
      <c r="E3696"/>
      <c r="F3696"/>
      <c r="H3696"/>
    </row>
    <row r="3697" spans="1:8" ht="15">
      <c r="A3697"/>
      <c r="B3697"/>
      <c r="D3697"/>
      <c r="E3697"/>
      <c r="F3697"/>
      <c r="H3697"/>
    </row>
    <row r="3698" spans="1:8" ht="15">
      <c r="A3698"/>
      <c r="B3698"/>
      <c r="D3698"/>
      <c r="E3698"/>
      <c r="F3698"/>
      <c r="H3698"/>
    </row>
    <row r="3699" spans="1:8" ht="15">
      <c r="A3699"/>
      <c r="B3699"/>
      <c r="D3699"/>
      <c r="E3699"/>
      <c r="F3699"/>
      <c r="H3699"/>
    </row>
    <row r="3700" spans="1:8" ht="15">
      <c r="A3700"/>
      <c r="B3700"/>
      <c r="D3700"/>
      <c r="E3700"/>
      <c r="F3700"/>
      <c r="H3700"/>
    </row>
    <row r="3701" spans="1:8" ht="15">
      <c r="A3701"/>
      <c r="B3701"/>
      <c r="D3701"/>
      <c r="E3701"/>
      <c r="F3701"/>
      <c r="H3701"/>
    </row>
    <row r="3702" spans="1:8" ht="15">
      <c r="A3702"/>
      <c r="B3702"/>
      <c r="D3702"/>
      <c r="E3702"/>
      <c r="F3702"/>
      <c r="H3702"/>
    </row>
    <row r="3703" spans="1:8" ht="15">
      <c r="A3703"/>
      <c r="B3703"/>
      <c r="D3703"/>
      <c r="E3703"/>
      <c r="F3703"/>
      <c r="H3703"/>
    </row>
    <row r="3704" spans="1:8" ht="15">
      <c r="A3704"/>
      <c r="B3704"/>
      <c r="D3704"/>
      <c r="E3704"/>
      <c r="F3704"/>
      <c r="H3704"/>
    </row>
    <row r="3705" spans="1:8" ht="15">
      <c r="A3705"/>
      <c r="B3705"/>
      <c r="D3705"/>
      <c r="E3705"/>
      <c r="F3705"/>
      <c r="H3705"/>
    </row>
    <row r="3706" spans="1:8" ht="15">
      <c r="A3706"/>
      <c r="B3706"/>
      <c r="D3706"/>
      <c r="E3706"/>
      <c r="F3706"/>
      <c r="H3706"/>
    </row>
    <row r="3707" spans="1:8" ht="15">
      <c r="A3707"/>
      <c r="B3707"/>
      <c r="D3707"/>
      <c r="E3707"/>
      <c r="F3707"/>
      <c r="H3707"/>
    </row>
    <row r="3708" spans="1:8" ht="15">
      <c r="A3708"/>
      <c r="B3708"/>
      <c r="D3708"/>
      <c r="E3708"/>
      <c r="F3708"/>
      <c r="H3708"/>
    </row>
    <row r="3709" spans="1:8" ht="15">
      <c r="A3709"/>
      <c r="B3709"/>
      <c r="D3709"/>
      <c r="E3709"/>
      <c r="F3709"/>
      <c r="H3709"/>
    </row>
    <row r="3710" spans="1:8" ht="15">
      <c r="A3710"/>
      <c r="B3710"/>
      <c r="D3710"/>
      <c r="E3710"/>
      <c r="F3710"/>
      <c r="H3710"/>
    </row>
    <row r="3711" spans="1:8" ht="15">
      <c r="A3711"/>
      <c r="B3711"/>
      <c r="D3711"/>
      <c r="E3711"/>
      <c r="F3711"/>
      <c r="H3711"/>
    </row>
    <row r="3712" spans="1:8" ht="15">
      <c r="A3712"/>
      <c r="B3712"/>
      <c r="D3712"/>
      <c r="E3712"/>
      <c r="F3712"/>
      <c r="H3712"/>
    </row>
    <row r="3713" spans="1:8" ht="15">
      <c r="A3713"/>
      <c r="B3713"/>
      <c r="D3713"/>
      <c r="E3713"/>
      <c r="F3713"/>
      <c r="H3713"/>
    </row>
    <row r="3714" spans="1:8" ht="15">
      <c r="A3714"/>
      <c r="B3714"/>
      <c r="D3714"/>
      <c r="E3714"/>
      <c r="F3714"/>
      <c r="H3714"/>
    </row>
    <row r="3715" spans="1:8" ht="15">
      <c r="A3715"/>
      <c r="B3715"/>
      <c r="D3715"/>
      <c r="E3715"/>
      <c r="F3715"/>
      <c r="H3715"/>
    </row>
    <row r="3716" spans="1:8" ht="15">
      <c r="A3716"/>
      <c r="B3716"/>
      <c r="D3716"/>
      <c r="E3716"/>
      <c r="F3716"/>
      <c r="H3716"/>
    </row>
    <row r="3717" spans="1:8" ht="15">
      <c r="A3717"/>
      <c r="B3717"/>
      <c r="D3717"/>
      <c r="E3717"/>
      <c r="F3717"/>
      <c r="H3717"/>
    </row>
    <row r="3718" spans="1:8" ht="15">
      <c r="A3718"/>
      <c r="B3718"/>
      <c r="D3718"/>
      <c r="E3718"/>
      <c r="F3718"/>
      <c r="H3718"/>
    </row>
    <row r="3719" spans="1:8" ht="15">
      <c r="A3719"/>
      <c r="B3719"/>
      <c r="D3719"/>
      <c r="E3719"/>
      <c r="F3719"/>
      <c r="H3719"/>
    </row>
    <row r="3720" spans="1:8" ht="15">
      <c r="A3720"/>
      <c r="B3720"/>
      <c r="D3720"/>
      <c r="E3720"/>
      <c r="F3720"/>
      <c r="H3720"/>
    </row>
    <row r="3721" spans="1:8" ht="15">
      <c r="A3721"/>
      <c r="B3721"/>
      <c r="D3721"/>
      <c r="E3721"/>
      <c r="F3721"/>
      <c r="H3721"/>
    </row>
    <row r="3722" spans="1:8" ht="15">
      <c r="A3722"/>
      <c r="B3722"/>
      <c r="D3722"/>
      <c r="E3722"/>
      <c r="F3722"/>
      <c r="H3722"/>
    </row>
    <row r="3723" spans="1:8" ht="15">
      <c r="A3723"/>
      <c r="B3723"/>
      <c r="D3723"/>
      <c r="E3723"/>
      <c r="F3723"/>
      <c r="H3723"/>
    </row>
    <row r="3724" spans="1:8" ht="15">
      <c r="A3724"/>
      <c r="B3724"/>
      <c r="D3724"/>
      <c r="E3724"/>
      <c r="F3724"/>
      <c r="H3724"/>
    </row>
    <row r="3725" spans="1:8" ht="15">
      <c r="A3725"/>
      <c r="B3725"/>
      <c r="D3725"/>
      <c r="E3725"/>
      <c r="F3725"/>
      <c r="H3725"/>
    </row>
    <row r="3726" spans="1:8" ht="15">
      <c r="A3726"/>
      <c r="B3726"/>
      <c r="D3726"/>
      <c r="E3726"/>
      <c r="F3726"/>
      <c r="H3726"/>
    </row>
    <row r="3727" spans="1:8" ht="15">
      <c r="A3727"/>
      <c r="B3727"/>
      <c r="D3727"/>
      <c r="E3727"/>
      <c r="F3727"/>
      <c r="H3727"/>
    </row>
    <row r="3728" spans="1:8" ht="15">
      <c r="A3728"/>
      <c r="B3728"/>
      <c r="D3728"/>
      <c r="E3728"/>
      <c r="F3728"/>
      <c r="H3728"/>
    </row>
    <row r="3729" spans="1:8" ht="15">
      <c r="A3729"/>
      <c r="B3729"/>
      <c r="D3729"/>
      <c r="E3729"/>
      <c r="F3729"/>
      <c r="H3729"/>
    </row>
    <row r="3730" spans="1:8" ht="15">
      <c r="A3730"/>
      <c r="B3730"/>
      <c r="D3730"/>
      <c r="E3730"/>
      <c r="F3730"/>
      <c r="H3730"/>
    </row>
    <row r="3731" spans="1:8" ht="15">
      <c r="A3731"/>
      <c r="B3731"/>
      <c r="D3731"/>
      <c r="E3731"/>
      <c r="F3731"/>
      <c r="H3731"/>
    </row>
    <row r="3732" spans="1:8" ht="15">
      <c r="A3732"/>
      <c r="B3732"/>
      <c r="D3732"/>
      <c r="E3732"/>
      <c r="F3732"/>
      <c r="H3732"/>
    </row>
    <row r="3733" spans="1:8" ht="15">
      <c r="A3733"/>
      <c r="B3733"/>
      <c r="D3733"/>
      <c r="E3733"/>
      <c r="F3733"/>
      <c r="H3733"/>
    </row>
    <row r="3734" spans="1:8" ht="15">
      <c r="A3734"/>
      <c r="B3734"/>
      <c r="D3734"/>
      <c r="E3734"/>
      <c r="F3734"/>
      <c r="H3734"/>
    </row>
    <row r="3735" spans="1:8" ht="15">
      <c r="A3735"/>
      <c r="B3735"/>
      <c r="D3735"/>
      <c r="E3735"/>
      <c r="F3735"/>
      <c r="H3735"/>
    </row>
    <row r="3736" spans="1:8" ht="15">
      <c r="A3736"/>
      <c r="B3736"/>
      <c r="D3736"/>
      <c r="E3736"/>
      <c r="F3736"/>
      <c r="H3736"/>
    </row>
    <row r="3737" spans="1:8" ht="15">
      <c r="A3737"/>
      <c r="B3737"/>
      <c r="D3737"/>
      <c r="E3737"/>
      <c r="F3737"/>
      <c r="H3737"/>
    </row>
    <row r="3738" spans="1:8" ht="15">
      <c r="A3738"/>
      <c r="B3738"/>
      <c r="D3738"/>
      <c r="E3738"/>
      <c r="F3738"/>
      <c r="H3738"/>
    </row>
    <row r="3739" spans="1:8" ht="15">
      <c r="A3739"/>
      <c r="B3739"/>
      <c r="D3739"/>
      <c r="E3739"/>
      <c r="F3739"/>
      <c r="H3739"/>
    </row>
    <row r="3740" spans="1:8" ht="15">
      <c r="A3740"/>
      <c r="B3740"/>
      <c r="D3740"/>
      <c r="E3740"/>
      <c r="F3740"/>
      <c r="H3740"/>
    </row>
    <row r="3741" spans="1:8" ht="15">
      <c r="A3741"/>
      <c r="B3741"/>
      <c r="D3741"/>
      <c r="E3741"/>
      <c r="F3741"/>
      <c r="H3741"/>
    </row>
    <row r="3742" spans="1:8" ht="15">
      <c r="A3742"/>
      <c r="B3742"/>
      <c r="D3742"/>
      <c r="E3742"/>
      <c r="F3742"/>
      <c r="H3742"/>
    </row>
    <row r="3743" spans="1:8" ht="15">
      <c r="A3743"/>
      <c r="B3743"/>
      <c r="D3743"/>
      <c r="E3743"/>
      <c r="F3743"/>
      <c r="H3743"/>
    </row>
    <row r="3744" spans="1:8" ht="15">
      <c r="A3744"/>
      <c r="B3744"/>
      <c r="D3744"/>
      <c r="E3744"/>
      <c r="F3744"/>
      <c r="H3744"/>
    </row>
    <row r="3745" spans="1:8" ht="15">
      <c r="A3745"/>
      <c r="B3745"/>
      <c r="D3745"/>
      <c r="E3745"/>
      <c r="F3745"/>
      <c r="H3745"/>
    </row>
    <row r="3746" spans="1:8" ht="15">
      <c r="A3746"/>
      <c r="B3746"/>
      <c r="D3746"/>
      <c r="E3746"/>
      <c r="F3746"/>
      <c r="H3746"/>
    </row>
    <row r="3747" spans="1:8" ht="15">
      <c r="A3747"/>
      <c r="B3747"/>
      <c r="D3747"/>
      <c r="E3747"/>
      <c r="F3747"/>
      <c r="H3747"/>
    </row>
    <row r="3748" spans="1:8" ht="15">
      <c r="A3748"/>
      <c r="B3748"/>
      <c r="D3748"/>
      <c r="E3748"/>
      <c r="F3748"/>
      <c r="H3748"/>
    </row>
    <row r="3749" spans="1:8" ht="15">
      <c r="A3749"/>
      <c r="B3749"/>
      <c r="D3749"/>
      <c r="E3749"/>
      <c r="F3749"/>
      <c r="H3749"/>
    </row>
    <row r="3750" spans="1:8" ht="15">
      <c r="A3750"/>
      <c r="B3750"/>
      <c r="D3750"/>
      <c r="E3750"/>
      <c r="F3750"/>
      <c r="H3750"/>
    </row>
    <row r="3751" spans="1:8" ht="15">
      <c r="A3751"/>
      <c r="B3751"/>
      <c r="D3751"/>
      <c r="E3751"/>
      <c r="F3751"/>
      <c r="H3751"/>
    </row>
    <row r="3752" spans="1:8" ht="15">
      <c r="A3752"/>
      <c r="B3752"/>
      <c r="D3752"/>
      <c r="E3752"/>
      <c r="F3752"/>
      <c r="H3752"/>
    </row>
    <row r="3753" spans="1:8" ht="15">
      <c r="A3753"/>
      <c r="B3753"/>
      <c r="D3753"/>
      <c r="E3753"/>
      <c r="F3753"/>
      <c r="H3753"/>
    </row>
    <row r="3754" spans="1:8" ht="15">
      <c r="A3754"/>
      <c r="B3754"/>
      <c r="D3754"/>
      <c r="E3754"/>
      <c r="F3754"/>
      <c r="H3754"/>
    </row>
    <row r="3755" spans="1:8" ht="15">
      <c r="A3755"/>
      <c r="B3755"/>
      <c r="D3755"/>
      <c r="E3755"/>
      <c r="F3755"/>
      <c r="H3755"/>
    </row>
    <row r="3756" spans="1:8" ht="15">
      <c r="A3756"/>
      <c r="B3756"/>
      <c r="D3756"/>
      <c r="E3756"/>
      <c r="F3756"/>
      <c r="H3756"/>
    </row>
    <row r="3757" spans="1:8" ht="15">
      <c r="A3757"/>
      <c r="B3757"/>
      <c r="D3757"/>
      <c r="E3757"/>
      <c r="F3757"/>
      <c r="H3757"/>
    </row>
    <row r="3758" spans="1:8" ht="15">
      <c r="A3758"/>
      <c r="B3758"/>
      <c r="D3758"/>
      <c r="E3758"/>
      <c r="F3758"/>
      <c r="H3758"/>
    </row>
    <row r="3759" spans="1:8" ht="15">
      <c r="A3759"/>
      <c r="B3759"/>
      <c r="D3759"/>
      <c r="E3759"/>
      <c r="F3759"/>
      <c r="H3759"/>
    </row>
    <row r="3760" spans="1:8" ht="15">
      <c r="A3760"/>
      <c r="B3760"/>
      <c r="D3760"/>
      <c r="E3760"/>
      <c r="F3760"/>
      <c r="H3760"/>
    </row>
    <row r="3761" spans="1:8" ht="15">
      <c r="A3761"/>
      <c r="B3761"/>
      <c r="D3761"/>
      <c r="E3761"/>
      <c r="F3761"/>
      <c r="H3761"/>
    </row>
    <row r="3762" spans="1:8" ht="15">
      <c r="A3762"/>
      <c r="B3762"/>
      <c r="D3762"/>
      <c r="E3762"/>
      <c r="F3762"/>
      <c r="H3762"/>
    </row>
    <row r="3763" spans="1:8" ht="15">
      <c r="A3763"/>
      <c r="B3763"/>
      <c r="D3763"/>
      <c r="E3763"/>
      <c r="F3763"/>
      <c r="H3763"/>
    </row>
    <row r="3764" spans="1:8" ht="15">
      <c r="A3764"/>
      <c r="B3764"/>
      <c r="D3764"/>
      <c r="E3764"/>
      <c r="F3764"/>
      <c r="H3764"/>
    </row>
    <row r="3765" spans="1:8" ht="15">
      <c r="A3765"/>
      <c r="B3765"/>
      <c r="D3765"/>
      <c r="E3765"/>
      <c r="F3765"/>
      <c r="H3765"/>
    </row>
    <row r="3766" spans="1:8" ht="15">
      <c r="A3766"/>
      <c r="B3766"/>
      <c r="D3766"/>
      <c r="E3766"/>
      <c r="F3766"/>
      <c r="H3766"/>
    </row>
    <row r="3767" spans="1:8" ht="15">
      <c r="A3767"/>
      <c r="B3767"/>
      <c r="D3767"/>
      <c r="E3767"/>
      <c r="F3767"/>
      <c r="H3767"/>
    </row>
    <row r="3768" spans="1:8" ht="15">
      <c r="A3768"/>
      <c r="B3768"/>
      <c r="D3768"/>
      <c r="E3768"/>
      <c r="F3768"/>
      <c r="H3768"/>
    </row>
    <row r="3769" spans="1:8" ht="15">
      <c r="A3769"/>
      <c r="B3769"/>
      <c r="D3769"/>
      <c r="E3769"/>
      <c r="F3769"/>
      <c r="H3769"/>
    </row>
    <row r="3770" spans="1:8" ht="15">
      <c r="A3770"/>
      <c r="B3770"/>
      <c r="D3770"/>
      <c r="E3770"/>
      <c r="F3770"/>
      <c r="H3770"/>
    </row>
    <row r="3771" spans="1:8" ht="15">
      <c r="A3771"/>
      <c r="B3771"/>
      <c r="D3771"/>
      <c r="E3771"/>
      <c r="F3771"/>
      <c r="H3771"/>
    </row>
    <row r="3772" spans="1:8" ht="15">
      <c r="A3772"/>
      <c r="B3772"/>
      <c r="D3772"/>
      <c r="E3772"/>
      <c r="F3772"/>
      <c r="H3772"/>
    </row>
    <row r="3773" spans="1:8" ht="15">
      <c r="A3773"/>
      <c r="B3773"/>
      <c r="D3773"/>
      <c r="E3773"/>
      <c r="F3773"/>
      <c r="H3773"/>
    </row>
    <row r="3774" spans="1:8" ht="15">
      <c r="A3774"/>
      <c r="B3774"/>
      <c r="D3774"/>
      <c r="E3774"/>
      <c r="F3774"/>
      <c r="H3774"/>
    </row>
    <row r="3775" spans="1:8" ht="15">
      <c r="A3775"/>
      <c r="B3775"/>
      <c r="D3775"/>
      <c r="E3775"/>
      <c r="F3775"/>
      <c r="H3775"/>
    </row>
    <row r="3776" spans="1:8" ht="15">
      <c r="A3776"/>
      <c r="B3776"/>
      <c r="D3776"/>
      <c r="E3776"/>
      <c r="F3776"/>
      <c r="H3776"/>
    </row>
    <row r="3777" spans="1:8" ht="15">
      <c r="A3777"/>
      <c r="B3777"/>
      <c r="D3777"/>
      <c r="E3777"/>
      <c r="F3777"/>
      <c r="H3777"/>
    </row>
    <row r="3778" spans="1:8" ht="15">
      <c r="A3778"/>
      <c r="B3778"/>
      <c r="D3778"/>
      <c r="E3778"/>
      <c r="F3778"/>
      <c r="H3778"/>
    </row>
    <row r="3779" spans="1:8" ht="15">
      <c r="A3779"/>
      <c r="B3779"/>
      <c r="D3779"/>
      <c r="E3779"/>
      <c r="F3779"/>
      <c r="H3779"/>
    </row>
    <row r="3780" spans="1:8" ht="15">
      <c r="A3780"/>
      <c r="B3780"/>
      <c r="D3780"/>
      <c r="E3780"/>
      <c r="F3780"/>
      <c r="H3780"/>
    </row>
    <row r="3781" spans="1:8" ht="15">
      <c r="A3781"/>
      <c r="B3781"/>
      <c r="D3781"/>
      <c r="E3781"/>
      <c r="F3781"/>
      <c r="H3781"/>
    </row>
    <row r="3782" spans="1:8" ht="15">
      <c r="A3782"/>
      <c r="B3782"/>
      <c r="D3782"/>
      <c r="E3782"/>
      <c r="F3782"/>
      <c r="H3782"/>
    </row>
    <row r="3783" spans="1:8" ht="15">
      <c r="A3783"/>
      <c r="B3783"/>
      <c r="D3783"/>
      <c r="E3783"/>
      <c r="F3783"/>
      <c r="H3783"/>
    </row>
    <row r="3784" spans="1:8" ht="15">
      <c r="A3784"/>
      <c r="B3784"/>
      <c r="D3784"/>
      <c r="E3784"/>
      <c r="F3784"/>
      <c r="H3784"/>
    </row>
    <row r="3785" spans="1:8" ht="15">
      <c r="A3785"/>
      <c r="B3785"/>
      <c r="D3785"/>
      <c r="E3785"/>
      <c r="F3785"/>
      <c r="H3785"/>
    </row>
    <row r="3786" spans="1:8" ht="15">
      <c r="A3786"/>
      <c r="B3786"/>
      <c r="D3786"/>
      <c r="E3786"/>
      <c r="F3786"/>
      <c r="H3786"/>
    </row>
    <row r="3787" spans="1:8" ht="15">
      <c r="A3787"/>
      <c r="B3787"/>
      <c r="D3787"/>
      <c r="E3787"/>
      <c r="F3787"/>
      <c r="H3787"/>
    </row>
    <row r="3788" spans="1:8" ht="15">
      <c r="A3788"/>
      <c r="B3788"/>
      <c r="D3788"/>
      <c r="E3788"/>
      <c r="F3788"/>
      <c r="H3788"/>
    </row>
    <row r="3789" spans="1:8" ht="15">
      <c r="A3789"/>
      <c r="B3789"/>
      <c r="D3789"/>
      <c r="E3789"/>
      <c r="F3789"/>
      <c r="H3789"/>
    </row>
    <row r="3790" spans="1:8" ht="15">
      <c r="A3790"/>
      <c r="B3790"/>
      <c r="D3790"/>
      <c r="E3790"/>
      <c r="F3790"/>
      <c r="H3790"/>
    </row>
    <row r="3791" spans="1:8" ht="15">
      <c r="A3791"/>
      <c r="B3791"/>
      <c r="D3791"/>
      <c r="E3791"/>
      <c r="F3791"/>
      <c r="H3791"/>
    </row>
    <row r="3792" spans="1:8" ht="15">
      <c r="A3792"/>
      <c r="B3792"/>
      <c r="D3792"/>
      <c r="E3792"/>
      <c r="F3792"/>
      <c r="H3792"/>
    </row>
    <row r="3793" spans="1:8" ht="15">
      <c r="A3793"/>
      <c r="B3793"/>
      <c r="D3793"/>
      <c r="E3793"/>
      <c r="F3793"/>
      <c r="H3793"/>
    </row>
    <row r="3794" spans="1:8" ht="15">
      <c r="A3794"/>
      <c r="B3794"/>
      <c r="D3794"/>
      <c r="E3794"/>
      <c r="F3794"/>
      <c r="H3794"/>
    </row>
    <row r="3795" spans="1:8" ht="15">
      <c r="A3795"/>
      <c r="B3795"/>
      <c r="D3795"/>
      <c r="E3795"/>
      <c r="F3795"/>
      <c r="H3795"/>
    </row>
    <row r="3796" spans="1:8" ht="15">
      <c r="A3796"/>
      <c r="B3796"/>
      <c r="D3796"/>
      <c r="E3796"/>
      <c r="F3796"/>
      <c r="H3796"/>
    </row>
    <row r="3797" spans="1:8" ht="15">
      <c r="A3797"/>
      <c r="B3797"/>
      <c r="D3797"/>
      <c r="E3797"/>
      <c r="F3797"/>
      <c r="H3797"/>
    </row>
    <row r="3798" spans="1:8" ht="15">
      <c r="A3798"/>
      <c r="B3798"/>
      <c r="D3798"/>
      <c r="E3798"/>
      <c r="F3798"/>
      <c r="H3798"/>
    </row>
    <row r="3799" spans="1:8" ht="15">
      <c r="A3799"/>
      <c r="B3799"/>
      <c r="D3799"/>
      <c r="E3799"/>
      <c r="F3799"/>
      <c r="H3799"/>
    </row>
    <row r="3800" spans="1:8" ht="15">
      <c r="A3800"/>
      <c r="B3800"/>
      <c r="D3800"/>
      <c r="E3800"/>
      <c r="F3800"/>
      <c r="H3800"/>
    </row>
    <row r="3801" spans="1:8" ht="15">
      <c r="A3801"/>
      <c r="B3801"/>
      <c r="D3801"/>
      <c r="E3801"/>
      <c r="F3801"/>
      <c r="H3801"/>
    </row>
    <row r="3802" spans="1:8" ht="15">
      <c r="A3802"/>
      <c r="B3802"/>
      <c r="D3802"/>
      <c r="E3802"/>
      <c r="F3802"/>
      <c r="H3802"/>
    </row>
    <row r="3803" spans="1:8" ht="15">
      <c r="A3803"/>
      <c r="B3803"/>
      <c r="D3803"/>
      <c r="E3803"/>
      <c r="F3803"/>
      <c r="H3803"/>
    </row>
    <row r="3804" spans="1:8" ht="15">
      <c r="A3804"/>
      <c r="B3804"/>
      <c r="D3804"/>
      <c r="E3804"/>
      <c r="F3804"/>
      <c r="H3804"/>
    </row>
    <row r="3805" spans="1:8" ht="15">
      <c r="A3805"/>
      <c r="B3805"/>
      <c r="D3805"/>
      <c r="E3805"/>
      <c r="F3805"/>
      <c r="H3805"/>
    </row>
    <row r="3806" spans="1:8" ht="15">
      <c r="A3806"/>
      <c r="B3806"/>
      <c r="D3806"/>
      <c r="E3806"/>
      <c r="F3806"/>
      <c r="H3806"/>
    </row>
    <row r="3807" spans="1:8" ht="15">
      <c r="A3807"/>
      <c r="B3807"/>
      <c r="D3807"/>
      <c r="E3807"/>
      <c r="F3807"/>
      <c r="H3807"/>
    </row>
    <row r="3808" spans="1:8" ht="15">
      <c r="A3808"/>
      <c r="B3808"/>
      <c r="D3808"/>
      <c r="E3808"/>
      <c r="F3808"/>
      <c r="H3808"/>
    </row>
    <row r="3809" spans="1:8" ht="15">
      <c r="A3809"/>
      <c r="B3809"/>
      <c r="D3809"/>
      <c r="E3809"/>
      <c r="F3809"/>
      <c r="H3809"/>
    </row>
    <row r="3810" spans="1:8" ht="15">
      <c r="A3810"/>
      <c r="B3810"/>
      <c r="D3810"/>
      <c r="E3810"/>
      <c r="F3810"/>
      <c r="H3810"/>
    </row>
    <row r="3811" spans="1:8" ht="15">
      <c r="A3811"/>
      <c r="B3811"/>
      <c r="D3811"/>
      <c r="E3811"/>
      <c r="F3811"/>
      <c r="H3811"/>
    </row>
    <row r="3812" spans="1:8" ht="15">
      <c r="A3812"/>
      <c r="B3812"/>
      <c r="D3812"/>
      <c r="E3812"/>
      <c r="F3812"/>
      <c r="H3812"/>
    </row>
    <row r="3813" spans="1:8" ht="15">
      <c r="A3813"/>
      <c r="B3813"/>
      <c r="D3813"/>
      <c r="E3813"/>
      <c r="F3813"/>
      <c r="H3813"/>
    </row>
    <row r="3814" spans="1:8" ht="15">
      <c r="A3814"/>
      <c r="B3814"/>
      <c r="D3814"/>
      <c r="E3814"/>
      <c r="F3814"/>
      <c r="H3814"/>
    </row>
    <row r="3815" spans="1:8" ht="15">
      <c r="A3815"/>
      <c r="B3815"/>
      <c r="D3815"/>
      <c r="E3815"/>
      <c r="F3815"/>
      <c r="H3815"/>
    </row>
    <row r="3816" spans="1:8" ht="15">
      <c r="A3816"/>
      <c r="B3816"/>
      <c r="D3816"/>
      <c r="E3816"/>
      <c r="F3816"/>
      <c r="H3816"/>
    </row>
    <row r="3817" spans="1:8" ht="15">
      <c r="A3817"/>
      <c r="B3817"/>
      <c r="D3817"/>
      <c r="E3817"/>
      <c r="F3817"/>
      <c r="H3817"/>
    </row>
    <row r="3818" spans="1:8" ht="15">
      <c r="A3818"/>
      <c r="B3818"/>
      <c r="D3818"/>
      <c r="E3818"/>
      <c r="F3818"/>
      <c r="H3818"/>
    </row>
    <row r="3819" spans="1:8" ht="15">
      <c r="A3819"/>
      <c r="B3819"/>
      <c r="D3819"/>
      <c r="E3819"/>
      <c r="F3819"/>
      <c r="H3819"/>
    </row>
    <row r="3820" spans="1:8" ht="15">
      <c r="A3820"/>
      <c r="B3820"/>
      <c r="D3820"/>
      <c r="E3820"/>
      <c r="F3820"/>
      <c r="H3820"/>
    </row>
    <row r="3821" spans="1:8" ht="15">
      <c r="A3821"/>
      <c r="B3821"/>
      <c r="D3821"/>
      <c r="E3821"/>
      <c r="F3821"/>
      <c r="H3821"/>
    </row>
    <row r="3822" spans="1:8" ht="15">
      <c r="A3822"/>
      <c r="B3822"/>
      <c r="D3822"/>
      <c r="E3822"/>
      <c r="F3822"/>
      <c r="H3822"/>
    </row>
    <row r="3823" spans="1:8" ht="15">
      <c r="A3823"/>
      <c r="B3823"/>
      <c r="D3823"/>
      <c r="E3823"/>
      <c r="F3823"/>
      <c r="H3823"/>
    </row>
    <row r="3824" spans="1:8" ht="15">
      <c r="A3824"/>
      <c r="B3824"/>
      <c r="D3824"/>
      <c r="E3824"/>
      <c r="F3824"/>
      <c r="H3824"/>
    </row>
    <row r="3825" spans="1:8" ht="15">
      <c r="A3825"/>
      <c r="B3825"/>
      <c r="D3825"/>
      <c r="E3825"/>
      <c r="F3825"/>
      <c r="H3825"/>
    </row>
    <row r="3826" spans="1:8" ht="15">
      <c r="A3826"/>
      <c r="B3826"/>
      <c r="D3826"/>
      <c r="E3826"/>
      <c r="F3826"/>
      <c r="H3826"/>
    </row>
    <row r="3827" spans="1:8" ht="15">
      <c r="A3827"/>
      <c r="B3827"/>
      <c r="D3827"/>
      <c r="E3827"/>
      <c r="F3827"/>
      <c r="H3827"/>
    </row>
    <row r="3828" spans="1:8" ht="15">
      <c r="A3828"/>
      <c r="B3828"/>
      <c r="D3828"/>
      <c r="E3828"/>
      <c r="F3828"/>
      <c r="H3828"/>
    </row>
    <row r="3829" spans="1:8" ht="15">
      <c r="A3829"/>
      <c r="B3829"/>
      <c r="D3829"/>
      <c r="E3829"/>
      <c r="F3829"/>
      <c r="H3829"/>
    </row>
    <row r="3830" spans="1:8" ht="15">
      <c r="A3830"/>
      <c r="B3830"/>
      <c r="D3830"/>
      <c r="E3830"/>
      <c r="F3830"/>
      <c r="H3830"/>
    </row>
    <row r="3831" spans="1:8" ht="15">
      <c r="A3831"/>
      <c r="B3831"/>
      <c r="D3831"/>
      <c r="E3831"/>
      <c r="F3831"/>
      <c r="H3831"/>
    </row>
    <row r="3832" spans="1:8" ht="15">
      <c r="A3832"/>
      <c r="B3832"/>
      <c r="D3832"/>
      <c r="E3832"/>
      <c r="F3832"/>
      <c r="H3832"/>
    </row>
    <row r="3833" spans="1:8" ht="15">
      <c r="A3833"/>
      <c r="B3833"/>
      <c r="D3833"/>
      <c r="E3833"/>
      <c r="F3833"/>
      <c r="H3833"/>
    </row>
    <row r="3834" spans="1:8" ht="15">
      <c r="A3834"/>
      <c r="B3834"/>
      <c r="D3834"/>
      <c r="E3834"/>
      <c r="F3834"/>
      <c r="H3834"/>
    </row>
    <row r="3835" spans="1:8" ht="15">
      <c r="A3835"/>
      <c r="B3835"/>
      <c r="D3835"/>
      <c r="E3835"/>
      <c r="F3835"/>
      <c r="H3835"/>
    </row>
    <row r="3836" spans="1:8" ht="15">
      <c r="A3836"/>
      <c r="B3836"/>
      <c r="D3836"/>
      <c r="E3836"/>
      <c r="F3836"/>
      <c r="H3836"/>
    </row>
    <row r="3837" spans="1:8" ht="15">
      <c r="A3837"/>
      <c r="B3837"/>
      <c r="D3837"/>
      <c r="E3837"/>
      <c r="F3837"/>
      <c r="H3837"/>
    </row>
    <row r="3838" spans="1:8" ht="15">
      <c r="A3838"/>
      <c r="B3838"/>
      <c r="D3838"/>
      <c r="E3838"/>
      <c r="F3838"/>
      <c r="H3838"/>
    </row>
    <row r="3839" spans="1:8" ht="15">
      <c r="A3839"/>
      <c r="B3839"/>
      <c r="D3839"/>
      <c r="E3839"/>
      <c r="F3839"/>
      <c r="H3839"/>
    </row>
    <row r="3840" spans="1:8" ht="15">
      <c r="A3840"/>
      <c r="B3840"/>
      <c r="D3840"/>
      <c r="E3840"/>
      <c r="F3840"/>
      <c r="H3840"/>
    </row>
    <row r="3841" spans="1:8" ht="15">
      <c r="A3841"/>
      <c r="B3841"/>
      <c r="D3841"/>
      <c r="E3841"/>
      <c r="F3841"/>
      <c r="H3841"/>
    </row>
    <row r="3842" spans="1:8" ht="15">
      <c r="A3842"/>
      <c r="B3842"/>
      <c r="D3842"/>
      <c r="E3842"/>
      <c r="F3842"/>
      <c r="H3842"/>
    </row>
    <row r="3843" spans="1:8" ht="15">
      <c r="A3843"/>
      <c r="B3843"/>
      <c r="D3843"/>
      <c r="E3843"/>
      <c r="F3843"/>
      <c r="H3843"/>
    </row>
    <row r="3844" spans="1:8" ht="15">
      <c r="A3844"/>
      <c r="B3844"/>
      <c r="D3844"/>
      <c r="E3844"/>
      <c r="F3844"/>
      <c r="H3844"/>
    </row>
    <row r="3845" spans="1:8" ht="15">
      <c r="A3845"/>
      <c r="B3845"/>
      <c r="D3845"/>
      <c r="E3845"/>
      <c r="F3845"/>
      <c r="H3845"/>
    </row>
    <row r="3846" spans="1:8" ht="15">
      <c r="A3846"/>
      <c r="B3846"/>
      <c r="D3846"/>
      <c r="E3846"/>
      <c r="F3846"/>
      <c r="H3846"/>
    </row>
    <row r="3847" spans="1:8" ht="15">
      <c r="A3847"/>
      <c r="B3847"/>
      <c r="D3847"/>
      <c r="E3847"/>
      <c r="F3847"/>
      <c r="H3847"/>
    </row>
    <row r="3848" spans="1:8" ht="15">
      <c r="A3848"/>
      <c r="B3848"/>
      <c r="D3848"/>
      <c r="E3848"/>
      <c r="F3848"/>
      <c r="H3848"/>
    </row>
    <row r="3849" spans="1:8" ht="15">
      <c r="A3849"/>
      <c r="B3849"/>
      <c r="D3849"/>
      <c r="E3849"/>
      <c r="F3849"/>
      <c r="H3849"/>
    </row>
    <row r="3850" spans="1:8" ht="15">
      <c r="A3850"/>
      <c r="B3850"/>
      <c r="D3850"/>
      <c r="E3850"/>
      <c r="F3850"/>
      <c r="H3850"/>
    </row>
    <row r="3851" spans="1:8" ht="15">
      <c r="A3851"/>
      <c r="B3851"/>
      <c r="D3851"/>
      <c r="E3851"/>
      <c r="F3851"/>
      <c r="H3851"/>
    </row>
    <row r="3852" spans="1:8" ht="15">
      <c r="A3852"/>
      <c r="B3852"/>
      <c r="D3852"/>
      <c r="E3852"/>
      <c r="F3852"/>
      <c r="H3852"/>
    </row>
    <row r="3853" spans="1:8" ht="15">
      <c r="A3853"/>
      <c r="B3853"/>
      <c r="D3853"/>
      <c r="E3853"/>
      <c r="F3853"/>
      <c r="H3853"/>
    </row>
    <row r="3854" spans="1:8" ht="15">
      <c r="A3854"/>
      <c r="B3854"/>
      <c r="D3854"/>
      <c r="E3854"/>
      <c r="F3854"/>
      <c r="H3854"/>
    </row>
    <row r="3855" spans="1:8" ht="15">
      <c r="A3855"/>
      <c r="B3855"/>
      <c r="D3855"/>
      <c r="E3855"/>
      <c r="F3855"/>
      <c r="H3855"/>
    </row>
    <row r="3856" spans="1:8" ht="15">
      <c r="A3856"/>
      <c r="B3856"/>
      <c r="D3856"/>
      <c r="E3856"/>
      <c r="F3856"/>
      <c r="H3856"/>
    </row>
    <row r="3857" spans="1:8" ht="15">
      <c r="A3857"/>
      <c r="B3857"/>
      <c r="D3857"/>
      <c r="E3857"/>
      <c r="F3857"/>
      <c r="H3857"/>
    </row>
    <row r="3858" spans="1:8" ht="15">
      <c r="A3858"/>
      <c r="B3858"/>
      <c r="D3858"/>
      <c r="E3858"/>
      <c r="F3858"/>
      <c r="H3858"/>
    </row>
    <row r="3859" spans="1:8" ht="15">
      <c r="A3859"/>
      <c r="B3859"/>
      <c r="D3859"/>
      <c r="E3859"/>
      <c r="F3859"/>
      <c r="H3859"/>
    </row>
    <row r="3860" spans="1:8" ht="15">
      <c r="A3860"/>
      <c r="B3860"/>
      <c r="D3860"/>
      <c r="E3860"/>
      <c r="F3860"/>
      <c r="H3860"/>
    </row>
    <row r="3861" spans="1:8" ht="15">
      <c r="A3861"/>
      <c r="B3861"/>
      <c r="D3861"/>
      <c r="E3861"/>
      <c r="F3861"/>
      <c r="H3861"/>
    </row>
    <row r="3862" spans="1:8" ht="15">
      <c r="A3862"/>
      <c r="B3862"/>
      <c r="D3862"/>
      <c r="E3862"/>
      <c r="F3862"/>
      <c r="H3862"/>
    </row>
    <row r="3863" spans="1:8" ht="15">
      <c r="A3863"/>
      <c r="B3863"/>
      <c r="D3863"/>
      <c r="E3863"/>
      <c r="F3863"/>
      <c r="H3863"/>
    </row>
    <row r="3864" spans="1:8" ht="15">
      <c r="A3864"/>
      <c r="B3864"/>
      <c r="D3864"/>
      <c r="E3864"/>
      <c r="F3864"/>
      <c r="H3864"/>
    </row>
    <row r="3865" spans="1:8" ht="15">
      <c r="A3865"/>
      <c r="B3865"/>
      <c r="D3865"/>
      <c r="E3865"/>
      <c r="F3865"/>
      <c r="H3865"/>
    </row>
    <row r="3866" spans="1:8" ht="15">
      <c r="A3866"/>
      <c r="B3866"/>
      <c r="D3866"/>
      <c r="E3866"/>
      <c r="F3866"/>
      <c r="H3866"/>
    </row>
    <row r="3867" spans="1:8" ht="15">
      <c r="A3867"/>
      <c r="B3867"/>
      <c r="D3867"/>
      <c r="E3867"/>
      <c r="F3867"/>
      <c r="H3867"/>
    </row>
    <row r="3868" spans="1:8" ht="15">
      <c r="A3868"/>
      <c r="B3868"/>
      <c r="D3868"/>
      <c r="E3868"/>
      <c r="F3868"/>
      <c r="H3868"/>
    </row>
    <row r="3869" spans="1:8" ht="15">
      <c r="A3869"/>
      <c r="B3869"/>
      <c r="D3869"/>
      <c r="E3869"/>
      <c r="F3869"/>
      <c r="H3869"/>
    </row>
    <row r="3870" spans="1:8" ht="15">
      <c r="A3870"/>
      <c r="B3870"/>
      <c r="D3870"/>
      <c r="E3870"/>
      <c r="F3870"/>
      <c r="H3870"/>
    </row>
    <row r="3871" spans="1:8" ht="15">
      <c r="A3871"/>
      <c r="B3871"/>
      <c r="D3871"/>
      <c r="E3871"/>
      <c r="F3871"/>
      <c r="H3871"/>
    </row>
    <row r="3872" spans="1:8" ht="15">
      <c r="A3872"/>
      <c r="B3872"/>
      <c r="D3872"/>
      <c r="E3872"/>
      <c r="F3872"/>
      <c r="H3872"/>
    </row>
    <row r="3873" spans="1:8" ht="15">
      <c r="A3873"/>
      <c r="B3873"/>
      <c r="D3873"/>
      <c r="E3873"/>
      <c r="F3873"/>
      <c r="H3873"/>
    </row>
    <row r="3874" spans="1:8" ht="15">
      <c r="A3874"/>
      <c r="B3874"/>
      <c r="D3874"/>
      <c r="E3874"/>
      <c r="F3874"/>
      <c r="H3874"/>
    </row>
    <row r="3875" spans="1:8" ht="15">
      <c r="A3875"/>
      <c r="B3875"/>
      <c r="D3875"/>
      <c r="E3875"/>
      <c r="F3875"/>
      <c r="H3875"/>
    </row>
    <row r="3876" spans="1:8" ht="15">
      <c r="A3876"/>
      <c r="B3876"/>
      <c r="D3876"/>
      <c r="E3876"/>
      <c r="F3876"/>
      <c r="H3876"/>
    </row>
    <row r="3877" spans="1:8" ht="15">
      <c r="A3877"/>
      <c r="B3877"/>
      <c r="D3877"/>
      <c r="E3877"/>
      <c r="F3877"/>
      <c r="H3877"/>
    </row>
    <row r="3878" spans="1:8" ht="15">
      <c r="A3878"/>
      <c r="B3878"/>
      <c r="D3878"/>
      <c r="E3878"/>
      <c r="F3878"/>
      <c r="H3878"/>
    </row>
    <row r="3879" spans="1:8" ht="15">
      <c r="A3879"/>
      <c r="B3879"/>
      <c r="D3879"/>
      <c r="E3879"/>
      <c r="F3879"/>
      <c r="H3879"/>
    </row>
    <row r="3880" spans="1:8" ht="15">
      <c r="A3880"/>
      <c r="B3880"/>
      <c r="D3880"/>
      <c r="E3880"/>
      <c r="F3880"/>
      <c r="H3880"/>
    </row>
    <row r="3881" spans="1:8" ht="15">
      <c r="A3881"/>
      <c r="B3881"/>
      <c r="D3881"/>
      <c r="E3881"/>
      <c r="F3881"/>
      <c r="H3881"/>
    </row>
    <row r="3882" spans="1:8" ht="15">
      <c r="A3882"/>
      <c r="B3882"/>
      <c r="D3882"/>
      <c r="E3882"/>
      <c r="F3882"/>
      <c r="H3882"/>
    </row>
    <row r="3883" spans="1:8" ht="15">
      <c r="A3883"/>
      <c r="B3883"/>
      <c r="D3883"/>
      <c r="E3883"/>
      <c r="F3883"/>
      <c r="H3883"/>
    </row>
    <row r="3884" spans="1:8" ht="15">
      <c r="A3884"/>
      <c r="B3884"/>
      <c r="D3884"/>
      <c r="E3884"/>
      <c r="F3884"/>
      <c r="H3884"/>
    </row>
    <row r="3885" spans="1:8" ht="15">
      <c r="A3885"/>
      <c r="B3885"/>
      <c r="D3885"/>
      <c r="E3885"/>
      <c r="F3885"/>
      <c r="H3885"/>
    </row>
    <row r="3886" spans="1:8" ht="15">
      <c r="A3886"/>
      <c r="B3886"/>
      <c r="D3886"/>
      <c r="E3886"/>
      <c r="F3886"/>
      <c r="H3886"/>
    </row>
    <row r="3887" spans="1:8" ht="15">
      <c r="A3887"/>
      <c r="B3887"/>
      <c r="D3887"/>
      <c r="E3887"/>
      <c r="F3887"/>
      <c r="H3887"/>
    </row>
    <row r="3888" spans="1:8" ht="15">
      <c r="A3888"/>
      <c r="B3888"/>
      <c r="D3888"/>
      <c r="E3888"/>
      <c r="F3888"/>
      <c r="H3888"/>
    </row>
    <row r="3889" spans="1:8" ht="15">
      <c r="A3889"/>
      <c r="B3889"/>
      <c r="D3889"/>
      <c r="E3889"/>
      <c r="F3889"/>
      <c r="H3889"/>
    </row>
    <row r="3890" spans="1:8" ht="15">
      <c r="A3890"/>
      <c r="B3890"/>
      <c r="D3890"/>
      <c r="E3890"/>
      <c r="F3890"/>
      <c r="H3890"/>
    </row>
    <row r="3891" spans="1:8" ht="15">
      <c r="A3891"/>
      <c r="B3891"/>
      <c r="D3891"/>
      <c r="E3891"/>
      <c r="F3891"/>
      <c r="H3891"/>
    </row>
    <row r="3892" spans="1:8" ht="15">
      <c r="A3892"/>
      <c r="B3892"/>
      <c r="D3892"/>
      <c r="E3892"/>
      <c r="F3892"/>
      <c r="H3892"/>
    </row>
    <row r="3893" spans="1:8" ht="15">
      <c r="A3893"/>
      <c r="B3893"/>
      <c r="D3893"/>
      <c r="E3893"/>
      <c r="F3893"/>
      <c r="H3893"/>
    </row>
    <row r="3894" spans="1:8" ht="15">
      <c r="A3894"/>
      <c r="B3894"/>
      <c r="D3894"/>
      <c r="E3894"/>
      <c r="F3894"/>
      <c r="H3894"/>
    </row>
    <row r="3895" spans="1:8" ht="15">
      <c r="A3895"/>
      <c r="B3895"/>
      <c r="D3895"/>
      <c r="E3895"/>
      <c r="F3895"/>
      <c r="H3895"/>
    </row>
    <row r="3896" spans="1:8" ht="15">
      <c r="A3896"/>
      <c r="B3896"/>
      <c r="D3896"/>
      <c r="E3896"/>
      <c r="F3896"/>
      <c r="H3896"/>
    </row>
    <row r="3897" spans="1:8" ht="15">
      <c r="A3897"/>
      <c r="B3897"/>
      <c r="D3897"/>
      <c r="E3897"/>
      <c r="F3897"/>
      <c r="H3897"/>
    </row>
    <row r="3898" spans="1:8" ht="15">
      <c r="A3898"/>
      <c r="B3898"/>
      <c r="D3898"/>
      <c r="E3898"/>
      <c r="F3898"/>
      <c r="H3898"/>
    </row>
    <row r="3899" spans="1:8" ht="15">
      <c r="A3899"/>
      <c r="B3899"/>
      <c r="D3899"/>
      <c r="E3899"/>
      <c r="F3899"/>
      <c r="H3899"/>
    </row>
    <row r="3900" spans="1:8" ht="15">
      <c r="A3900"/>
      <c r="B3900"/>
      <c r="D3900"/>
      <c r="E3900"/>
      <c r="F3900"/>
      <c r="H3900"/>
    </row>
    <row r="3901" spans="1:8" ht="15">
      <c r="A3901"/>
      <c r="B3901"/>
      <c r="D3901"/>
      <c r="E3901"/>
      <c r="F3901"/>
      <c r="H3901"/>
    </row>
    <row r="3902" spans="1:8" ht="15">
      <c r="A3902"/>
      <c r="B3902"/>
      <c r="D3902"/>
      <c r="E3902"/>
      <c r="F3902"/>
      <c r="H3902"/>
    </row>
    <row r="3903" spans="1:8" ht="15">
      <c r="A3903"/>
      <c r="B3903"/>
      <c r="D3903"/>
      <c r="E3903"/>
      <c r="F3903"/>
      <c r="H3903"/>
    </row>
    <row r="3904" spans="1:8" ht="15">
      <c r="A3904"/>
      <c r="B3904"/>
      <c r="D3904"/>
      <c r="E3904"/>
      <c r="F3904"/>
      <c r="H3904"/>
    </row>
    <row r="3905" spans="1:8" ht="15">
      <c r="A3905"/>
      <c r="B3905"/>
      <c r="D3905"/>
      <c r="E3905"/>
      <c r="F3905"/>
      <c r="H3905"/>
    </row>
    <row r="3906" spans="1:8" ht="15">
      <c r="A3906"/>
      <c r="B3906"/>
      <c r="D3906"/>
      <c r="E3906"/>
      <c r="F3906"/>
      <c r="H3906"/>
    </row>
    <row r="3907" spans="1:8" ht="15">
      <c r="A3907"/>
      <c r="B3907"/>
      <c r="D3907"/>
      <c r="E3907"/>
      <c r="F3907"/>
      <c r="H3907"/>
    </row>
    <row r="3908" spans="1:8" ht="15">
      <c r="A3908"/>
      <c r="B3908"/>
      <c r="D3908"/>
      <c r="E3908"/>
      <c r="F3908"/>
      <c r="H3908"/>
    </row>
    <row r="3909" spans="1:8" ht="15">
      <c r="A3909"/>
      <c r="B3909"/>
      <c r="D3909"/>
      <c r="E3909"/>
      <c r="F3909"/>
      <c r="H3909"/>
    </row>
    <row r="3910" spans="1:8" ht="15">
      <c r="A3910"/>
      <c r="B3910"/>
      <c r="D3910"/>
      <c r="E3910"/>
      <c r="F3910"/>
      <c r="H3910"/>
    </row>
    <row r="3911" spans="1:8" ht="15">
      <c r="A3911"/>
      <c r="B3911"/>
      <c r="D3911"/>
      <c r="E3911"/>
      <c r="F3911"/>
      <c r="H3911"/>
    </row>
    <row r="3912" spans="1:8" ht="15">
      <c r="A3912"/>
      <c r="B3912"/>
      <c r="D3912"/>
      <c r="E3912"/>
      <c r="F3912"/>
      <c r="H3912"/>
    </row>
    <row r="3913" spans="1:8" ht="15">
      <c r="A3913"/>
      <c r="B3913"/>
      <c r="D3913"/>
      <c r="E3913"/>
      <c r="F3913"/>
      <c r="H3913"/>
    </row>
    <row r="3914" spans="1:8" ht="15">
      <c r="A3914"/>
      <c r="B3914"/>
      <c r="D3914"/>
      <c r="E3914"/>
      <c r="F3914"/>
      <c r="H3914"/>
    </row>
    <row r="3915" spans="1:8" ht="15">
      <c r="A3915"/>
      <c r="B3915"/>
      <c r="D3915"/>
      <c r="E3915"/>
      <c r="F3915"/>
      <c r="H3915"/>
    </row>
    <row r="3916" spans="1:8" ht="15">
      <c r="A3916"/>
      <c r="B3916"/>
      <c r="D3916"/>
      <c r="E3916"/>
      <c r="F3916"/>
      <c r="H3916"/>
    </row>
    <row r="3917" spans="1:8" ht="15">
      <c r="A3917"/>
      <c r="B3917"/>
      <c r="D3917"/>
      <c r="E3917"/>
      <c r="F3917"/>
      <c r="H3917"/>
    </row>
    <row r="3918" spans="1:8" ht="15">
      <c r="A3918"/>
      <c r="B3918"/>
      <c r="D3918"/>
      <c r="E3918"/>
      <c r="F3918"/>
      <c r="H3918"/>
    </row>
    <row r="3919" spans="1:8" ht="15">
      <c r="A3919"/>
      <c r="B3919"/>
      <c r="D3919"/>
      <c r="E3919"/>
      <c r="F3919"/>
      <c r="H3919"/>
    </row>
    <row r="3920" spans="1:8" ht="15">
      <c r="A3920"/>
      <c r="B3920"/>
      <c r="D3920"/>
      <c r="E3920"/>
      <c r="F3920"/>
      <c r="H3920"/>
    </row>
    <row r="3921" spans="1:8" ht="15">
      <c r="A3921"/>
      <c r="B3921"/>
      <c r="D3921"/>
      <c r="E3921"/>
      <c r="F3921"/>
      <c r="H3921"/>
    </row>
    <row r="3922" spans="1:8" ht="15">
      <c r="A3922"/>
      <c r="B3922"/>
      <c r="D3922"/>
      <c r="E3922"/>
      <c r="F3922"/>
      <c r="H3922"/>
    </row>
    <row r="3923" spans="1:8" ht="15">
      <c r="A3923"/>
      <c r="B3923"/>
      <c r="D3923"/>
      <c r="E3923"/>
      <c r="F3923"/>
      <c r="H3923"/>
    </row>
    <row r="3924" spans="1:8" ht="15">
      <c r="A3924"/>
      <c r="B3924"/>
      <c r="D3924"/>
      <c r="E3924"/>
      <c r="F3924"/>
      <c r="H3924"/>
    </row>
    <row r="3925" spans="1:8" ht="15">
      <c r="A3925"/>
      <c r="B3925"/>
      <c r="D3925"/>
      <c r="E3925"/>
      <c r="F3925"/>
      <c r="H3925"/>
    </row>
    <row r="3926" spans="1:8" ht="15">
      <c r="A3926"/>
      <c r="B3926"/>
      <c r="D3926"/>
      <c r="E3926"/>
      <c r="F3926"/>
      <c r="H3926"/>
    </row>
    <row r="3927" spans="1:8" ht="15">
      <c r="A3927"/>
      <c r="B3927"/>
      <c r="D3927"/>
      <c r="E3927"/>
      <c r="F3927"/>
      <c r="H3927"/>
    </row>
    <row r="3928" spans="1:8" ht="15">
      <c r="A3928"/>
      <c r="B3928"/>
      <c r="D3928"/>
      <c r="E3928"/>
      <c r="F3928"/>
      <c r="H3928"/>
    </row>
    <row r="3929" spans="1:8" ht="15">
      <c r="A3929"/>
      <c r="B3929"/>
      <c r="D3929"/>
      <c r="E3929"/>
      <c r="F3929"/>
      <c r="H3929"/>
    </row>
    <row r="3930" spans="1:8" ht="15">
      <c r="A3930"/>
      <c r="B3930"/>
      <c r="D3930"/>
      <c r="E3930"/>
      <c r="F3930"/>
      <c r="H3930"/>
    </row>
    <row r="3931" spans="1:8" ht="15">
      <c r="A3931"/>
      <c r="B3931"/>
      <c r="D3931"/>
      <c r="E3931"/>
      <c r="F3931"/>
      <c r="H3931"/>
    </row>
    <row r="3932" spans="1:8" ht="15">
      <c r="A3932"/>
      <c r="B3932"/>
      <c r="D3932"/>
      <c r="E3932"/>
      <c r="F3932"/>
      <c r="H3932"/>
    </row>
    <row r="3933" spans="1:8" ht="15">
      <c r="A3933"/>
      <c r="B3933"/>
      <c r="D3933"/>
      <c r="E3933"/>
      <c r="F3933"/>
      <c r="H3933"/>
    </row>
    <row r="3934" spans="1:8" ht="15">
      <c r="A3934"/>
      <c r="B3934"/>
      <c r="D3934"/>
      <c r="E3934"/>
      <c r="F3934"/>
      <c r="H3934"/>
    </row>
    <row r="3935" spans="1:8" ht="15">
      <c r="A3935"/>
      <c r="B3935"/>
      <c r="D3935"/>
      <c r="E3935"/>
      <c r="F3935"/>
      <c r="H3935"/>
    </row>
    <row r="3936" spans="1:8" ht="15">
      <c r="A3936"/>
      <c r="B3936"/>
      <c r="D3936"/>
      <c r="E3936"/>
      <c r="F3936"/>
      <c r="H3936"/>
    </row>
    <row r="3937" spans="1:8" ht="15">
      <c r="A3937"/>
      <c r="B3937"/>
      <c r="D3937"/>
      <c r="E3937"/>
      <c r="F3937"/>
      <c r="H3937"/>
    </row>
    <row r="3938" spans="1:8" ht="15">
      <c r="A3938"/>
      <c r="B3938"/>
      <c r="D3938"/>
      <c r="E3938"/>
      <c r="F3938"/>
      <c r="H3938"/>
    </row>
    <row r="3939" spans="1:8" ht="15">
      <c r="A3939"/>
      <c r="B3939"/>
      <c r="D3939"/>
      <c r="E3939"/>
      <c r="F3939"/>
      <c r="H3939"/>
    </row>
    <row r="3940" spans="1:8" ht="15">
      <c r="A3940"/>
      <c r="B3940"/>
      <c r="D3940"/>
      <c r="E3940"/>
      <c r="F3940"/>
      <c r="H3940"/>
    </row>
    <row r="3941" spans="1:8" ht="15">
      <c r="A3941"/>
      <c r="B3941"/>
      <c r="D3941"/>
      <c r="E3941"/>
      <c r="F3941"/>
      <c r="H3941"/>
    </row>
    <row r="3942" spans="1:8" ht="15">
      <c r="A3942"/>
      <c r="B3942"/>
      <c r="D3942"/>
      <c r="E3942"/>
      <c r="F3942"/>
      <c r="H3942"/>
    </row>
    <row r="3943" spans="1:8" ht="15">
      <c r="A3943"/>
      <c r="B3943"/>
      <c r="D3943"/>
      <c r="E3943"/>
      <c r="F3943"/>
      <c r="H3943"/>
    </row>
    <row r="3944" spans="1:8" ht="15">
      <c r="A3944"/>
      <c r="B3944"/>
      <c r="D3944"/>
      <c r="E3944"/>
      <c r="F3944"/>
      <c r="H3944"/>
    </row>
    <row r="3945" spans="1:8" ht="15">
      <c r="A3945"/>
      <c r="B3945"/>
      <c r="D3945"/>
      <c r="E3945"/>
      <c r="F3945"/>
      <c r="H3945"/>
    </row>
    <row r="3946" spans="1:8" ht="15">
      <c r="A3946"/>
      <c r="B3946"/>
      <c r="D3946"/>
      <c r="E3946"/>
      <c r="F3946"/>
      <c r="H3946"/>
    </row>
    <row r="3947" spans="1:8" ht="15">
      <c r="A3947"/>
      <c r="B3947"/>
      <c r="D3947"/>
      <c r="E3947"/>
      <c r="F3947"/>
      <c r="H3947"/>
    </row>
    <row r="3948" spans="1:8" ht="15">
      <c r="A3948"/>
      <c r="B3948"/>
      <c r="D3948"/>
      <c r="E3948"/>
      <c r="F3948"/>
      <c r="H3948"/>
    </row>
    <row r="3949" spans="1:8" ht="15">
      <c r="A3949"/>
      <c r="B3949"/>
      <c r="D3949"/>
      <c r="E3949"/>
      <c r="F3949"/>
      <c r="H3949"/>
    </row>
    <row r="3950" spans="1:8" ht="15">
      <c r="A3950"/>
      <c r="B3950"/>
      <c r="D3950"/>
      <c r="E3950"/>
      <c r="F3950"/>
      <c r="H3950"/>
    </row>
    <row r="3951" spans="1:8" ht="15">
      <c r="A3951"/>
      <c r="B3951"/>
      <c r="D3951"/>
      <c r="E3951"/>
      <c r="F3951"/>
      <c r="H3951"/>
    </row>
    <row r="3952" spans="1:8" ht="15">
      <c r="A3952"/>
      <c r="B3952"/>
      <c r="D3952"/>
      <c r="E3952"/>
      <c r="F3952"/>
      <c r="H3952"/>
    </row>
    <row r="3953" spans="1:8" ht="15">
      <c r="A3953"/>
      <c r="B3953"/>
      <c r="D3953"/>
      <c r="E3953"/>
      <c r="F3953"/>
      <c r="H3953"/>
    </row>
    <row r="3954" spans="1:8" ht="15">
      <c r="A3954"/>
      <c r="B3954"/>
      <c r="D3954"/>
      <c r="E3954"/>
      <c r="F3954"/>
      <c r="H3954"/>
    </row>
    <row r="3955" spans="1:8" ht="15">
      <c r="A3955"/>
      <c r="B3955"/>
      <c r="D3955"/>
      <c r="E3955"/>
      <c r="F3955"/>
      <c r="H3955"/>
    </row>
    <row r="3956" spans="1:8" ht="15">
      <c r="A3956"/>
      <c r="B3956"/>
      <c r="D3956"/>
      <c r="E3956"/>
      <c r="F3956"/>
      <c r="H3956"/>
    </row>
    <row r="3957" spans="1:8" ht="15">
      <c r="A3957"/>
      <c r="B3957"/>
      <c r="D3957"/>
      <c r="E3957"/>
      <c r="F3957"/>
      <c r="H3957"/>
    </row>
    <row r="3958" spans="1:8" ht="15">
      <c r="A3958"/>
      <c r="B3958"/>
      <c r="D3958"/>
      <c r="E3958"/>
      <c r="F3958"/>
      <c r="H3958"/>
    </row>
    <row r="3959" spans="1:8" ht="15">
      <c r="A3959"/>
      <c r="B3959"/>
      <c r="D3959"/>
      <c r="E3959"/>
      <c r="F3959"/>
      <c r="H3959"/>
    </row>
    <row r="3960" spans="1:8" ht="15">
      <c r="A3960"/>
      <c r="B3960"/>
      <c r="D3960"/>
      <c r="E3960"/>
      <c r="F3960"/>
      <c r="H3960"/>
    </row>
    <row r="3961" spans="1:8" ht="15">
      <c r="A3961"/>
      <c r="B3961"/>
      <c r="D3961"/>
      <c r="E3961"/>
      <c r="F3961"/>
      <c r="H3961"/>
    </row>
    <row r="3962" spans="1:8" ht="15">
      <c r="A3962"/>
      <c r="B3962"/>
      <c r="D3962"/>
      <c r="E3962"/>
      <c r="F3962"/>
      <c r="H3962"/>
    </row>
    <row r="3963" spans="1:8" ht="15">
      <c r="A3963"/>
      <c r="B3963"/>
      <c r="D3963"/>
      <c r="E3963"/>
      <c r="F3963"/>
      <c r="H3963"/>
    </row>
    <row r="3964" spans="1:8" ht="15">
      <c r="A3964"/>
      <c r="B3964"/>
      <c r="D3964"/>
      <c r="E3964"/>
      <c r="F3964"/>
      <c r="H3964"/>
    </row>
    <row r="3965" spans="1:8" ht="15">
      <c r="A3965"/>
      <c r="B3965"/>
      <c r="D3965"/>
      <c r="E3965"/>
      <c r="F3965"/>
      <c r="H3965"/>
    </row>
    <row r="3966" spans="1:8" ht="15">
      <c r="A3966"/>
      <c r="B3966"/>
      <c r="D3966"/>
      <c r="E3966"/>
      <c r="F3966"/>
      <c r="H3966"/>
    </row>
    <row r="3967" spans="1:8" ht="15">
      <c r="A3967"/>
      <c r="B3967"/>
      <c r="D3967"/>
      <c r="E3967"/>
      <c r="F3967"/>
      <c r="H3967"/>
    </row>
    <row r="3968" spans="1:8" ht="15">
      <c r="A3968"/>
      <c r="B3968"/>
      <c r="D3968"/>
      <c r="E3968"/>
      <c r="F3968"/>
      <c r="H3968"/>
    </row>
    <row r="3969" spans="1:8" ht="15">
      <c r="A3969"/>
      <c r="B3969"/>
      <c r="D3969"/>
      <c r="E3969"/>
      <c r="F3969"/>
      <c r="H3969"/>
    </row>
    <row r="3970" spans="1:8" ht="15">
      <c r="A3970"/>
      <c r="B3970"/>
      <c r="D3970"/>
      <c r="E3970"/>
      <c r="F3970"/>
      <c r="H3970"/>
    </row>
    <row r="3971" spans="1:8" ht="15">
      <c r="A3971"/>
      <c r="B3971"/>
      <c r="D3971"/>
      <c r="E3971"/>
      <c r="F3971"/>
      <c r="H3971"/>
    </row>
    <row r="3972" spans="1:8" ht="15">
      <c r="A3972"/>
      <c r="B3972"/>
      <c r="D3972"/>
      <c r="E3972"/>
      <c r="F3972"/>
      <c r="H3972"/>
    </row>
    <row r="3973" spans="1:8" ht="15">
      <c r="A3973"/>
      <c r="B3973"/>
      <c r="D3973"/>
      <c r="E3973"/>
      <c r="F3973"/>
      <c r="H3973"/>
    </row>
    <row r="3974" spans="1:8" ht="15">
      <c r="A3974"/>
      <c r="B3974"/>
      <c r="D3974"/>
      <c r="E3974"/>
      <c r="F3974"/>
      <c r="H3974"/>
    </row>
    <row r="3975" spans="1:8" ht="15">
      <c r="A3975"/>
      <c r="B3975"/>
      <c r="D3975"/>
      <c r="E3975"/>
      <c r="F3975"/>
      <c r="H3975"/>
    </row>
    <row r="3976" spans="1:8" ht="15">
      <c r="A3976"/>
      <c r="B3976"/>
      <c r="D3976"/>
      <c r="E3976"/>
      <c r="F3976"/>
      <c r="H3976"/>
    </row>
    <row r="3977" spans="1:8" ht="15">
      <c r="A3977"/>
      <c r="B3977"/>
      <c r="D3977"/>
      <c r="E3977"/>
      <c r="F3977"/>
      <c r="H3977"/>
    </row>
    <row r="3978" spans="1:8" ht="15">
      <c r="A3978"/>
      <c r="B3978"/>
      <c r="D3978"/>
      <c r="E3978"/>
      <c r="F3978"/>
      <c r="H3978"/>
    </row>
    <row r="3979" spans="1:8" ht="15">
      <c r="A3979"/>
      <c r="B3979"/>
      <c r="D3979"/>
      <c r="E3979"/>
      <c r="F3979"/>
      <c r="H3979"/>
    </row>
    <row r="3980" spans="1:8" ht="15">
      <c r="A3980"/>
      <c r="B3980"/>
      <c r="D3980"/>
      <c r="E3980"/>
      <c r="F3980"/>
      <c r="H3980"/>
    </row>
    <row r="3981" spans="1:8" ht="15">
      <c r="A3981"/>
      <c r="B3981"/>
      <c r="D3981"/>
      <c r="E3981"/>
      <c r="F3981"/>
      <c r="H3981"/>
    </row>
    <row r="3982" spans="1:8" ht="15">
      <c r="A3982"/>
      <c r="B3982"/>
      <c r="D3982"/>
      <c r="E3982"/>
      <c r="F3982"/>
      <c r="H3982"/>
    </row>
    <row r="3983" spans="1:8" ht="15">
      <c r="A3983"/>
      <c r="B3983"/>
      <c r="D3983"/>
      <c r="E3983"/>
      <c r="F3983"/>
      <c r="H3983"/>
    </row>
    <row r="3984" spans="1:8" ht="15">
      <c r="A3984"/>
      <c r="B3984"/>
      <c r="D3984"/>
      <c r="E3984"/>
      <c r="F3984"/>
      <c r="H3984"/>
    </row>
    <row r="3985" spans="1:8" ht="15">
      <c r="A3985"/>
      <c r="B3985"/>
      <c r="D3985"/>
      <c r="E3985"/>
      <c r="F3985"/>
      <c r="H3985"/>
    </row>
    <row r="3986" spans="1:8" ht="15">
      <c r="A3986"/>
      <c r="B3986"/>
      <c r="D3986"/>
      <c r="E3986"/>
      <c r="F3986"/>
      <c r="H3986"/>
    </row>
    <row r="3987" spans="1:8" ht="15">
      <c r="A3987"/>
      <c r="B3987"/>
      <c r="D3987"/>
      <c r="E3987"/>
      <c r="F3987"/>
      <c r="H3987"/>
    </row>
    <row r="3988" spans="1:8" ht="15">
      <c r="A3988"/>
      <c r="B3988"/>
      <c r="D3988"/>
      <c r="E3988"/>
      <c r="F3988"/>
      <c r="H3988"/>
    </row>
    <row r="3989" spans="1:8" ht="15">
      <c r="A3989"/>
      <c r="B3989"/>
      <c r="D3989"/>
      <c r="E3989"/>
      <c r="F3989"/>
      <c r="H3989"/>
    </row>
    <row r="3990" spans="1:8" ht="15">
      <c r="A3990"/>
      <c r="B3990"/>
      <c r="D3990"/>
      <c r="E3990"/>
      <c r="F3990"/>
      <c r="H3990"/>
    </row>
    <row r="3991" spans="1:8" ht="15">
      <c r="A3991"/>
      <c r="B3991"/>
      <c r="D3991"/>
      <c r="E3991"/>
      <c r="F3991"/>
      <c r="H3991"/>
    </row>
    <row r="3992" spans="1:8" ht="15">
      <c r="A3992"/>
      <c r="B3992"/>
      <c r="D3992"/>
      <c r="E3992"/>
      <c r="F3992"/>
      <c r="H3992"/>
    </row>
    <row r="3993" spans="1:8" ht="15">
      <c r="A3993"/>
      <c r="B3993"/>
      <c r="D3993"/>
      <c r="E3993"/>
      <c r="F3993"/>
      <c r="H3993"/>
    </row>
    <row r="3994" spans="1:8" ht="15">
      <c r="A3994"/>
      <c r="B3994"/>
      <c r="D3994"/>
      <c r="E3994"/>
      <c r="F3994"/>
      <c r="H3994"/>
    </row>
    <row r="3995" spans="1:8" ht="15">
      <c r="A3995"/>
      <c r="B3995"/>
      <c r="D3995"/>
      <c r="E3995"/>
      <c r="F3995"/>
      <c r="H3995"/>
    </row>
    <row r="3996" spans="1:8" ht="15">
      <c r="A3996"/>
      <c r="B3996"/>
      <c r="D3996"/>
      <c r="E3996"/>
      <c r="F3996"/>
      <c r="H3996"/>
    </row>
    <row r="3997" spans="1:8" ht="15">
      <c r="A3997"/>
      <c r="B3997"/>
      <c r="D3997"/>
      <c r="E3997"/>
      <c r="F3997"/>
      <c r="H3997"/>
    </row>
    <row r="3998" spans="1:8" ht="15">
      <c r="A3998"/>
      <c r="B3998"/>
      <c r="D3998"/>
      <c r="E3998"/>
      <c r="F3998"/>
      <c r="H3998"/>
    </row>
    <row r="3999" spans="1:8" ht="15">
      <c r="A3999"/>
      <c r="B3999"/>
      <c r="D3999"/>
      <c r="E3999"/>
      <c r="F3999"/>
      <c r="H3999"/>
    </row>
    <row r="4000" spans="1:8" ht="15">
      <c r="A4000"/>
      <c r="B4000"/>
      <c r="D4000"/>
      <c r="E4000"/>
      <c r="F4000"/>
      <c r="H4000"/>
    </row>
    <row r="4001" spans="1:8" ht="15">
      <c r="A4001"/>
      <c r="B4001"/>
      <c r="D4001"/>
      <c r="E4001"/>
      <c r="F4001"/>
      <c r="H4001"/>
    </row>
    <row r="4002" spans="1:8" ht="15">
      <c r="A4002"/>
      <c r="B4002"/>
      <c r="D4002"/>
      <c r="E4002"/>
      <c r="F4002"/>
      <c r="H4002"/>
    </row>
    <row r="4003" spans="1:8" ht="15">
      <c r="A4003"/>
      <c r="B4003"/>
      <c r="D4003"/>
      <c r="E4003"/>
      <c r="F4003"/>
      <c r="H4003"/>
    </row>
    <row r="4004" spans="1:8" ht="15">
      <c r="A4004"/>
      <c r="B4004"/>
      <c r="D4004"/>
      <c r="E4004"/>
      <c r="F4004"/>
      <c r="H4004"/>
    </row>
    <row r="4005" spans="1:8" ht="15">
      <c r="A4005"/>
      <c r="B4005"/>
      <c r="D4005"/>
      <c r="E4005"/>
      <c r="F4005"/>
      <c r="H4005"/>
    </row>
    <row r="4006" spans="1:8" ht="15">
      <c r="A4006"/>
      <c r="B4006"/>
      <c r="D4006"/>
      <c r="E4006"/>
      <c r="F4006"/>
      <c r="H4006"/>
    </row>
    <row r="4007" spans="1:8" ht="15">
      <c r="A4007"/>
      <c r="B4007"/>
      <c r="D4007"/>
      <c r="E4007"/>
      <c r="F4007"/>
      <c r="H4007"/>
    </row>
    <row r="4008" spans="1:8" ht="15">
      <c r="A4008"/>
      <c r="B4008"/>
      <c r="D4008"/>
      <c r="E4008"/>
      <c r="F4008"/>
      <c r="H4008"/>
    </row>
    <row r="4009" spans="1:8" ht="15">
      <c r="A4009"/>
      <c r="B4009"/>
      <c r="D4009"/>
      <c r="E4009"/>
      <c r="F4009"/>
      <c r="H4009"/>
    </row>
    <row r="4010" spans="1:8" ht="15">
      <c r="A4010"/>
      <c r="B4010"/>
      <c r="D4010"/>
      <c r="E4010"/>
      <c r="F4010"/>
      <c r="H4010"/>
    </row>
    <row r="4011" spans="1:8" ht="15">
      <c r="A4011"/>
      <c r="B4011"/>
      <c r="D4011"/>
      <c r="E4011"/>
      <c r="F4011"/>
      <c r="H4011"/>
    </row>
    <row r="4012" spans="1:8" ht="15">
      <c r="A4012"/>
      <c r="B4012"/>
      <c r="D4012"/>
      <c r="E4012"/>
      <c r="F4012"/>
      <c r="H4012"/>
    </row>
    <row r="4013" spans="1:8" ht="15">
      <c r="A4013"/>
      <c r="B4013"/>
      <c r="D4013"/>
      <c r="E4013"/>
      <c r="F4013"/>
      <c r="H4013"/>
    </row>
    <row r="4014" spans="1:8" ht="15">
      <c r="A4014"/>
      <c r="B4014"/>
      <c r="D4014"/>
      <c r="E4014"/>
      <c r="F4014"/>
      <c r="H4014"/>
    </row>
    <row r="4015" spans="1:8" ht="15">
      <c r="A4015"/>
      <c r="B4015"/>
      <c r="D4015"/>
      <c r="E4015"/>
      <c r="F4015"/>
      <c r="H4015"/>
    </row>
    <row r="4016" spans="1:8" ht="15">
      <c r="A4016"/>
      <c r="B4016"/>
      <c r="D4016"/>
      <c r="E4016"/>
      <c r="F4016"/>
      <c r="H4016"/>
    </row>
    <row r="4017" spans="1:8" ht="15">
      <c r="A4017"/>
      <c r="B4017"/>
      <c r="D4017"/>
      <c r="E4017"/>
      <c r="F4017"/>
      <c r="H4017"/>
    </row>
    <row r="4018" spans="1:8" ht="15">
      <c r="A4018"/>
      <c r="B4018"/>
      <c r="D4018"/>
      <c r="E4018"/>
      <c r="F4018"/>
      <c r="H4018"/>
    </row>
    <row r="4019" spans="1:8" ht="15">
      <c r="A4019"/>
      <c r="B4019"/>
      <c r="D4019"/>
      <c r="E4019"/>
      <c r="F4019"/>
      <c r="H4019"/>
    </row>
    <row r="4020" spans="1:8" ht="15">
      <c r="A4020"/>
      <c r="B4020"/>
      <c r="D4020"/>
      <c r="E4020"/>
      <c r="F4020"/>
      <c r="H4020"/>
    </row>
    <row r="4021" spans="1:8" ht="15">
      <c r="A4021"/>
      <c r="B4021"/>
      <c r="D4021"/>
      <c r="E4021"/>
      <c r="F4021"/>
      <c r="H4021"/>
    </row>
    <row r="4022" spans="1:8" ht="15">
      <c r="A4022"/>
      <c r="B4022"/>
      <c r="D4022"/>
      <c r="E4022"/>
      <c r="F4022"/>
      <c r="H4022"/>
    </row>
    <row r="4023" spans="1:8" ht="15">
      <c r="A4023"/>
      <c r="B4023"/>
      <c r="D4023"/>
      <c r="E4023"/>
      <c r="F4023"/>
      <c r="H4023"/>
    </row>
    <row r="4024" spans="1:8" ht="15">
      <c r="A4024"/>
      <c r="B4024"/>
      <c r="D4024"/>
      <c r="E4024"/>
      <c r="F4024"/>
      <c r="H4024"/>
    </row>
    <row r="4025" spans="1:8" ht="15">
      <c r="A4025"/>
      <c r="B4025"/>
      <c r="D4025"/>
      <c r="E4025"/>
      <c r="F4025"/>
      <c r="H4025"/>
    </row>
    <row r="4026" spans="1:8" ht="15">
      <c r="A4026"/>
      <c r="B4026"/>
      <c r="D4026"/>
      <c r="E4026"/>
      <c r="F4026"/>
      <c r="H4026"/>
    </row>
    <row r="4027" spans="1:8" ht="15">
      <c r="A4027"/>
      <c r="B4027"/>
      <c r="D4027"/>
      <c r="E4027"/>
      <c r="F4027"/>
      <c r="H4027"/>
    </row>
    <row r="4028" spans="1:8" ht="15">
      <c r="A4028"/>
      <c r="B4028"/>
      <c r="D4028"/>
      <c r="E4028"/>
      <c r="F4028"/>
      <c r="H4028"/>
    </row>
    <row r="4029" spans="1:8" ht="15">
      <c r="A4029"/>
      <c r="B4029"/>
      <c r="D4029"/>
      <c r="E4029"/>
      <c r="F4029"/>
      <c r="H4029"/>
    </row>
    <row r="4030" spans="1:8" ht="15">
      <c r="A4030"/>
      <c r="B4030"/>
      <c r="D4030"/>
      <c r="E4030"/>
      <c r="F4030"/>
      <c r="H4030"/>
    </row>
    <row r="4031" spans="1:8" ht="15">
      <c r="A4031"/>
      <c r="B4031"/>
      <c r="D4031"/>
      <c r="E4031"/>
      <c r="F4031"/>
      <c r="H4031"/>
    </row>
    <row r="4032" spans="1:8" ht="15">
      <c r="A4032"/>
      <c r="B4032"/>
      <c r="D4032"/>
      <c r="E4032"/>
      <c r="F4032"/>
      <c r="H4032"/>
    </row>
    <row r="4033" spans="1:8" ht="15">
      <c r="A4033"/>
      <c r="B4033"/>
      <c r="D4033"/>
      <c r="E4033"/>
      <c r="F4033"/>
      <c r="H4033"/>
    </row>
    <row r="4034" spans="1:8" ht="15">
      <c r="A4034"/>
      <c r="B4034"/>
      <c r="D4034"/>
      <c r="E4034"/>
      <c r="F4034"/>
      <c r="H4034"/>
    </row>
    <row r="4035" spans="1:8" ht="15">
      <c r="A4035"/>
      <c r="B4035"/>
      <c r="D4035"/>
      <c r="E4035"/>
      <c r="F4035"/>
      <c r="H4035"/>
    </row>
    <row r="4036" spans="1:8" ht="15">
      <c r="A4036"/>
      <c r="B4036"/>
      <c r="D4036"/>
      <c r="E4036"/>
      <c r="F4036"/>
      <c r="H4036"/>
    </row>
    <row r="4037" spans="1:8" ht="15">
      <c r="A4037"/>
      <c r="B4037"/>
      <c r="D4037"/>
      <c r="E4037"/>
      <c r="F4037"/>
      <c r="H4037"/>
    </row>
    <row r="4038" spans="1:8" ht="15">
      <c r="A4038"/>
      <c r="B4038"/>
      <c r="D4038"/>
      <c r="E4038"/>
      <c r="F4038"/>
      <c r="H4038"/>
    </row>
    <row r="4039" spans="1:8" ht="15">
      <c r="A4039"/>
      <c r="B4039"/>
      <c r="D4039"/>
      <c r="E4039"/>
      <c r="F4039"/>
      <c r="H4039"/>
    </row>
    <row r="4040" spans="1:8" ht="15">
      <c r="A4040"/>
      <c r="B4040"/>
      <c r="D4040"/>
      <c r="E4040"/>
      <c r="F4040"/>
      <c r="H4040"/>
    </row>
    <row r="4041" spans="1:8" ht="15">
      <c r="A4041"/>
      <c r="B4041"/>
      <c r="D4041"/>
      <c r="E4041"/>
      <c r="F4041"/>
      <c r="H4041"/>
    </row>
    <row r="4042" spans="1:8" ht="15">
      <c r="A4042"/>
      <c r="B4042"/>
      <c r="D4042"/>
      <c r="E4042"/>
      <c r="F4042"/>
      <c r="H4042"/>
    </row>
    <row r="4043" spans="1:8" ht="15">
      <c r="A4043"/>
      <c r="B4043"/>
      <c r="D4043"/>
      <c r="E4043"/>
      <c r="F4043"/>
      <c r="H4043"/>
    </row>
    <row r="4044" spans="1:8" ht="15">
      <c r="A4044"/>
      <c r="B4044"/>
      <c r="D4044"/>
      <c r="E4044"/>
      <c r="F4044"/>
      <c r="H4044"/>
    </row>
    <row r="4045" spans="1:8" ht="15">
      <c r="A4045"/>
      <c r="B4045"/>
      <c r="D4045"/>
      <c r="E4045"/>
      <c r="F4045"/>
      <c r="H4045"/>
    </row>
    <row r="4046" spans="1:8" ht="15">
      <c r="A4046"/>
      <c r="B4046"/>
      <c r="D4046"/>
      <c r="E4046"/>
      <c r="F4046"/>
      <c r="H4046"/>
    </row>
    <row r="4047" spans="1:8" ht="15">
      <c r="A4047"/>
      <c r="B4047"/>
      <c r="D4047"/>
      <c r="E4047"/>
      <c r="F4047"/>
      <c r="H4047"/>
    </row>
    <row r="4048" spans="1:8" ht="15">
      <c r="A4048"/>
      <c r="B4048"/>
      <c r="D4048"/>
      <c r="E4048"/>
      <c r="F4048"/>
      <c r="H4048"/>
    </row>
    <row r="4049" spans="1:8" ht="15">
      <c r="A4049"/>
      <c r="B4049"/>
      <c r="D4049"/>
      <c r="E4049"/>
      <c r="F4049"/>
      <c r="H4049"/>
    </row>
    <row r="4050" spans="1:8" ht="15">
      <c r="A4050"/>
      <c r="B4050"/>
      <c r="D4050"/>
      <c r="E4050"/>
      <c r="F4050"/>
      <c r="H4050"/>
    </row>
    <row r="4051" spans="1:8" ht="15">
      <c r="A4051"/>
      <c r="B4051"/>
      <c r="D4051"/>
      <c r="E4051"/>
      <c r="F4051"/>
      <c r="H4051"/>
    </row>
    <row r="4052" spans="1:8" ht="15">
      <c r="A4052"/>
      <c r="B4052"/>
      <c r="D4052"/>
      <c r="E4052"/>
      <c r="F4052"/>
      <c r="H4052"/>
    </row>
    <row r="4053" spans="1:8" ht="15">
      <c r="A4053"/>
      <c r="B4053"/>
      <c r="D4053"/>
      <c r="E4053"/>
      <c r="F4053"/>
      <c r="H4053"/>
    </row>
    <row r="4054" spans="1:8" ht="15">
      <c r="A4054"/>
      <c r="B4054"/>
      <c r="D4054"/>
      <c r="E4054"/>
      <c r="F4054"/>
      <c r="H4054"/>
    </row>
    <row r="4055" spans="1:8" ht="15">
      <c r="A4055"/>
      <c r="B4055"/>
      <c r="D4055"/>
      <c r="E4055"/>
      <c r="F4055"/>
      <c r="H4055"/>
    </row>
    <row r="4056" spans="1:8" ht="15">
      <c r="A4056"/>
      <c r="B4056"/>
      <c r="D4056"/>
      <c r="E4056"/>
      <c r="F4056"/>
      <c r="H4056"/>
    </row>
    <row r="4057" spans="1:8" ht="15">
      <c r="A4057"/>
      <c r="B4057"/>
      <c r="D4057"/>
      <c r="E4057"/>
      <c r="F4057"/>
      <c r="H4057"/>
    </row>
    <row r="4058" spans="1:8" ht="15">
      <c r="A4058"/>
      <c r="B4058"/>
      <c r="D4058"/>
      <c r="E4058"/>
      <c r="F4058"/>
      <c r="H4058"/>
    </row>
    <row r="4059" spans="1:8" ht="15">
      <c r="A4059"/>
      <c r="B4059"/>
      <c r="D4059"/>
      <c r="E4059"/>
      <c r="F4059"/>
      <c r="H4059"/>
    </row>
    <row r="4060" spans="1:8" ht="15">
      <c r="A4060"/>
      <c r="B4060"/>
      <c r="D4060"/>
      <c r="E4060"/>
      <c r="F4060"/>
      <c r="H4060"/>
    </row>
    <row r="4061" spans="1:8" ht="15">
      <c r="A4061"/>
      <c r="B4061"/>
      <c r="D4061"/>
      <c r="E4061"/>
      <c r="F4061"/>
      <c r="H4061"/>
    </row>
    <row r="4062" spans="1:8" ht="15">
      <c r="A4062"/>
      <c r="B4062"/>
      <c r="D4062"/>
      <c r="E4062"/>
      <c r="F4062"/>
      <c r="H4062"/>
    </row>
    <row r="4063" spans="1:8" ht="15">
      <c r="A4063"/>
      <c r="B4063"/>
      <c r="D4063"/>
      <c r="E4063"/>
      <c r="F4063"/>
      <c r="H4063"/>
    </row>
    <row r="4064" spans="1:8" ht="15">
      <c r="A4064"/>
      <c r="B4064"/>
      <c r="D4064"/>
      <c r="E4064"/>
      <c r="F4064"/>
      <c r="H4064"/>
    </row>
    <row r="4065" spans="1:8" ht="15">
      <c r="A4065"/>
      <c r="B4065"/>
      <c r="D4065"/>
      <c r="E4065"/>
      <c r="F4065"/>
      <c r="H4065"/>
    </row>
    <row r="4066" spans="1:8" ht="15">
      <c r="A4066"/>
      <c r="B4066"/>
      <c r="D4066"/>
      <c r="E4066"/>
      <c r="F4066"/>
      <c r="H4066"/>
    </row>
    <row r="4067" spans="1:8" ht="15">
      <c r="A4067"/>
      <c r="B4067"/>
      <c r="D4067"/>
      <c r="E4067"/>
      <c r="F4067"/>
      <c r="H4067"/>
    </row>
    <row r="4068" spans="1:8" ht="15">
      <c r="A4068"/>
      <c r="B4068"/>
      <c r="D4068"/>
      <c r="E4068"/>
      <c r="F4068"/>
      <c r="H4068"/>
    </row>
    <row r="4069" spans="1:8" ht="15">
      <c r="A4069"/>
      <c r="B4069"/>
      <c r="D4069"/>
      <c r="E4069"/>
      <c r="F4069"/>
      <c r="H4069"/>
    </row>
    <row r="4070" spans="1:8" ht="15">
      <c r="A4070"/>
      <c r="B4070"/>
      <c r="D4070"/>
      <c r="E4070"/>
      <c r="F4070"/>
      <c r="H4070"/>
    </row>
    <row r="4071" spans="1:8" ht="15">
      <c r="A4071"/>
      <c r="B4071"/>
      <c r="D4071"/>
      <c r="E4071"/>
      <c r="F4071"/>
      <c r="H4071"/>
    </row>
    <row r="4072" spans="1:8" ht="15">
      <c r="A4072"/>
      <c r="B4072"/>
      <c r="D4072"/>
      <c r="E4072"/>
      <c r="F4072"/>
      <c r="H4072"/>
    </row>
    <row r="4073" spans="1:8" ht="15">
      <c r="A4073"/>
      <c r="B4073"/>
      <c r="D4073"/>
      <c r="E4073"/>
      <c r="F4073"/>
      <c r="H4073"/>
    </row>
    <row r="4074" spans="1:8" ht="15">
      <c r="A4074"/>
      <c r="B4074"/>
      <c r="D4074"/>
      <c r="E4074"/>
      <c r="F4074"/>
      <c r="H4074"/>
    </row>
    <row r="4075" spans="1:8" ht="15">
      <c r="A4075"/>
      <c r="B4075"/>
      <c r="D4075"/>
      <c r="E4075"/>
      <c r="F4075"/>
      <c r="H4075"/>
    </row>
    <row r="4076" spans="1:8" ht="15">
      <c r="A4076"/>
      <c r="B4076"/>
      <c r="D4076"/>
      <c r="E4076"/>
      <c r="F4076"/>
      <c r="H4076"/>
    </row>
    <row r="4077" spans="1:8" ht="15">
      <c r="A4077"/>
      <c r="B4077"/>
      <c r="D4077"/>
      <c r="E4077"/>
      <c r="F4077"/>
      <c r="H4077"/>
    </row>
    <row r="4078" spans="1:8" ht="15">
      <c r="A4078"/>
      <c r="B4078"/>
      <c r="D4078"/>
      <c r="E4078"/>
      <c r="F4078"/>
      <c r="H4078"/>
    </row>
    <row r="4079" spans="1:8" ht="15">
      <c r="A4079"/>
      <c r="B4079"/>
      <c r="D4079"/>
      <c r="E4079"/>
      <c r="F4079"/>
      <c r="H4079"/>
    </row>
    <row r="4080" spans="1:8" ht="15">
      <c r="A4080"/>
      <c r="B4080"/>
      <c r="D4080"/>
      <c r="E4080"/>
      <c r="F4080"/>
      <c r="H4080"/>
    </row>
    <row r="4081" spans="1:8" ht="15">
      <c r="A4081"/>
      <c r="B4081"/>
      <c r="D4081"/>
      <c r="E4081"/>
      <c r="F4081"/>
      <c r="H4081"/>
    </row>
    <row r="4082" spans="1:8" ht="15">
      <c r="A4082"/>
      <c r="B4082"/>
      <c r="D4082"/>
      <c r="E4082"/>
      <c r="F4082"/>
      <c r="H4082"/>
    </row>
    <row r="4083" spans="1:8" ht="15">
      <c r="A4083"/>
      <c r="B4083"/>
      <c r="D4083"/>
      <c r="E4083"/>
      <c r="F4083"/>
      <c r="H4083"/>
    </row>
    <row r="4084" spans="1:8" ht="15">
      <c r="A4084"/>
      <c r="B4084"/>
      <c r="D4084"/>
      <c r="E4084"/>
      <c r="F4084"/>
      <c r="H4084"/>
    </row>
    <row r="4085" spans="1:8" ht="15">
      <c r="A4085"/>
      <c r="B4085"/>
      <c r="D4085"/>
      <c r="E4085"/>
      <c r="F4085"/>
      <c r="H4085"/>
    </row>
    <row r="4086" spans="1:8" ht="15">
      <c r="A4086"/>
      <c r="B4086"/>
      <c r="D4086"/>
      <c r="E4086"/>
      <c r="F4086"/>
      <c r="H4086"/>
    </row>
    <row r="4087" spans="1:8" ht="15">
      <c r="A4087"/>
      <c r="B4087"/>
      <c r="D4087"/>
      <c r="E4087"/>
      <c r="F4087"/>
      <c r="H4087"/>
    </row>
    <row r="4088" spans="1:8" ht="15">
      <c r="A4088"/>
      <c r="B4088"/>
      <c r="D4088"/>
      <c r="E4088"/>
      <c r="F4088"/>
      <c r="H4088"/>
    </row>
    <row r="4089" spans="1:8" ht="15">
      <c r="A4089"/>
      <c r="B4089"/>
      <c r="D4089"/>
      <c r="E4089"/>
      <c r="F4089"/>
      <c r="H4089"/>
    </row>
    <row r="4090" spans="1:8" ht="15">
      <c r="A4090"/>
      <c r="B4090"/>
      <c r="D4090"/>
      <c r="E4090"/>
      <c r="F4090"/>
      <c r="H4090"/>
    </row>
    <row r="4091" spans="1:8" ht="15">
      <c r="A4091"/>
      <c r="B4091"/>
      <c r="D4091"/>
      <c r="E4091"/>
      <c r="F4091"/>
      <c r="H4091"/>
    </row>
    <row r="4092" spans="1:8" ht="15">
      <c r="A4092"/>
      <c r="B4092"/>
      <c r="D4092"/>
      <c r="E4092"/>
      <c r="F4092"/>
      <c r="H4092"/>
    </row>
    <row r="4093" spans="1:8" ht="15">
      <c r="A4093"/>
      <c r="B4093"/>
      <c r="D4093"/>
      <c r="E4093"/>
      <c r="F4093"/>
      <c r="H4093"/>
    </row>
    <row r="4094" spans="1:8" ht="15">
      <c r="A4094"/>
      <c r="B4094"/>
      <c r="D4094"/>
      <c r="E4094"/>
      <c r="F4094"/>
      <c r="H4094"/>
    </row>
    <row r="4095" spans="1:8" ht="15">
      <c r="A4095"/>
      <c r="B4095"/>
      <c r="D4095"/>
      <c r="E4095"/>
      <c r="F4095"/>
      <c r="H4095"/>
    </row>
    <row r="4096" spans="1:8" ht="15">
      <c r="A4096"/>
      <c r="B4096"/>
      <c r="D4096"/>
      <c r="E4096"/>
      <c r="F4096"/>
      <c r="H4096"/>
    </row>
    <row r="4097" spans="1:8" ht="15">
      <c r="A4097"/>
      <c r="B4097"/>
      <c r="D4097"/>
      <c r="E4097"/>
      <c r="F4097"/>
      <c r="H4097"/>
    </row>
    <row r="4098" spans="1:8" ht="15">
      <c r="A4098"/>
      <c r="B4098"/>
      <c r="D4098"/>
      <c r="E4098"/>
      <c r="F4098"/>
      <c r="H4098"/>
    </row>
    <row r="4099" spans="1:8" ht="15">
      <c r="A4099"/>
      <c r="B4099"/>
      <c r="D4099"/>
      <c r="E4099"/>
      <c r="F4099"/>
      <c r="H4099"/>
    </row>
    <row r="4100" spans="1:8" ht="15">
      <c r="A4100"/>
      <c r="B4100"/>
      <c r="D4100"/>
      <c r="E4100"/>
      <c r="F4100"/>
      <c r="H4100"/>
    </row>
    <row r="4101" spans="1:8" ht="15">
      <c r="A4101"/>
      <c r="B4101"/>
      <c r="D4101"/>
      <c r="E4101"/>
      <c r="F4101"/>
      <c r="H4101"/>
    </row>
    <row r="4102" spans="1:8" ht="15">
      <c r="A4102"/>
      <c r="B4102"/>
      <c r="D4102"/>
      <c r="E4102"/>
      <c r="F4102"/>
      <c r="H4102"/>
    </row>
    <row r="4103" spans="1:8" ht="15">
      <c r="A4103"/>
      <c r="B4103"/>
      <c r="D4103"/>
      <c r="E4103"/>
      <c r="F4103"/>
      <c r="H4103"/>
    </row>
    <row r="4104" spans="1:8" ht="15">
      <c r="A4104"/>
      <c r="B4104"/>
      <c r="D4104"/>
      <c r="E4104"/>
      <c r="F4104"/>
      <c r="H4104"/>
    </row>
    <row r="4105" spans="1:8" ht="15">
      <c r="A4105"/>
      <c r="B4105"/>
      <c r="D4105"/>
      <c r="E4105"/>
      <c r="F4105"/>
      <c r="H4105"/>
    </row>
    <row r="4106" spans="1:8" ht="15">
      <c r="A4106"/>
      <c r="B4106"/>
      <c r="D4106"/>
      <c r="E4106"/>
      <c r="F4106"/>
      <c r="H4106"/>
    </row>
    <row r="4107" spans="1:8" ht="15">
      <c r="A4107"/>
      <c r="B4107"/>
      <c r="D4107"/>
      <c r="E4107"/>
      <c r="F4107"/>
      <c r="H4107"/>
    </row>
    <row r="4108" spans="1:8" ht="15">
      <c r="A4108"/>
      <c r="B4108"/>
      <c r="D4108"/>
      <c r="E4108"/>
      <c r="F4108"/>
      <c r="H4108"/>
    </row>
    <row r="4109" spans="1:8" ht="15">
      <c r="A4109"/>
      <c r="B4109"/>
      <c r="D4109"/>
      <c r="E4109"/>
      <c r="F4109"/>
      <c r="H4109"/>
    </row>
    <row r="4110" spans="1:8" ht="15">
      <c r="A4110"/>
      <c r="B4110"/>
      <c r="D4110"/>
      <c r="E4110"/>
      <c r="F4110"/>
      <c r="H4110"/>
    </row>
    <row r="4111" spans="1:8" ht="15">
      <c r="A4111"/>
      <c r="B4111"/>
      <c r="D4111"/>
      <c r="E4111"/>
      <c r="F4111"/>
      <c r="H4111"/>
    </row>
    <row r="4112" spans="1:8" ht="15">
      <c r="A4112"/>
      <c r="B4112"/>
      <c r="D4112"/>
      <c r="E4112"/>
      <c r="F4112"/>
      <c r="H4112"/>
    </row>
    <row r="4113" spans="1:8" ht="15">
      <c r="A4113"/>
      <c r="B4113"/>
      <c r="D4113"/>
      <c r="E4113"/>
      <c r="F4113"/>
      <c r="H4113"/>
    </row>
    <row r="4114" spans="1:8" ht="15">
      <c r="A4114"/>
      <c r="B4114"/>
      <c r="D4114"/>
      <c r="E4114"/>
      <c r="F4114"/>
      <c r="H4114"/>
    </row>
    <row r="4115" spans="1:8" ht="15">
      <c r="A4115"/>
      <c r="B4115"/>
      <c r="D4115"/>
      <c r="E4115"/>
      <c r="F4115"/>
      <c r="H4115"/>
    </row>
    <row r="4116" spans="1:8" ht="15">
      <c r="A4116"/>
      <c r="B4116"/>
      <c r="D4116"/>
      <c r="E4116"/>
      <c r="F4116"/>
      <c r="H4116"/>
    </row>
    <row r="4117" spans="1:8" ht="15">
      <c r="A4117"/>
      <c r="B4117"/>
      <c r="D4117"/>
      <c r="E4117"/>
      <c r="F4117"/>
      <c r="H4117"/>
    </row>
    <row r="4118" spans="1:8" ht="15">
      <c r="A4118"/>
      <c r="B4118"/>
      <c r="D4118"/>
      <c r="E4118"/>
      <c r="F4118"/>
      <c r="H4118"/>
    </row>
    <row r="4119" spans="1:8" ht="15">
      <c r="A4119"/>
      <c r="B4119"/>
      <c r="D4119"/>
      <c r="E4119"/>
      <c r="F4119"/>
      <c r="H4119"/>
    </row>
    <row r="4120" spans="1:8" ht="15">
      <c r="A4120"/>
      <c r="B4120"/>
      <c r="D4120"/>
      <c r="E4120"/>
      <c r="F4120"/>
      <c r="H4120"/>
    </row>
    <row r="4121" spans="1:8" ht="15">
      <c r="A4121"/>
      <c r="B4121"/>
      <c r="D4121"/>
      <c r="E4121"/>
      <c r="F4121"/>
      <c r="H4121"/>
    </row>
    <row r="4122" spans="1:8" ht="15">
      <c r="A4122"/>
      <c r="B4122"/>
      <c r="D4122"/>
      <c r="E4122"/>
      <c r="F4122"/>
      <c r="H4122"/>
    </row>
    <row r="4123" spans="1:8" ht="15">
      <c r="A4123"/>
      <c r="B4123"/>
      <c r="D4123"/>
      <c r="E4123"/>
      <c r="F4123"/>
      <c r="H4123"/>
    </row>
    <row r="4124" spans="1:8" ht="15">
      <c r="A4124"/>
      <c r="B4124"/>
      <c r="D4124"/>
      <c r="E4124"/>
      <c r="F4124"/>
      <c r="H4124"/>
    </row>
    <row r="4125" spans="1:8" ht="15">
      <c r="A4125"/>
      <c r="B4125"/>
      <c r="D4125"/>
      <c r="E4125"/>
      <c r="F4125"/>
      <c r="H4125"/>
    </row>
    <row r="4126" spans="1:8" ht="15">
      <c r="A4126"/>
      <c r="B4126"/>
      <c r="D4126"/>
      <c r="E4126"/>
      <c r="F4126"/>
      <c r="H4126"/>
    </row>
    <row r="4127" spans="1:8" ht="15">
      <c r="A4127"/>
      <c r="B4127"/>
      <c r="D4127"/>
      <c r="E4127"/>
      <c r="F4127"/>
      <c r="H4127"/>
    </row>
    <row r="4128" spans="1:8" ht="15">
      <c r="A4128"/>
      <c r="B4128"/>
      <c r="D4128"/>
      <c r="E4128"/>
      <c r="F4128"/>
      <c r="H4128"/>
    </row>
    <row r="4129" spans="1:8" ht="15">
      <c r="A4129"/>
      <c r="B4129"/>
      <c r="D4129"/>
      <c r="E4129"/>
      <c r="F4129"/>
      <c r="H4129"/>
    </row>
    <row r="4130" spans="1:8" ht="15">
      <c r="A4130"/>
      <c r="B4130"/>
      <c r="D4130"/>
      <c r="E4130"/>
      <c r="F4130"/>
      <c r="H4130"/>
    </row>
    <row r="4131" spans="1:8" ht="15">
      <c r="A4131"/>
      <c r="B4131"/>
      <c r="D4131"/>
      <c r="E4131"/>
      <c r="F4131"/>
      <c r="H4131"/>
    </row>
    <row r="4132" spans="1:8" ht="15">
      <c r="A4132"/>
      <c r="B4132"/>
      <c r="D4132"/>
      <c r="E4132"/>
      <c r="F4132"/>
      <c r="H4132"/>
    </row>
    <row r="4133" spans="1:8" ht="15">
      <c r="A4133"/>
      <c r="B4133"/>
      <c r="D4133"/>
      <c r="E4133"/>
      <c r="F4133"/>
      <c r="H4133"/>
    </row>
    <row r="4134" spans="1:8" ht="15">
      <c r="A4134"/>
      <c r="B4134"/>
      <c r="D4134"/>
      <c r="E4134"/>
      <c r="F4134"/>
      <c r="H4134"/>
    </row>
    <row r="4135" spans="1:8" ht="15">
      <c r="A4135"/>
      <c r="B4135"/>
      <c r="D4135"/>
      <c r="E4135"/>
      <c r="F4135"/>
      <c r="H4135"/>
    </row>
    <row r="4136" spans="1:8" ht="15">
      <c r="A4136"/>
      <c r="B4136"/>
      <c r="D4136"/>
      <c r="E4136"/>
      <c r="F4136"/>
      <c r="H4136"/>
    </row>
    <row r="4137" spans="1:8" ht="15">
      <c r="A4137"/>
      <c r="B4137"/>
      <c r="D4137"/>
      <c r="E4137"/>
      <c r="F4137"/>
      <c r="H4137"/>
    </row>
    <row r="4138" spans="1:8" ht="15">
      <c r="A4138"/>
      <c r="B4138"/>
      <c r="D4138"/>
      <c r="E4138"/>
      <c r="F4138"/>
      <c r="H4138"/>
    </row>
    <row r="4139" spans="1:8" ht="15">
      <c r="A4139"/>
      <c r="B4139"/>
      <c r="D4139"/>
      <c r="E4139"/>
      <c r="F4139"/>
      <c r="H4139"/>
    </row>
    <row r="4140" spans="1:8" ht="15">
      <c r="A4140"/>
      <c r="B4140"/>
      <c r="D4140"/>
      <c r="E4140"/>
      <c r="F4140"/>
      <c r="H4140"/>
    </row>
    <row r="4141" spans="1:8" ht="15">
      <c r="A4141"/>
      <c r="B4141"/>
      <c r="D4141"/>
      <c r="E4141"/>
      <c r="F4141"/>
      <c r="H4141"/>
    </row>
    <row r="4142" spans="1:8" ht="15">
      <c r="A4142"/>
      <c r="B4142"/>
      <c r="D4142"/>
      <c r="E4142"/>
      <c r="F4142"/>
      <c r="H4142"/>
    </row>
    <row r="4143" spans="1:8" ht="15">
      <c r="A4143"/>
      <c r="B4143"/>
      <c r="D4143"/>
      <c r="E4143"/>
      <c r="F4143"/>
      <c r="H4143"/>
    </row>
    <row r="4144" spans="1:8" ht="15">
      <c r="A4144"/>
      <c r="B4144"/>
      <c r="D4144"/>
      <c r="E4144"/>
      <c r="F4144"/>
      <c r="H4144"/>
    </row>
    <row r="4145" spans="1:8" ht="15">
      <c r="A4145"/>
      <c r="B4145"/>
      <c r="D4145"/>
      <c r="E4145"/>
      <c r="F4145"/>
      <c r="H4145"/>
    </row>
    <row r="4146" spans="1:8" ht="15">
      <c r="A4146"/>
      <c r="B4146"/>
      <c r="D4146"/>
      <c r="E4146"/>
      <c r="F4146"/>
      <c r="H4146"/>
    </row>
    <row r="4147" spans="1:8" ht="15">
      <c r="A4147"/>
      <c r="B4147"/>
      <c r="D4147"/>
      <c r="E4147"/>
      <c r="F4147"/>
      <c r="H4147"/>
    </row>
    <row r="4148" spans="1:8" ht="15">
      <c r="A4148"/>
      <c r="B4148"/>
      <c r="D4148"/>
      <c r="E4148"/>
      <c r="F4148"/>
      <c r="H4148"/>
    </row>
    <row r="4149" spans="1:8" ht="15">
      <c r="A4149"/>
      <c r="B4149"/>
      <c r="D4149"/>
      <c r="E4149"/>
      <c r="F4149"/>
      <c r="H4149"/>
    </row>
    <row r="4150" spans="1:8" ht="15">
      <c r="A4150"/>
      <c r="B4150"/>
      <c r="D4150"/>
      <c r="E4150"/>
      <c r="F4150"/>
      <c r="H4150"/>
    </row>
    <row r="4151" spans="1:8" ht="15">
      <c r="A4151"/>
      <c r="B4151"/>
      <c r="D4151"/>
      <c r="E4151"/>
      <c r="F4151"/>
      <c r="H4151"/>
    </row>
    <row r="4152" spans="1:8" ht="15">
      <c r="A4152"/>
      <c r="B4152"/>
      <c r="D4152"/>
      <c r="E4152"/>
      <c r="F4152"/>
      <c r="H4152"/>
    </row>
    <row r="4153" spans="1:8" ht="15">
      <c r="A4153"/>
      <c r="B4153"/>
      <c r="D4153"/>
      <c r="E4153"/>
      <c r="F4153"/>
      <c r="H4153"/>
    </row>
    <row r="4154" spans="1:8" ht="15">
      <c r="A4154"/>
      <c r="B4154"/>
      <c r="D4154"/>
      <c r="E4154"/>
      <c r="F4154"/>
      <c r="H4154"/>
    </row>
    <row r="4155" spans="1:8" ht="15">
      <c r="A4155"/>
      <c r="B4155"/>
      <c r="D4155"/>
      <c r="E4155"/>
      <c r="F4155"/>
      <c r="H4155"/>
    </row>
    <row r="4156" spans="1:8" ht="15">
      <c r="A4156"/>
      <c r="B4156"/>
      <c r="D4156"/>
      <c r="E4156"/>
      <c r="F4156"/>
      <c r="H4156"/>
    </row>
    <row r="4157" spans="1:8" ht="15">
      <c r="A4157"/>
      <c r="B4157"/>
      <c r="D4157"/>
      <c r="E4157"/>
      <c r="F4157"/>
      <c r="H4157"/>
    </row>
    <row r="4158" spans="1:8" ht="15">
      <c r="A4158"/>
      <c r="B4158"/>
      <c r="D4158"/>
      <c r="E4158"/>
      <c r="F4158"/>
      <c r="H4158"/>
    </row>
    <row r="4159" spans="1:8" ht="15">
      <c r="A4159"/>
      <c r="B4159"/>
      <c r="D4159"/>
      <c r="E4159"/>
      <c r="F4159"/>
      <c r="H4159"/>
    </row>
    <row r="4160" spans="1:8" ht="15">
      <c r="A4160"/>
      <c r="B4160"/>
      <c r="D4160"/>
      <c r="E4160"/>
      <c r="F4160"/>
      <c r="H4160"/>
    </row>
    <row r="4161" spans="1:8" ht="15">
      <c r="A4161"/>
      <c r="B4161"/>
      <c r="D4161"/>
      <c r="E4161"/>
      <c r="F4161"/>
      <c r="H4161"/>
    </row>
    <row r="4162" spans="1:8" ht="15">
      <c r="A4162"/>
      <c r="B4162"/>
      <c r="D4162"/>
      <c r="E4162"/>
      <c r="F4162"/>
      <c r="H4162"/>
    </row>
    <row r="4163" spans="1:8" ht="15">
      <c r="A4163"/>
      <c r="B4163"/>
      <c r="D4163"/>
      <c r="E4163"/>
      <c r="F4163"/>
      <c r="H4163"/>
    </row>
    <row r="4164" spans="1:8" ht="15">
      <c r="A4164"/>
      <c r="B4164"/>
      <c r="D4164"/>
      <c r="E4164"/>
      <c r="F4164"/>
      <c r="H4164"/>
    </row>
    <row r="4165" spans="1:8" ht="15">
      <c r="A4165"/>
      <c r="B4165"/>
      <c r="D4165"/>
      <c r="E4165"/>
      <c r="F4165"/>
      <c r="H4165"/>
    </row>
    <row r="4166" spans="1:8" ht="15">
      <c r="A4166"/>
      <c r="B4166"/>
      <c r="D4166"/>
      <c r="E4166"/>
      <c r="F4166"/>
      <c r="H4166"/>
    </row>
    <row r="4167" spans="1:8" ht="15">
      <c r="A4167"/>
      <c r="B4167"/>
      <c r="D4167"/>
      <c r="E4167"/>
      <c r="F4167"/>
      <c r="H4167"/>
    </row>
    <row r="4168" spans="1:8" ht="15">
      <c r="A4168"/>
      <c r="B4168"/>
      <c r="D4168"/>
      <c r="E4168"/>
      <c r="F4168"/>
      <c r="H4168"/>
    </row>
    <row r="4169" spans="1:8" ht="15">
      <c r="A4169"/>
      <c r="B4169"/>
      <c r="D4169"/>
      <c r="E4169"/>
      <c r="F4169"/>
      <c r="H4169"/>
    </row>
    <row r="4170" spans="1:8" ht="15">
      <c r="A4170"/>
      <c r="B4170"/>
      <c r="D4170"/>
      <c r="E4170"/>
      <c r="F4170"/>
      <c r="H4170"/>
    </row>
    <row r="4171" spans="1:8" ht="15">
      <c r="A4171"/>
      <c r="B4171"/>
      <c r="D4171"/>
      <c r="E4171"/>
      <c r="F4171"/>
      <c r="H4171"/>
    </row>
    <row r="4172" spans="1:8" ht="15">
      <c r="A4172"/>
      <c r="B4172"/>
      <c r="D4172"/>
      <c r="E4172"/>
      <c r="F4172"/>
      <c r="H4172"/>
    </row>
    <row r="4173" spans="1:8" ht="15">
      <c r="A4173"/>
      <c r="B4173"/>
      <c r="D4173"/>
      <c r="E4173"/>
      <c r="F4173"/>
      <c r="H4173"/>
    </row>
    <row r="4174" spans="1:8" ht="15">
      <c r="A4174"/>
      <c r="B4174"/>
      <c r="D4174"/>
      <c r="E4174"/>
      <c r="F4174"/>
      <c r="H4174"/>
    </row>
    <row r="4175" spans="1:8" ht="15">
      <c r="A4175"/>
      <c r="B4175"/>
      <c r="D4175"/>
      <c r="E4175"/>
      <c r="F4175"/>
      <c r="H4175"/>
    </row>
    <row r="4176" spans="1:8" ht="15">
      <c r="A4176"/>
      <c r="B4176"/>
      <c r="D4176"/>
      <c r="E4176"/>
      <c r="F4176"/>
      <c r="H4176"/>
    </row>
    <row r="4177" spans="1:8" ht="15">
      <c r="A4177"/>
      <c r="B4177"/>
      <c r="D4177"/>
      <c r="E4177"/>
      <c r="F4177"/>
      <c r="H4177"/>
    </row>
    <row r="4178" spans="1:8" ht="15">
      <c r="A4178"/>
      <c r="B4178"/>
      <c r="D4178"/>
      <c r="E4178"/>
      <c r="F4178"/>
      <c r="H4178"/>
    </row>
    <row r="4179" spans="1:8" ht="15">
      <c r="A4179"/>
      <c r="B4179"/>
      <c r="D4179"/>
      <c r="E4179"/>
      <c r="F4179"/>
      <c r="H4179"/>
    </row>
    <row r="4180" spans="1:8" ht="15">
      <c r="A4180"/>
      <c r="B4180"/>
      <c r="D4180"/>
      <c r="E4180"/>
      <c r="F4180"/>
      <c r="H4180"/>
    </row>
    <row r="4181" spans="1:8" ht="15">
      <c r="A4181"/>
      <c r="B4181"/>
      <c r="D4181"/>
      <c r="E4181"/>
      <c r="F4181"/>
      <c r="H4181"/>
    </row>
    <row r="4182" spans="1:8" ht="15">
      <c r="A4182"/>
      <c r="B4182"/>
      <c r="D4182"/>
      <c r="E4182"/>
      <c r="F4182"/>
      <c r="H4182"/>
    </row>
    <row r="4183" spans="1:8" ht="15">
      <c r="A4183"/>
      <c r="B4183"/>
      <c r="D4183"/>
      <c r="E4183"/>
      <c r="F4183"/>
      <c r="H4183"/>
    </row>
    <row r="4184" spans="1:8" ht="15">
      <c r="A4184"/>
      <c r="B4184"/>
      <c r="D4184"/>
      <c r="E4184"/>
      <c r="F4184"/>
      <c r="H4184"/>
    </row>
    <row r="4185" spans="1:8" ht="15">
      <c r="A4185"/>
      <c r="B4185"/>
      <c r="D4185"/>
      <c r="E4185"/>
      <c r="F4185"/>
      <c r="H4185"/>
    </row>
    <row r="4186" spans="1:8" ht="15">
      <c r="A4186"/>
      <c r="B4186"/>
      <c r="D4186"/>
      <c r="E4186"/>
      <c r="F4186"/>
      <c r="H4186"/>
    </row>
    <row r="4187" spans="1:8" ht="15">
      <c r="A4187"/>
      <c r="B4187"/>
      <c r="D4187"/>
      <c r="E4187"/>
      <c r="F4187"/>
      <c r="H4187"/>
    </row>
    <row r="4188" spans="1:8" ht="15">
      <c r="A4188"/>
      <c r="B4188"/>
      <c r="D4188"/>
      <c r="E4188"/>
      <c r="F4188"/>
      <c r="H4188"/>
    </row>
    <row r="4189" spans="1:8" ht="15">
      <c r="A4189"/>
      <c r="B4189"/>
      <c r="D4189"/>
      <c r="E4189"/>
      <c r="F4189"/>
      <c r="H4189"/>
    </row>
    <row r="4190" spans="1:8" ht="15">
      <c r="A4190"/>
      <c r="B4190"/>
      <c r="D4190"/>
      <c r="E4190"/>
      <c r="F4190"/>
      <c r="H4190"/>
    </row>
    <row r="4191" spans="1:8" ht="15">
      <c r="A4191"/>
      <c r="B4191"/>
      <c r="D4191"/>
      <c r="E4191"/>
      <c r="F4191"/>
      <c r="H4191"/>
    </row>
    <row r="4192" spans="1:8" ht="15">
      <c r="A4192"/>
      <c r="B4192"/>
      <c r="D4192"/>
      <c r="E4192"/>
      <c r="F4192"/>
      <c r="H4192"/>
    </row>
    <row r="4193" spans="1:8" ht="15">
      <c r="A4193"/>
      <c r="B4193"/>
      <c r="D4193"/>
      <c r="E4193"/>
      <c r="F4193"/>
      <c r="H4193"/>
    </row>
    <row r="4194" spans="1:8" ht="15">
      <c r="A4194"/>
      <c r="B4194"/>
      <c r="D4194"/>
      <c r="E4194"/>
      <c r="F4194"/>
      <c r="H4194"/>
    </row>
    <row r="4195" spans="1:8" ht="15">
      <c r="A4195"/>
      <c r="B4195"/>
      <c r="D4195"/>
      <c r="E4195"/>
      <c r="F4195"/>
      <c r="H4195"/>
    </row>
    <row r="4196" spans="1:8" ht="15">
      <c r="A4196"/>
      <c r="B4196"/>
      <c r="D4196"/>
      <c r="E4196"/>
      <c r="F4196"/>
      <c r="H4196"/>
    </row>
    <row r="4197" spans="1:8" ht="15">
      <c r="A4197"/>
      <c r="B4197"/>
      <c r="D4197"/>
      <c r="E4197"/>
      <c r="F4197"/>
      <c r="H4197"/>
    </row>
    <row r="4198" spans="1:8" ht="15">
      <c r="A4198"/>
      <c r="B4198"/>
      <c r="D4198"/>
      <c r="E4198"/>
      <c r="F4198"/>
      <c r="H4198"/>
    </row>
    <row r="4199" spans="1:8" ht="15">
      <c r="A4199"/>
      <c r="B4199"/>
      <c r="D4199"/>
      <c r="E4199"/>
      <c r="F4199"/>
      <c r="H4199"/>
    </row>
    <row r="4200" spans="1:8" ht="15">
      <c r="A4200"/>
      <c r="B4200"/>
      <c r="D4200"/>
      <c r="E4200"/>
      <c r="F4200"/>
      <c r="H4200"/>
    </row>
    <row r="4201" spans="1:8" ht="15">
      <c r="A4201"/>
      <c r="B4201"/>
      <c r="D4201"/>
      <c r="E4201"/>
      <c r="F4201"/>
      <c r="H4201"/>
    </row>
    <row r="4202" spans="1:8" ht="15">
      <c r="A4202"/>
      <c r="B4202"/>
      <c r="D4202"/>
      <c r="E4202"/>
      <c r="F4202"/>
      <c r="H4202"/>
    </row>
    <row r="4203" spans="1:8" ht="15">
      <c r="A4203"/>
      <c r="B4203"/>
      <c r="D4203"/>
      <c r="E4203"/>
      <c r="F4203"/>
      <c r="H4203"/>
    </row>
    <row r="4204" spans="1:8" ht="15">
      <c r="A4204"/>
      <c r="B4204"/>
      <c r="D4204"/>
      <c r="E4204"/>
      <c r="F4204"/>
      <c r="H4204"/>
    </row>
    <row r="4205" spans="1:8" ht="15">
      <c r="A4205"/>
      <c r="B4205"/>
      <c r="D4205"/>
      <c r="E4205"/>
      <c r="F4205"/>
      <c r="H4205"/>
    </row>
    <row r="4206" spans="1:8" ht="15">
      <c r="A4206"/>
      <c r="B4206"/>
      <c r="D4206"/>
      <c r="E4206"/>
      <c r="F4206"/>
      <c r="H4206"/>
    </row>
    <row r="4207" spans="1:8" ht="15">
      <c r="A4207"/>
      <c r="B4207"/>
      <c r="D4207"/>
      <c r="E4207"/>
      <c r="F4207"/>
      <c r="H4207"/>
    </row>
    <row r="4208" spans="1:8" ht="15">
      <c r="A4208"/>
      <c r="B4208"/>
      <c r="D4208"/>
      <c r="E4208"/>
      <c r="F4208"/>
      <c r="H4208"/>
    </row>
    <row r="4209" spans="1:8" ht="15">
      <c r="A4209"/>
      <c r="B4209"/>
      <c r="D4209"/>
      <c r="E4209"/>
      <c r="F4209"/>
      <c r="H4209"/>
    </row>
    <row r="4210" spans="1:8" ht="15">
      <c r="A4210"/>
      <c r="B4210"/>
      <c r="D4210"/>
      <c r="E4210"/>
      <c r="F4210"/>
      <c r="H4210"/>
    </row>
    <row r="4211" spans="1:8" ht="15">
      <c r="A4211"/>
      <c r="B4211"/>
      <c r="D4211"/>
      <c r="E4211"/>
      <c r="F4211"/>
      <c r="H4211"/>
    </row>
    <row r="4212" spans="1:8" ht="15">
      <c r="A4212"/>
      <c r="B4212"/>
      <c r="D4212"/>
      <c r="E4212"/>
      <c r="F4212"/>
      <c r="H4212"/>
    </row>
    <row r="4213" spans="1:8" ht="15">
      <c r="A4213"/>
      <c r="B4213"/>
      <c r="D4213"/>
      <c r="E4213"/>
      <c r="F4213"/>
      <c r="H4213"/>
    </row>
    <row r="4214" spans="1:8" ht="15">
      <c r="A4214"/>
      <c r="B4214"/>
      <c r="D4214"/>
      <c r="E4214"/>
      <c r="F4214"/>
      <c r="H4214"/>
    </row>
    <row r="4215" spans="1:8" ht="15">
      <c r="A4215"/>
      <c r="B4215"/>
      <c r="D4215"/>
      <c r="E4215"/>
      <c r="F4215"/>
      <c r="H4215"/>
    </row>
    <row r="4216" spans="1:8" ht="15">
      <c r="A4216"/>
      <c r="B4216"/>
      <c r="D4216"/>
      <c r="E4216"/>
      <c r="F4216"/>
      <c r="H4216"/>
    </row>
    <row r="4217" spans="1:8" ht="15">
      <c r="A4217"/>
      <c r="B4217"/>
      <c r="D4217"/>
      <c r="E4217"/>
      <c r="F4217"/>
      <c r="H4217"/>
    </row>
    <row r="4218" spans="1:8" ht="15">
      <c r="A4218"/>
      <c r="B4218"/>
      <c r="D4218"/>
      <c r="E4218"/>
      <c r="F4218"/>
      <c r="H4218"/>
    </row>
    <row r="4219" spans="1:8" ht="15">
      <c r="A4219"/>
      <c r="B4219"/>
      <c r="D4219"/>
      <c r="E4219"/>
      <c r="F4219"/>
      <c r="H4219"/>
    </row>
    <row r="4220" spans="1:8" ht="15">
      <c r="A4220"/>
      <c r="B4220"/>
      <c r="D4220"/>
      <c r="E4220"/>
      <c r="F4220"/>
      <c r="H4220"/>
    </row>
    <row r="4221" spans="1:8" ht="15">
      <c r="A4221"/>
      <c r="B4221"/>
      <c r="D4221"/>
      <c r="E4221"/>
      <c r="F4221"/>
      <c r="H4221"/>
    </row>
    <row r="4222" spans="1:8" ht="15">
      <c r="A4222"/>
      <c r="B4222"/>
      <c r="D4222"/>
      <c r="E4222"/>
      <c r="F4222"/>
      <c r="H4222"/>
    </row>
    <row r="4223" spans="1:8" ht="15">
      <c r="A4223"/>
      <c r="B4223"/>
      <c r="D4223"/>
      <c r="E4223"/>
      <c r="F4223"/>
      <c r="H4223"/>
    </row>
    <row r="4224" spans="1:8" ht="15">
      <c r="A4224"/>
      <c r="B4224"/>
      <c r="D4224"/>
      <c r="E4224"/>
      <c r="F4224"/>
      <c r="H4224"/>
    </row>
    <row r="4225" spans="1:8" ht="15">
      <c r="A4225"/>
      <c r="B4225"/>
      <c r="D4225"/>
      <c r="E4225"/>
      <c r="F4225"/>
      <c r="H4225"/>
    </row>
    <row r="4226" spans="1:8" ht="15">
      <c r="A4226"/>
      <c r="B4226"/>
      <c r="D4226"/>
      <c r="E4226"/>
      <c r="F4226"/>
      <c r="H4226"/>
    </row>
    <row r="4227" spans="1:8" ht="15">
      <c r="A4227"/>
      <c r="B4227"/>
      <c r="D4227"/>
      <c r="E4227"/>
      <c r="F4227"/>
      <c r="H4227"/>
    </row>
    <row r="4228" spans="1:8" ht="15">
      <c r="A4228"/>
      <c r="B4228"/>
      <c r="D4228"/>
      <c r="E4228"/>
      <c r="F4228"/>
      <c r="H4228"/>
    </row>
    <row r="4229" spans="1:8" ht="15">
      <c r="A4229"/>
      <c r="B4229"/>
      <c r="D4229"/>
      <c r="E4229"/>
      <c r="F4229"/>
      <c r="H4229"/>
    </row>
    <row r="4230" spans="1:8" ht="15">
      <c r="A4230"/>
      <c r="B4230"/>
      <c r="D4230"/>
      <c r="E4230"/>
      <c r="F4230"/>
      <c r="H4230"/>
    </row>
    <row r="4231" spans="1:8" ht="15">
      <c r="A4231"/>
      <c r="B4231"/>
      <c r="D4231"/>
      <c r="E4231"/>
      <c r="F4231"/>
      <c r="H4231"/>
    </row>
    <row r="4232" spans="1:8" ht="15">
      <c r="A4232"/>
      <c r="B4232"/>
      <c r="D4232"/>
      <c r="E4232"/>
      <c r="F4232"/>
      <c r="H4232"/>
    </row>
    <row r="4233" spans="1:8" ht="15">
      <c r="A4233"/>
      <c r="B4233"/>
      <c r="D4233"/>
      <c r="E4233"/>
      <c r="F4233"/>
      <c r="H4233"/>
    </row>
    <row r="4234" spans="1:8" ht="15">
      <c r="A4234"/>
      <c r="B4234"/>
      <c r="D4234"/>
      <c r="E4234"/>
      <c r="F4234"/>
      <c r="H4234"/>
    </row>
    <row r="4235" spans="1:8" ht="15">
      <c r="A4235"/>
      <c r="B4235"/>
      <c r="D4235"/>
      <c r="E4235"/>
      <c r="F4235"/>
      <c r="H4235"/>
    </row>
    <row r="4236" spans="1:8" ht="15">
      <c r="A4236"/>
      <c r="B4236"/>
      <c r="D4236"/>
      <c r="E4236"/>
      <c r="F4236"/>
      <c r="H4236"/>
    </row>
    <row r="4237" spans="1:8" ht="15">
      <c r="A4237"/>
      <c r="B4237"/>
      <c r="D4237"/>
      <c r="E4237"/>
      <c r="F4237"/>
      <c r="H4237"/>
    </row>
    <row r="4238" spans="1:8" ht="15">
      <c r="A4238"/>
      <c r="B4238"/>
      <c r="D4238"/>
      <c r="E4238"/>
      <c r="F4238"/>
      <c r="H4238"/>
    </row>
    <row r="4239" spans="1:8" ht="15">
      <c r="A4239"/>
      <c r="B4239"/>
      <c r="D4239"/>
      <c r="E4239"/>
      <c r="F4239"/>
      <c r="H4239"/>
    </row>
    <row r="4240" spans="1:8" ht="15">
      <c r="A4240"/>
      <c r="B4240"/>
      <c r="D4240"/>
      <c r="E4240"/>
      <c r="F4240"/>
      <c r="H4240"/>
    </row>
    <row r="4241" spans="1:8" ht="15">
      <c r="A4241"/>
      <c r="B4241"/>
      <c r="D4241"/>
      <c r="E4241"/>
      <c r="F4241"/>
      <c r="H4241"/>
    </row>
    <row r="4242" spans="1:8" ht="15">
      <c r="A4242"/>
      <c r="B4242"/>
      <c r="D4242"/>
      <c r="E4242"/>
      <c r="F4242"/>
      <c r="H4242"/>
    </row>
    <row r="4243" spans="1:8" ht="15">
      <c r="A4243"/>
      <c r="B4243"/>
      <c r="D4243"/>
      <c r="E4243"/>
      <c r="F4243"/>
      <c r="H4243"/>
    </row>
    <row r="4244" spans="1:8" ht="15">
      <c r="A4244"/>
      <c r="B4244"/>
      <c r="D4244"/>
      <c r="E4244"/>
      <c r="F4244"/>
      <c r="H4244"/>
    </row>
    <row r="4245" spans="1:8" ht="15">
      <c r="A4245"/>
      <c r="B4245"/>
      <c r="D4245"/>
      <c r="E4245"/>
      <c r="F4245"/>
      <c r="H4245"/>
    </row>
    <row r="4246" spans="1:8" ht="15">
      <c r="A4246"/>
      <c r="B4246"/>
      <c r="D4246"/>
      <c r="E4246"/>
      <c r="F4246"/>
      <c r="H4246"/>
    </row>
    <row r="4247" spans="1:8" ht="15">
      <c r="A4247"/>
      <c r="B4247"/>
      <c r="D4247"/>
      <c r="E4247"/>
      <c r="F4247"/>
      <c r="H4247"/>
    </row>
    <row r="4248" spans="1:8" ht="15">
      <c r="A4248"/>
      <c r="B4248"/>
      <c r="D4248"/>
      <c r="E4248"/>
      <c r="F4248"/>
      <c r="H4248"/>
    </row>
    <row r="4249" spans="1:8" ht="15">
      <c r="A4249"/>
      <c r="B4249"/>
      <c r="D4249"/>
      <c r="E4249"/>
      <c r="F4249"/>
      <c r="H4249"/>
    </row>
    <row r="4250" spans="1:8" ht="15">
      <c r="A4250"/>
      <c r="B4250"/>
      <c r="D4250"/>
      <c r="E4250"/>
      <c r="F4250"/>
      <c r="H4250"/>
    </row>
    <row r="4251" spans="1:8" ht="15">
      <c r="A4251"/>
      <c r="B4251"/>
      <c r="D4251"/>
      <c r="E4251"/>
      <c r="F4251"/>
      <c r="H4251"/>
    </row>
    <row r="4252" spans="1:8" ht="15">
      <c r="A4252"/>
      <c r="B4252"/>
      <c r="D4252"/>
      <c r="E4252"/>
      <c r="F4252"/>
      <c r="H4252"/>
    </row>
    <row r="4253" spans="1:8" ht="15">
      <c r="A4253"/>
      <c r="B4253"/>
      <c r="D4253"/>
      <c r="E4253"/>
      <c r="F4253"/>
      <c r="H4253"/>
    </row>
    <row r="4254" spans="1:8" ht="15">
      <c r="A4254"/>
      <c r="B4254"/>
      <c r="D4254"/>
      <c r="E4254"/>
      <c r="F4254"/>
      <c r="H4254"/>
    </row>
    <row r="4255" spans="1:8" ht="15">
      <c r="A4255"/>
      <c r="B4255"/>
      <c r="D4255"/>
      <c r="E4255"/>
      <c r="F4255"/>
      <c r="H4255"/>
    </row>
    <row r="4256" spans="1:8" ht="15">
      <c r="A4256"/>
      <c r="B4256"/>
      <c r="D4256"/>
      <c r="E4256"/>
      <c r="F4256"/>
      <c r="H4256"/>
    </row>
    <row r="4257" spans="1:8" ht="15">
      <c r="A4257"/>
      <c r="B4257"/>
      <c r="D4257"/>
      <c r="E4257"/>
      <c r="F4257"/>
      <c r="H4257"/>
    </row>
    <row r="4258" spans="1:8" ht="15">
      <c r="A4258"/>
      <c r="B4258"/>
      <c r="D4258"/>
      <c r="E4258"/>
      <c r="F4258"/>
      <c r="H4258"/>
    </row>
    <row r="4259" spans="1:8" ht="15">
      <c r="A4259"/>
      <c r="B4259"/>
      <c r="D4259"/>
      <c r="E4259"/>
      <c r="F4259"/>
      <c r="H4259"/>
    </row>
    <row r="4260" spans="1:8" ht="15">
      <c r="A4260"/>
      <c r="B4260"/>
      <c r="D4260"/>
      <c r="E4260"/>
      <c r="F4260"/>
      <c r="H4260"/>
    </row>
    <row r="4261" spans="1:8" ht="15">
      <c r="A4261"/>
      <c r="B4261"/>
      <c r="D4261"/>
      <c r="E4261"/>
      <c r="F4261"/>
      <c r="H4261"/>
    </row>
    <row r="4262" spans="1:8" ht="15">
      <c r="A4262"/>
      <c r="B4262"/>
      <c r="D4262"/>
      <c r="E4262"/>
      <c r="F4262"/>
      <c r="H4262"/>
    </row>
    <row r="4263" spans="1:8" ht="15">
      <c r="A4263"/>
      <c r="B4263"/>
      <c r="D4263"/>
      <c r="E4263"/>
      <c r="F4263"/>
      <c r="H4263"/>
    </row>
    <row r="4264" spans="1:8" ht="15">
      <c r="A4264"/>
      <c r="B4264"/>
      <c r="D4264"/>
      <c r="E4264"/>
      <c r="F4264"/>
      <c r="H4264"/>
    </row>
    <row r="4265" spans="1:8" ht="15">
      <c r="A4265"/>
      <c r="B4265"/>
      <c r="D4265"/>
      <c r="E4265"/>
      <c r="F4265"/>
      <c r="H4265"/>
    </row>
    <row r="4266" spans="1:8" ht="15">
      <c r="A4266"/>
      <c r="B4266"/>
      <c r="D4266"/>
      <c r="E4266"/>
      <c r="F4266"/>
      <c r="H4266"/>
    </row>
    <row r="4267" spans="1:8" ht="15">
      <c r="A4267"/>
      <c r="B4267"/>
      <c r="D4267"/>
      <c r="E4267"/>
      <c r="F4267"/>
      <c r="H4267"/>
    </row>
    <row r="4268" spans="1:8" ht="15">
      <c r="A4268"/>
      <c r="B4268"/>
      <c r="D4268"/>
      <c r="E4268"/>
      <c r="F4268"/>
      <c r="H4268"/>
    </row>
    <row r="4269" spans="1:8" ht="15">
      <c r="A4269"/>
      <c r="B4269"/>
      <c r="D4269"/>
      <c r="E4269"/>
      <c r="F4269"/>
      <c r="H4269"/>
    </row>
    <row r="4270" spans="1:8" ht="15">
      <c r="A4270"/>
      <c r="B4270"/>
      <c r="D4270"/>
      <c r="E4270"/>
      <c r="F4270"/>
      <c r="H4270"/>
    </row>
    <row r="4271" spans="1:8" ht="15">
      <c r="A4271"/>
      <c r="B4271"/>
      <c r="D4271"/>
      <c r="E4271"/>
      <c r="F4271"/>
      <c r="H4271"/>
    </row>
    <row r="4272" spans="1:8" ht="15">
      <c r="A4272"/>
      <c r="B4272"/>
      <c r="D4272"/>
      <c r="E4272"/>
      <c r="F4272"/>
      <c r="H4272"/>
    </row>
    <row r="4273" spans="1:8" ht="15">
      <c r="A4273"/>
      <c r="B4273"/>
      <c r="D4273"/>
      <c r="E4273"/>
      <c r="F4273"/>
      <c r="H4273"/>
    </row>
    <row r="4274" spans="1:8" ht="15">
      <c r="A4274"/>
      <c r="B4274"/>
      <c r="D4274"/>
      <c r="E4274"/>
      <c r="F4274"/>
      <c r="H4274"/>
    </row>
    <row r="4275" spans="1:8" ht="15">
      <c r="A4275"/>
      <c r="B4275"/>
      <c r="D4275"/>
      <c r="E4275"/>
      <c r="F4275"/>
      <c r="H4275"/>
    </row>
    <row r="4276" spans="1:8" ht="15">
      <c r="A4276"/>
      <c r="B4276"/>
      <c r="D4276"/>
      <c r="E4276"/>
      <c r="F4276"/>
      <c r="H4276"/>
    </row>
    <row r="4277" spans="1:8" ht="15">
      <c r="A4277"/>
      <c r="B4277"/>
      <c r="D4277"/>
      <c r="E4277"/>
      <c r="F4277"/>
      <c r="H4277"/>
    </row>
    <row r="4278" spans="1:8" ht="15">
      <c r="A4278"/>
      <c r="B4278"/>
      <c r="D4278"/>
      <c r="E4278"/>
      <c r="F4278"/>
      <c r="H4278"/>
    </row>
    <row r="4279" spans="1:8" ht="15">
      <c r="A4279"/>
      <c r="B4279"/>
      <c r="D4279"/>
      <c r="E4279"/>
      <c r="F4279"/>
      <c r="H4279"/>
    </row>
    <row r="4280" spans="1:8" ht="15">
      <c r="A4280"/>
      <c r="B4280"/>
      <c r="D4280"/>
      <c r="E4280"/>
      <c r="F4280"/>
      <c r="H4280"/>
    </row>
    <row r="4281" spans="1:8" ht="15">
      <c r="A4281"/>
      <c r="B4281"/>
      <c r="D4281"/>
      <c r="E4281"/>
      <c r="F4281"/>
      <c r="H4281"/>
    </row>
    <row r="4282" spans="1:8" ht="15">
      <c r="A4282"/>
      <c r="B4282"/>
      <c r="D4282"/>
      <c r="E4282"/>
      <c r="F4282"/>
      <c r="H4282"/>
    </row>
    <row r="4283" spans="1:8" ht="15">
      <c r="A4283"/>
      <c r="B4283"/>
      <c r="D4283"/>
      <c r="E4283"/>
      <c r="F4283"/>
      <c r="H4283"/>
    </row>
    <row r="4284" spans="1:8" ht="15">
      <c r="A4284"/>
      <c r="B4284"/>
      <c r="D4284"/>
      <c r="E4284"/>
      <c r="F4284"/>
      <c r="H4284"/>
    </row>
    <row r="4285" spans="1:8" ht="15">
      <c r="A4285"/>
      <c r="B4285"/>
      <c r="D4285"/>
      <c r="E4285"/>
      <c r="F4285"/>
      <c r="H4285"/>
    </row>
    <row r="4286" spans="1:8" ht="15">
      <c r="A4286"/>
      <c r="B4286"/>
      <c r="D4286"/>
      <c r="E4286"/>
      <c r="F4286"/>
      <c r="H4286"/>
    </row>
    <row r="4287" spans="1:8" ht="15">
      <c r="A4287"/>
      <c r="B4287"/>
      <c r="D4287"/>
      <c r="E4287"/>
      <c r="F4287"/>
      <c r="H4287"/>
    </row>
    <row r="4288" spans="1:8" ht="15">
      <c r="A4288"/>
      <c r="B4288"/>
      <c r="D4288"/>
      <c r="E4288"/>
      <c r="F4288"/>
      <c r="H4288"/>
    </row>
    <row r="4289" spans="1:8" ht="15">
      <c r="A4289"/>
      <c r="B4289"/>
      <c r="D4289"/>
      <c r="E4289"/>
      <c r="F4289"/>
      <c r="H4289"/>
    </row>
    <row r="4290" spans="1:8" ht="15">
      <c r="A4290"/>
      <c r="B4290"/>
      <c r="D4290"/>
      <c r="E4290"/>
      <c r="F4290"/>
      <c r="H4290"/>
    </row>
    <row r="4291" spans="1:8" ht="15">
      <c r="A4291"/>
      <c r="B4291"/>
      <c r="D4291"/>
      <c r="E4291"/>
      <c r="F4291"/>
      <c r="H4291"/>
    </row>
    <row r="4292" spans="1:8" ht="15">
      <c r="A4292"/>
      <c r="B4292"/>
      <c r="D4292"/>
      <c r="E4292"/>
      <c r="F4292"/>
      <c r="H4292"/>
    </row>
    <row r="4293" spans="1:8" ht="15">
      <c r="A4293"/>
      <c r="B4293"/>
      <c r="D4293"/>
      <c r="E4293"/>
      <c r="F4293"/>
      <c r="H4293"/>
    </row>
    <row r="4294" spans="1:8" ht="15">
      <c r="A4294"/>
      <c r="B4294"/>
      <c r="D4294"/>
      <c r="E4294"/>
      <c r="F4294"/>
      <c r="H4294"/>
    </row>
    <row r="4295" spans="1:8" ht="15">
      <c r="A4295"/>
      <c r="B4295"/>
      <c r="D4295"/>
      <c r="E4295"/>
      <c r="F4295"/>
      <c r="H4295"/>
    </row>
    <row r="4296" spans="1:8" ht="15">
      <c r="A4296"/>
      <c r="B4296"/>
      <c r="D4296"/>
      <c r="E4296"/>
      <c r="F4296"/>
      <c r="H4296"/>
    </row>
    <row r="4297" spans="1:8" ht="15">
      <c r="A4297"/>
      <c r="B4297"/>
      <c r="D4297"/>
      <c r="E4297"/>
      <c r="F4297"/>
      <c r="H4297"/>
    </row>
    <row r="4298" spans="1:8" ht="15">
      <c r="A4298"/>
      <c r="B4298"/>
      <c r="D4298"/>
      <c r="E4298"/>
      <c r="F4298"/>
      <c r="H4298"/>
    </row>
    <row r="4299" spans="1:8" ht="15">
      <c r="A4299"/>
      <c r="B4299"/>
      <c r="D4299"/>
      <c r="E4299"/>
      <c r="F4299"/>
      <c r="H4299"/>
    </row>
    <row r="4300" spans="1:8" ht="15">
      <c r="A4300"/>
      <c r="B4300"/>
      <c r="D4300"/>
      <c r="E4300"/>
      <c r="F4300"/>
      <c r="H4300"/>
    </row>
    <row r="4301" spans="1:8" ht="15">
      <c r="A4301"/>
      <c r="B4301"/>
      <c r="D4301"/>
      <c r="E4301"/>
      <c r="F4301"/>
      <c r="H4301"/>
    </row>
    <row r="4302" spans="1:8" ht="15">
      <c r="A4302"/>
      <c r="B4302"/>
      <c r="D4302"/>
      <c r="E4302"/>
      <c r="F4302"/>
      <c r="H4302"/>
    </row>
    <row r="4303" spans="1:8" ht="15">
      <c r="A4303"/>
      <c r="B4303"/>
      <c r="D4303"/>
      <c r="E4303"/>
      <c r="F4303"/>
      <c r="H4303"/>
    </row>
    <row r="4304" spans="1:8" ht="15">
      <c r="A4304"/>
      <c r="B4304"/>
      <c r="D4304"/>
      <c r="E4304"/>
      <c r="F4304"/>
      <c r="H4304"/>
    </row>
    <row r="4305" spans="1:8" ht="15">
      <c r="A4305"/>
      <c r="B4305"/>
      <c r="D4305"/>
      <c r="E4305"/>
      <c r="F4305"/>
      <c r="H4305"/>
    </row>
    <row r="4306" spans="1:8" ht="15">
      <c r="A4306"/>
      <c r="B4306"/>
      <c r="D4306"/>
      <c r="E4306"/>
      <c r="F4306"/>
      <c r="H4306"/>
    </row>
    <row r="4307" spans="1:8" ht="15">
      <c r="A4307"/>
      <c r="B4307"/>
      <c r="D4307"/>
      <c r="E4307"/>
      <c r="F4307"/>
      <c r="H4307"/>
    </row>
    <row r="4308" spans="1:8" ht="15">
      <c r="A4308"/>
      <c r="B4308"/>
      <c r="D4308"/>
      <c r="E4308"/>
      <c r="F4308"/>
      <c r="H4308"/>
    </row>
    <row r="4309" spans="1:8" ht="15">
      <c r="A4309"/>
      <c r="B4309"/>
      <c r="D4309"/>
      <c r="E4309"/>
      <c r="F4309"/>
      <c r="H4309"/>
    </row>
    <row r="4310" spans="1:8" ht="15">
      <c r="A4310"/>
      <c r="B4310"/>
      <c r="D4310"/>
      <c r="E4310"/>
      <c r="F4310"/>
      <c r="H4310"/>
    </row>
    <row r="4311" spans="1:8" ht="15">
      <c r="A4311"/>
      <c r="B4311"/>
      <c r="D4311"/>
      <c r="E4311"/>
      <c r="F4311"/>
      <c r="H4311"/>
    </row>
    <row r="4312" spans="1:8" ht="15">
      <c r="A4312"/>
      <c r="B4312"/>
      <c r="D4312"/>
      <c r="E4312"/>
      <c r="F4312"/>
      <c r="H4312"/>
    </row>
    <row r="4313" spans="1:8" ht="15">
      <c r="A4313"/>
      <c r="B4313"/>
      <c r="D4313"/>
      <c r="E4313"/>
      <c r="F4313"/>
      <c r="H4313"/>
    </row>
    <row r="4314" spans="1:8" ht="15">
      <c r="A4314"/>
      <c r="B4314"/>
      <c r="D4314"/>
      <c r="E4314"/>
      <c r="F4314"/>
      <c r="H4314"/>
    </row>
    <row r="4315" spans="1:8" ht="15">
      <c r="A4315"/>
      <c r="B4315"/>
      <c r="D4315"/>
      <c r="E4315"/>
      <c r="F4315"/>
      <c r="H4315"/>
    </row>
    <row r="4316" spans="1:8" ht="15">
      <c r="A4316"/>
      <c r="B4316"/>
      <c r="D4316"/>
      <c r="E4316"/>
      <c r="F4316"/>
      <c r="H4316"/>
    </row>
    <row r="4317" spans="1:8" ht="15">
      <c r="A4317"/>
      <c r="B4317"/>
      <c r="D4317"/>
      <c r="E4317"/>
      <c r="F4317"/>
      <c r="H4317"/>
    </row>
    <row r="4318" spans="1:8" ht="15">
      <c r="A4318"/>
      <c r="B4318"/>
      <c r="D4318"/>
      <c r="E4318"/>
      <c r="F4318"/>
      <c r="H4318"/>
    </row>
    <row r="4319" spans="1:8" ht="15">
      <c r="A4319"/>
      <c r="B4319"/>
      <c r="D4319"/>
      <c r="E4319"/>
      <c r="F4319"/>
      <c r="H4319"/>
    </row>
    <row r="4320" spans="1:8" ht="15">
      <c r="A4320"/>
      <c r="B4320"/>
      <c r="D4320"/>
      <c r="E4320"/>
      <c r="F4320"/>
      <c r="H4320"/>
    </row>
    <row r="4321" spans="1:8" ht="15">
      <c r="A4321"/>
      <c r="B4321"/>
      <c r="D4321"/>
      <c r="E4321"/>
      <c r="F4321"/>
      <c r="H4321"/>
    </row>
    <row r="4322" spans="1:8" ht="15">
      <c r="A4322"/>
      <c r="B4322"/>
      <c r="D4322"/>
      <c r="E4322"/>
      <c r="F4322"/>
      <c r="H4322"/>
    </row>
    <row r="4323" spans="1:8" ht="15">
      <c r="A4323"/>
      <c r="B4323"/>
      <c r="D4323"/>
      <c r="E4323"/>
      <c r="F4323"/>
      <c r="H4323"/>
    </row>
    <row r="4324" spans="1:8" ht="15">
      <c r="A4324"/>
      <c r="B4324"/>
      <c r="D4324"/>
      <c r="E4324"/>
      <c r="F4324"/>
      <c r="H4324"/>
    </row>
    <row r="4325" spans="1:8" ht="15">
      <c r="A4325"/>
      <c r="B4325"/>
      <c r="D4325"/>
      <c r="E4325"/>
      <c r="F4325"/>
      <c r="H4325"/>
    </row>
    <row r="4326" spans="1:8" ht="15">
      <c r="A4326"/>
      <c r="B4326"/>
      <c r="D4326"/>
      <c r="E4326"/>
      <c r="F4326"/>
      <c r="H4326"/>
    </row>
    <row r="4327" spans="1:8" ht="15">
      <c r="A4327"/>
      <c r="B4327"/>
      <c r="D4327"/>
      <c r="E4327"/>
      <c r="F4327"/>
      <c r="H4327"/>
    </row>
    <row r="4328" spans="1:8" ht="15">
      <c r="A4328"/>
      <c r="B4328"/>
      <c r="D4328"/>
      <c r="E4328"/>
      <c r="F4328"/>
      <c r="H4328"/>
    </row>
    <row r="4329" spans="1:8" ht="15">
      <c r="A4329"/>
      <c r="B4329"/>
      <c r="D4329"/>
      <c r="E4329"/>
      <c r="F4329"/>
      <c r="H4329"/>
    </row>
    <row r="4330" spans="1:8" ht="15">
      <c r="A4330"/>
      <c r="B4330"/>
      <c r="D4330"/>
      <c r="E4330"/>
      <c r="F4330"/>
      <c r="H4330"/>
    </row>
    <row r="4331" spans="1:8" ht="15">
      <c r="A4331"/>
      <c r="B4331"/>
      <c r="D4331"/>
      <c r="E4331"/>
      <c r="F4331"/>
      <c r="H4331"/>
    </row>
    <row r="4332" spans="1:8" ht="15">
      <c r="A4332"/>
      <c r="B4332"/>
      <c r="D4332"/>
      <c r="E4332"/>
      <c r="F4332"/>
      <c r="H4332"/>
    </row>
    <row r="4333" spans="1:8" ht="15">
      <c r="A4333"/>
      <c r="B4333"/>
      <c r="D4333"/>
      <c r="E4333"/>
      <c r="F4333"/>
      <c r="H4333"/>
    </row>
    <row r="4334" spans="1:8" ht="15">
      <c r="A4334"/>
      <c r="B4334"/>
      <c r="D4334"/>
      <c r="E4334"/>
      <c r="F4334"/>
      <c r="H4334"/>
    </row>
    <row r="4335" spans="1:8" ht="15">
      <c r="A4335"/>
      <c r="B4335"/>
      <c r="D4335"/>
      <c r="E4335"/>
      <c r="F4335"/>
      <c r="H4335"/>
    </row>
    <row r="4336" spans="1:8" ht="15">
      <c r="A4336"/>
      <c r="B4336"/>
      <c r="D4336"/>
      <c r="E4336"/>
      <c r="F4336"/>
      <c r="H4336"/>
    </row>
    <row r="4337" spans="1:8" ht="15">
      <c r="A4337"/>
      <c r="B4337"/>
      <c r="D4337"/>
      <c r="E4337"/>
      <c r="F4337"/>
      <c r="H4337"/>
    </row>
    <row r="4338" spans="1:8" ht="15">
      <c r="A4338"/>
      <c r="B4338"/>
      <c r="D4338"/>
      <c r="E4338"/>
      <c r="F4338"/>
      <c r="H4338"/>
    </row>
    <row r="4339" spans="1:8" ht="15">
      <c r="A4339"/>
      <c r="B4339"/>
      <c r="D4339"/>
      <c r="E4339"/>
      <c r="F4339"/>
      <c r="H4339"/>
    </row>
    <row r="4340" spans="1:8" ht="15">
      <c r="A4340"/>
      <c r="B4340"/>
      <c r="D4340"/>
      <c r="E4340"/>
      <c r="F4340"/>
      <c r="H4340"/>
    </row>
    <row r="4341" spans="1:8" ht="15">
      <c r="A4341"/>
      <c r="B4341"/>
      <c r="D4341"/>
      <c r="E4341"/>
      <c r="F4341"/>
      <c r="H4341"/>
    </row>
    <row r="4342" spans="1:8" ht="15">
      <c r="A4342"/>
      <c r="B4342"/>
      <c r="D4342"/>
      <c r="E4342"/>
      <c r="F4342"/>
      <c r="H4342"/>
    </row>
    <row r="4343" spans="1:8" ht="15">
      <c r="A4343"/>
      <c r="B4343"/>
      <c r="D4343"/>
      <c r="E4343"/>
      <c r="F4343"/>
      <c r="H4343"/>
    </row>
    <row r="4344" spans="1:8" ht="15">
      <c r="A4344"/>
      <c r="B4344"/>
      <c r="D4344"/>
      <c r="E4344"/>
      <c r="F4344"/>
      <c r="H4344"/>
    </row>
    <row r="4345" spans="1:8" ht="15">
      <c r="A4345"/>
      <c r="B4345"/>
      <c r="D4345"/>
      <c r="E4345"/>
      <c r="F4345"/>
      <c r="H4345"/>
    </row>
    <row r="4346" spans="1:8" ht="15">
      <c r="A4346"/>
      <c r="B4346"/>
      <c r="D4346"/>
      <c r="E4346"/>
      <c r="F4346"/>
      <c r="H4346"/>
    </row>
    <row r="4347" spans="1:8" ht="15">
      <c r="A4347"/>
      <c r="B4347"/>
      <c r="D4347"/>
      <c r="E4347"/>
      <c r="F4347"/>
      <c r="H4347"/>
    </row>
    <row r="4348" spans="1:8" ht="15">
      <c r="A4348"/>
      <c r="B4348"/>
      <c r="D4348"/>
      <c r="E4348"/>
      <c r="F4348"/>
      <c r="H4348"/>
    </row>
    <row r="4349" spans="1:8" ht="15">
      <c r="A4349"/>
      <c r="B4349"/>
      <c r="D4349"/>
      <c r="E4349"/>
      <c r="F4349"/>
      <c r="H4349"/>
    </row>
    <row r="4350" spans="1:8" ht="15">
      <c r="A4350"/>
      <c r="B4350"/>
      <c r="D4350"/>
      <c r="E4350"/>
      <c r="F4350"/>
      <c r="H4350"/>
    </row>
    <row r="4351" spans="1:8" ht="15">
      <c r="A4351"/>
      <c r="B4351"/>
      <c r="D4351"/>
      <c r="E4351"/>
      <c r="F4351"/>
      <c r="H4351"/>
    </row>
    <row r="4352" spans="1:8" ht="15">
      <c r="A4352"/>
      <c r="B4352"/>
      <c r="D4352"/>
      <c r="E4352"/>
      <c r="F4352"/>
      <c r="H4352"/>
    </row>
    <row r="4353" spans="1:8" ht="15">
      <c r="A4353"/>
      <c r="B4353"/>
      <c r="D4353"/>
      <c r="E4353"/>
      <c r="F4353"/>
      <c r="H4353"/>
    </row>
    <row r="4354" spans="1:8" ht="15">
      <c r="A4354"/>
      <c r="B4354"/>
      <c r="D4354"/>
      <c r="E4354"/>
      <c r="F4354"/>
      <c r="H4354"/>
    </row>
    <row r="4355" spans="1:8" ht="15">
      <c r="A4355"/>
      <c r="B4355"/>
      <c r="D4355"/>
      <c r="E4355"/>
      <c r="F4355"/>
      <c r="H4355"/>
    </row>
    <row r="4356" spans="1:8" ht="15">
      <c r="A4356"/>
      <c r="B4356"/>
      <c r="D4356"/>
      <c r="E4356"/>
      <c r="F4356"/>
      <c r="H4356"/>
    </row>
    <row r="4357" spans="1:8" ht="15">
      <c r="A4357"/>
      <c r="B4357"/>
      <c r="D4357"/>
      <c r="E4357"/>
      <c r="F4357"/>
      <c r="H4357"/>
    </row>
    <row r="4358" spans="1:8" ht="15">
      <c r="A4358"/>
      <c r="B4358"/>
      <c r="D4358"/>
      <c r="E4358"/>
      <c r="F4358"/>
      <c r="H4358"/>
    </row>
    <row r="4359" spans="1:8" ht="15">
      <c r="A4359"/>
      <c r="B4359"/>
      <c r="D4359"/>
      <c r="E4359"/>
      <c r="F4359"/>
      <c r="H4359"/>
    </row>
    <row r="4360" spans="1:8" ht="15">
      <c r="A4360"/>
      <c r="B4360"/>
      <c r="D4360"/>
      <c r="E4360"/>
      <c r="F4360"/>
      <c r="H4360"/>
    </row>
    <row r="4361" spans="1:8" ht="15">
      <c r="A4361"/>
      <c r="B4361"/>
      <c r="D4361"/>
      <c r="E4361"/>
      <c r="F4361"/>
      <c r="H4361"/>
    </row>
    <row r="4362" spans="1:8" ht="15">
      <c r="A4362"/>
      <c r="B4362"/>
      <c r="D4362"/>
      <c r="E4362"/>
      <c r="F4362"/>
      <c r="H4362"/>
    </row>
    <row r="4363" spans="1:8" ht="15">
      <c r="A4363"/>
      <c r="B4363"/>
      <c r="D4363"/>
      <c r="E4363"/>
      <c r="F4363"/>
      <c r="H4363"/>
    </row>
    <row r="4364" spans="1:8" ht="15">
      <c r="A4364"/>
      <c r="B4364"/>
      <c r="D4364"/>
      <c r="E4364"/>
      <c r="F4364"/>
      <c r="H4364"/>
    </row>
    <row r="4365" spans="1:8" ht="15">
      <c r="A4365"/>
      <c r="B4365"/>
      <c r="D4365"/>
      <c r="E4365"/>
      <c r="F4365"/>
      <c r="H4365"/>
    </row>
    <row r="4366" spans="1:8" ht="15">
      <c r="A4366"/>
      <c r="B4366"/>
      <c r="D4366"/>
      <c r="E4366"/>
      <c r="F4366"/>
      <c r="H4366"/>
    </row>
    <row r="4367" spans="1:8" ht="15">
      <c r="A4367"/>
      <c r="B4367"/>
      <c r="D4367"/>
      <c r="E4367"/>
      <c r="F4367"/>
      <c r="H4367"/>
    </row>
    <row r="4368" spans="1:8" ht="15">
      <c r="A4368"/>
      <c r="B4368"/>
      <c r="D4368"/>
      <c r="E4368"/>
      <c r="F4368"/>
      <c r="H4368"/>
    </row>
    <row r="4369" spans="1:8" ht="15">
      <c r="A4369"/>
      <c r="B4369"/>
      <c r="D4369"/>
      <c r="E4369"/>
      <c r="F4369"/>
      <c r="H4369"/>
    </row>
    <row r="4370" spans="1:8" ht="15">
      <c r="A4370"/>
      <c r="B4370"/>
      <c r="D4370"/>
      <c r="E4370"/>
      <c r="F4370"/>
      <c r="H4370"/>
    </row>
    <row r="4371" spans="1:8" ht="15">
      <c r="A4371"/>
      <c r="B4371"/>
      <c r="D4371"/>
      <c r="E4371"/>
      <c r="F4371"/>
      <c r="H4371"/>
    </row>
    <row r="4372" spans="1:8" ht="15">
      <c r="A4372"/>
      <c r="B4372"/>
      <c r="D4372"/>
      <c r="E4372"/>
      <c r="F4372"/>
      <c r="H4372"/>
    </row>
    <row r="4373" spans="1:8" ht="15">
      <c r="A4373"/>
      <c r="B4373"/>
      <c r="D4373"/>
      <c r="E4373"/>
      <c r="F4373"/>
      <c r="H4373"/>
    </row>
    <row r="4374" spans="1:8" ht="15">
      <c r="A4374"/>
      <c r="B4374"/>
      <c r="D4374"/>
      <c r="E4374"/>
      <c r="F4374"/>
      <c r="H4374"/>
    </row>
    <row r="4375" spans="1:8" ht="15">
      <c r="A4375"/>
      <c r="B4375"/>
      <c r="D4375"/>
      <c r="E4375"/>
      <c r="F4375"/>
      <c r="H4375"/>
    </row>
    <row r="4376" spans="1:8" ht="15">
      <c r="A4376"/>
      <c r="B4376"/>
      <c r="D4376"/>
      <c r="E4376"/>
      <c r="F4376"/>
      <c r="H4376"/>
    </row>
    <row r="4377" spans="1:8" ht="15">
      <c r="A4377"/>
      <c r="B4377"/>
      <c r="D4377"/>
      <c r="E4377"/>
      <c r="F4377"/>
      <c r="H4377"/>
    </row>
    <row r="4378" spans="1:8" ht="15">
      <c r="A4378"/>
      <c r="B4378"/>
      <c r="D4378"/>
      <c r="E4378"/>
      <c r="F4378"/>
      <c r="H4378"/>
    </row>
    <row r="4379" spans="1:8" ht="15">
      <c r="A4379"/>
      <c r="B4379"/>
      <c r="D4379"/>
      <c r="E4379"/>
      <c r="F4379"/>
      <c r="H4379"/>
    </row>
    <row r="4380" spans="1:8" ht="15">
      <c r="A4380"/>
      <c r="B4380"/>
      <c r="D4380"/>
      <c r="E4380"/>
      <c r="F4380"/>
      <c r="H4380"/>
    </row>
    <row r="4381" spans="1:8" ht="15">
      <c r="A4381"/>
      <c r="B4381"/>
      <c r="D4381"/>
      <c r="E4381"/>
      <c r="F4381"/>
      <c r="H4381"/>
    </row>
    <row r="4382" spans="1:8" ht="15">
      <c r="A4382"/>
      <c r="B4382"/>
      <c r="D4382"/>
      <c r="E4382"/>
      <c r="F4382"/>
      <c r="H4382"/>
    </row>
    <row r="4383" spans="1:8" ht="15">
      <c r="A4383"/>
      <c r="B4383"/>
      <c r="D4383"/>
      <c r="E4383"/>
      <c r="F4383"/>
      <c r="H4383"/>
    </row>
    <row r="4384" spans="1:8" ht="15">
      <c r="A4384"/>
      <c r="B4384"/>
      <c r="D4384"/>
      <c r="E4384"/>
      <c r="F4384"/>
      <c r="H4384"/>
    </row>
    <row r="4385" spans="1:8" ht="15">
      <c r="A4385"/>
      <c r="B4385"/>
      <c r="D4385"/>
      <c r="E4385"/>
      <c r="F4385"/>
      <c r="H4385"/>
    </row>
    <row r="4386" spans="1:8" ht="15">
      <c r="A4386"/>
      <c r="B4386"/>
      <c r="D4386"/>
      <c r="E4386"/>
      <c r="F4386"/>
      <c r="H4386"/>
    </row>
    <row r="4387" spans="1:8" ht="15">
      <c r="A4387"/>
      <c r="B4387"/>
      <c r="D4387"/>
      <c r="E4387"/>
      <c r="F4387"/>
      <c r="H4387"/>
    </row>
    <row r="4388" spans="1:8" ht="15">
      <c r="A4388"/>
      <c r="B4388"/>
      <c r="D4388"/>
      <c r="E4388"/>
      <c r="F4388"/>
      <c r="H4388"/>
    </row>
    <row r="4389" spans="1:8" ht="15">
      <c r="A4389"/>
      <c r="B4389"/>
      <c r="D4389"/>
      <c r="E4389"/>
      <c r="F4389"/>
      <c r="H4389"/>
    </row>
    <row r="4390" spans="1:8" ht="15">
      <c r="A4390"/>
      <c r="B4390"/>
      <c r="D4390"/>
      <c r="E4390"/>
      <c r="F4390"/>
      <c r="H4390"/>
    </row>
    <row r="4391" spans="1:8" ht="15">
      <c r="A4391"/>
      <c r="B4391"/>
      <c r="D4391"/>
      <c r="E4391"/>
      <c r="F4391"/>
      <c r="H4391"/>
    </row>
    <row r="4392" spans="1:8" ht="15">
      <c r="A4392"/>
      <c r="B4392"/>
      <c r="D4392"/>
      <c r="E4392"/>
      <c r="F4392"/>
      <c r="H4392"/>
    </row>
    <row r="4393" spans="1:8" ht="15">
      <c r="A4393"/>
      <c r="B4393"/>
      <c r="D4393"/>
      <c r="E4393"/>
      <c r="F4393"/>
      <c r="H4393"/>
    </row>
    <row r="4394" spans="1:8" ht="15">
      <c r="A4394"/>
      <c r="B4394"/>
      <c r="D4394"/>
      <c r="E4394"/>
      <c r="F4394"/>
      <c r="H4394"/>
    </row>
    <row r="4395" spans="1:8" ht="15">
      <c r="A4395"/>
      <c r="B4395"/>
      <c r="D4395"/>
      <c r="E4395"/>
      <c r="F4395"/>
      <c r="H4395"/>
    </row>
    <row r="4396" spans="1:8" ht="15">
      <c r="A4396"/>
      <c r="B4396"/>
      <c r="D4396"/>
      <c r="E4396"/>
      <c r="F4396"/>
      <c r="H4396"/>
    </row>
    <row r="4397" spans="1:8" ht="15">
      <c r="A4397"/>
      <c r="B4397"/>
      <c r="D4397"/>
      <c r="E4397"/>
      <c r="F4397"/>
      <c r="H4397"/>
    </row>
    <row r="4398" spans="1:8" ht="15">
      <c r="A4398"/>
      <c r="B4398"/>
      <c r="D4398"/>
      <c r="E4398"/>
      <c r="F4398"/>
      <c r="H4398"/>
    </row>
    <row r="4399" spans="1:8" ht="15">
      <c r="A4399"/>
      <c r="B4399"/>
      <c r="D4399"/>
      <c r="E4399"/>
      <c r="F4399"/>
      <c r="H4399"/>
    </row>
    <row r="4400" spans="1:8" ht="15">
      <c r="A4400"/>
      <c r="B4400"/>
      <c r="D4400"/>
      <c r="E4400"/>
      <c r="F4400"/>
      <c r="H4400"/>
    </row>
    <row r="4401" spans="1:8" ht="15">
      <c r="A4401"/>
      <c r="B4401"/>
      <c r="D4401"/>
      <c r="E4401"/>
      <c r="F4401"/>
      <c r="H4401"/>
    </row>
    <row r="4402" spans="1:8" ht="15">
      <c r="A4402"/>
      <c r="B4402"/>
      <c r="D4402"/>
      <c r="E4402"/>
      <c r="F4402"/>
      <c r="H4402"/>
    </row>
    <row r="4403" spans="1:8" ht="15">
      <c r="A4403"/>
      <c r="B4403"/>
      <c r="D4403"/>
      <c r="E4403"/>
      <c r="F4403"/>
      <c r="H4403"/>
    </row>
    <row r="4404" spans="1:8" ht="15">
      <c r="A4404"/>
      <c r="B4404"/>
      <c r="D4404"/>
      <c r="E4404"/>
      <c r="F4404"/>
      <c r="H4404"/>
    </row>
    <row r="4405" spans="1:8" ht="15">
      <c r="A4405"/>
      <c r="B4405"/>
      <c r="D4405"/>
      <c r="E4405"/>
      <c r="F4405"/>
      <c r="H4405"/>
    </row>
    <row r="4406" spans="1:8" ht="15">
      <c r="A4406"/>
      <c r="B4406"/>
      <c r="D4406"/>
      <c r="E4406"/>
      <c r="F4406"/>
      <c r="H4406"/>
    </row>
    <row r="4407" spans="1:8" ht="15">
      <c r="A4407"/>
      <c r="B4407"/>
      <c r="D4407"/>
      <c r="E4407"/>
      <c r="F4407"/>
      <c r="H4407"/>
    </row>
    <row r="4408" spans="1:8" ht="15">
      <c r="A4408"/>
      <c r="B4408"/>
      <c r="D4408"/>
      <c r="E4408"/>
      <c r="F4408"/>
      <c r="H4408"/>
    </row>
    <row r="4409" spans="1:8" ht="15">
      <c r="A4409"/>
      <c r="B4409"/>
      <c r="D4409"/>
      <c r="E4409"/>
      <c r="F4409"/>
      <c r="H4409"/>
    </row>
    <row r="4410" spans="1:8" ht="15">
      <c r="A4410"/>
      <c r="B4410"/>
      <c r="D4410"/>
      <c r="E4410"/>
      <c r="F4410"/>
      <c r="H4410"/>
    </row>
    <row r="4411" spans="1:8" ht="15">
      <c r="A4411"/>
      <c r="B4411"/>
      <c r="D4411"/>
      <c r="E4411"/>
      <c r="F4411"/>
      <c r="H4411"/>
    </row>
    <row r="4412" spans="1:8" ht="15">
      <c r="A4412"/>
      <c r="B4412"/>
      <c r="D4412"/>
      <c r="E4412"/>
      <c r="F4412"/>
      <c r="H4412"/>
    </row>
    <row r="4413" spans="1:8" ht="15">
      <c r="A4413"/>
      <c r="B4413"/>
      <c r="D4413"/>
      <c r="E4413"/>
      <c r="F4413"/>
      <c r="H4413"/>
    </row>
    <row r="4414" spans="1:8" ht="15">
      <c r="A4414"/>
      <c r="B4414"/>
      <c r="D4414"/>
      <c r="E4414"/>
      <c r="F4414"/>
      <c r="H4414"/>
    </row>
    <row r="4415" spans="1:8" ht="15">
      <c r="A4415"/>
      <c r="B4415"/>
      <c r="D4415"/>
      <c r="E4415"/>
      <c r="F4415"/>
      <c r="H4415"/>
    </row>
    <row r="4416" spans="1:8" ht="15">
      <c r="A4416"/>
      <c r="B4416"/>
      <c r="D4416"/>
      <c r="E4416"/>
      <c r="F4416"/>
      <c r="H4416"/>
    </row>
    <row r="4417" spans="1:8" ht="15">
      <c r="A4417"/>
      <c r="B4417"/>
      <c r="D4417"/>
      <c r="E4417"/>
      <c r="F4417"/>
      <c r="H4417"/>
    </row>
    <row r="4418" spans="1:8" ht="15">
      <c r="A4418"/>
      <c r="B4418"/>
      <c r="D4418"/>
      <c r="E4418"/>
      <c r="F4418"/>
      <c r="H4418"/>
    </row>
    <row r="4419" spans="1:8" ht="15">
      <c r="A4419"/>
      <c r="B4419"/>
      <c r="D4419"/>
      <c r="E4419"/>
      <c r="F4419"/>
      <c r="H4419"/>
    </row>
    <row r="4420" spans="1:8" ht="15">
      <c r="A4420"/>
      <c r="B4420"/>
      <c r="D4420"/>
      <c r="E4420"/>
      <c r="F4420"/>
      <c r="H4420"/>
    </row>
    <row r="4421" spans="1:8" ht="15">
      <c r="A4421"/>
      <c r="B4421"/>
      <c r="D4421"/>
      <c r="E4421"/>
      <c r="F4421"/>
      <c r="H4421"/>
    </row>
    <row r="4422" spans="1:8" ht="15">
      <c r="A4422"/>
      <c r="B4422"/>
      <c r="D4422"/>
      <c r="E4422"/>
      <c r="F4422"/>
      <c r="H4422"/>
    </row>
    <row r="4423" spans="1:8" ht="15">
      <c r="A4423"/>
      <c r="B4423"/>
      <c r="D4423"/>
      <c r="E4423"/>
      <c r="F4423"/>
      <c r="H4423"/>
    </row>
    <row r="4424" spans="1:8" ht="15">
      <c r="A4424"/>
      <c r="B4424"/>
      <c r="D4424"/>
      <c r="E4424"/>
      <c r="F4424"/>
      <c r="H4424"/>
    </row>
    <row r="4425" spans="1:8" ht="15">
      <c r="A4425"/>
      <c r="B4425"/>
      <c r="D4425"/>
      <c r="E4425"/>
      <c r="F4425"/>
      <c r="H4425"/>
    </row>
    <row r="4426" spans="1:8" ht="15">
      <c r="A4426"/>
      <c r="B4426"/>
      <c r="D4426"/>
      <c r="E4426"/>
      <c r="F4426"/>
      <c r="H4426"/>
    </row>
    <row r="4427" spans="1:8" ht="15">
      <c r="A4427"/>
      <c r="B4427"/>
      <c r="D4427"/>
      <c r="E4427"/>
      <c r="F4427"/>
      <c r="H4427"/>
    </row>
    <row r="4428" spans="1:8" ht="15">
      <c r="A4428"/>
      <c r="B4428"/>
      <c r="D4428"/>
      <c r="E4428"/>
      <c r="F4428"/>
      <c r="H4428"/>
    </row>
    <row r="4429" spans="1:8" ht="15">
      <c r="A4429"/>
      <c r="B4429"/>
      <c r="D4429"/>
      <c r="E4429"/>
      <c r="F4429"/>
      <c r="H4429"/>
    </row>
    <row r="4430" spans="1:8" ht="15">
      <c r="A4430"/>
      <c r="B4430"/>
      <c r="D4430"/>
      <c r="E4430"/>
      <c r="F4430"/>
      <c r="H4430"/>
    </row>
    <row r="4431" spans="1:8" ht="15">
      <c r="A4431"/>
      <c r="B4431"/>
      <c r="D4431"/>
      <c r="E4431"/>
      <c r="F4431"/>
      <c r="H4431"/>
    </row>
    <row r="4432" spans="1:8" ht="15">
      <c r="A4432"/>
      <c r="B4432"/>
      <c r="D4432"/>
      <c r="E4432"/>
      <c r="F4432"/>
      <c r="H4432"/>
    </row>
    <row r="4433" spans="1:8" ht="15">
      <c r="A4433"/>
      <c r="B4433"/>
      <c r="D4433"/>
      <c r="E4433"/>
      <c r="F4433"/>
      <c r="H4433"/>
    </row>
    <row r="4434" spans="1:8" ht="15">
      <c r="A4434"/>
      <c r="B4434"/>
      <c r="D4434"/>
      <c r="E4434"/>
      <c r="F4434"/>
      <c r="H4434"/>
    </row>
    <row r="4435" spans="1:8" ht="15">
      <c r="A4435"/>
      <c r="B4435"/>
      <c r="D4435"/>
      <c r="E4435"/>
      <c r="F4435"/>
      <c r="H4435"/>
    </row>
    <row r="4436" spans="1:8" ht="15">
      <c r="A4436"/>
      <c r="B4436"/>
      <c r="D4436"/>
      <c r="E4436"/>
      <c r="F4436"/>
      <c r="H4436"/>
    </row>
    <row r="4437" spans="1:8" ht="15">
      <c r="A4437"/>
      <c r="B4437"/>
      <c r="D4437"/>
      <c r="E4437"/>
      <c r="F4437"/>
      <c r="H4437"/>
    </row>
    <row r="4438" spans="1:8" ht="15">
      <c r="A4438"/>
      <c r="B4438"/>
      <c r="D4438"/>
      <c r="E4438"/>
      <c r="F4438"/>
      <c r="H4438"/>
    </row>
    <row r="4439" spans="1:8" ht="15">
      <c r="A4439"/>
      <c r="B4439"/>
      <c r="D4439"/>
      <c r="E4439"/>
      <c r="F4439"/>
      <c r="H4439"/>
    </row>
    <row r="4440" spans="1:8" ht="15">
      <c r="A4440"/>
      <c r="B4440"/>
      <c r="D4440"/>
      <c r="E4440"/>
      <c r="F4440"/>
      <c r="H4440"/>
    </row>
    <row r="4441" spans="1:8" ht="15">
      <c r="A4441"/>
      <c r="B4441"/>
      <c r="D4441"/>
      <c r="E4441"/>
      <c r="F4441"/>
      <c r="H4441"/>
    </row>
    <row r="4442" spans="1:8" ht="15">
      <c r="A4442"/>
      <c r="B4442"/>
      <c r="D4442"/>
      <c r="E4442"/>
      <c r="F4442"/>
      <c r="H4442"/>
    </row>
    <row r="4443" spans="1:8" ht="15">
      <c r="A4443"/>
      <c r="B4443"/>
      <c r="D4443"/>
      <c r="E4443"/>
      <c r="F4443"/>
      <c r="H4443"/>
    </row>
    <row r="4444" spans="1:8" ht="15">
      <c r="A4444"/>
      <c r="B4444"/>
      <c r="D4444"/>
      <c r="E4444"/>
      <c r="F4444"/>
      <c r="H4444"/>
    </row>
    <row r="4445" spans="1:8" ht="15">
      <c r="A4445"/>
      <c r="B4445"/>
      <c r="D4445"/>
      <c r="E4445"/>
      <c r="F4445"/>
      <c r="H4445"/>
    </row>
    <row r="4446" spans="1:8" ht="15">
      <c r="A4446"/>
      <c r="B4446"/>
      <c r="D4446"/>
      <c r="E4446"/>
      <c r="F4446"/>
      <c r="H4446"/>
    </row>
    <row r="4447" spans="1:8" ht="15">
      <c r="A4447"/>
      <c r="B4447"/>
      <c r="D4447"/>
      <c r="E4447"/>
      <c r="F4447"/>
      <c r="H4447"/>
    </row>
    <row r="4448" spans="1:8" ht="15">
      <c r="A4448"/>
      <c r="B4448"/>
      <c r="D4448"/>
      <c r="E4448"/>
      <c r="F4448"/>
      <c r="H4448"/>
    </row>
    <row r="4449" spans="1:8" ht="15">
      <c r="A4449"/>
      <c r="B4449"/>
      <c r="D4449"/>
      <c r="E4449"/>
      <c r="F4449"/>
      <c r="H4449"/>
    </row>
    <row r="4450" spans="1:8" ht="15">
      <c r="A4450"/>
      <c r="B4450"/>
      <c r="D4450"/>
      <c r="E4450"/>
      <c r="F4450"/>
      <c r="H4450"/>
    </row>
    <row r="4451" spans="1:8" ht="15">
      <c r="A4451"/>
      <c r="B4451"/>
      <c r="D4451"/>
      <c r="E4451"/>
      <c r="F4451"/>
      <c r="H4451"/>
    </row>
    <row r="4452" spans="1:8" ht="15">
      <c r="A4452"/>
      <c r="B4452"/>
      <c r="D4452"/>
      <c r="E4452"/>
      <c r="F4452"/>
      <c r="H4452"/>
    </row>
    <row r="4453" spans="1:8" ht="15">
      <c r="A4453"/>
      <c r="B4453"/>
      <c r="D4453"/>
      <c r="E4453"/>
      <c r="F4453"/>
      <c r="H4453"/>
    </row>
    <row r="4454" spans="1:8" ht="15">
      <c r="A4454"/>
      <c r="B4454"/>
      <c r="D4454"/>
      <c r="E4454"/>
      <c r="F4454"/>
      <c r="H4454"/>
    </row>
    <row r="4455" spans="1:8" ht="15">
      <c r="A4455"/>
      <c r="B4455"/>
      <c r="D4455"/>
      <c r="E4455"/>
      <c r="F4455"/>
      <c r="H4455"/>
    </row>
    <row r="4456" spans="1:8" ht="15">
      <c r="A4456"/>
      <c r="B4456"/>
      <c r="D4456"/>
      <c r="E4456"/>
      <c r="F4456"/>
      <c r="H4456"/>
    </row>
    <row r="4457" spans="1:8" ht="15">
      <c r="A4457"/>
      <c r="B4457"/>
      <c r="D4457"/>
      <c r="E4457"/>
      <c r="F4457"/>
      <c r="H4457"/>
    </row>
    <row r="4458" spans="1:8" ht="15">
      <c r="A4458"/>
      <c r="B4458"/>
      <c r="D4458"/>
      <c r="E4458"/>
      <c r="F4458"/>
      <c r="H4458"/>
    </row>
    <row r="4459" spans="1:8" ht="15">
      <c r="A4459"/>
      <c r="B4459"/>
      <c r="D4459"/>
      <c r="E4459"/>
      <c r="F4459"/>
      <c r="H4459"/>
    </row>
    <row r="4460" spans="1:8" ht="15">
      <c r="A4460"/>
      <c r="B4460"/>
      <c r="D4460"/>
      <c r="E4460"/>
      <c r="F4460"/>
      <c r="H4460"/>
    </row>
    <row r="4461" spans="1:8" ht="15">
      <c r="A4461"/>
      <c r="B4461"/>
      <c r="D4461"/>
      <c r="E4461"/>
      <c r="F4461"/>
      <c r="H4461"/>
    </row>
    <row r="4462" spans="1:8" ht="15">
      <c r="A4462"/>
      <c r="B4462"/>
      <c r="D4462"/>
      <c r="E4462"/>
      <c r="F4462"/>
      <c r="H4462"/>
    </row>
    <row r="4463" spans="1:8" ht="15">
      <c r="A4463"/>
      <c r="B4463"/>
      <c r="D4463"/>
      <c r="E4463"/>
      <c r="F4463"/>
      <c r="H4463"/>
    </row>
    <row r="4464" spans="1:8" ht="15">
      <c r="A4464"/>
      <c r="B4464"/>
      <c r="D4464"/>
      <c r="E4464"/>
      <c r="F4464"/>
      <c r="H4464"/>
    </row>
    <row r="4465" spans="1:8" ht="15">
      <c r="A4465"/>
      <c r="B4465"/>
      <c r="D4465"/>
      <c r="E4465"/>
      <c r="F4465"/>
      <c r="H4465"/>
    </row>
    <row r="4466" spans="1:8" ht="15">
      <c r="A4466"/>
      <c r="B4466"/>
      <c r="D4466"/>
      <c r="E4466"/>
      <c r="F4466"/>
      <c r="H4466"/>
    </row>
    <row r="4467" spans="1:8" ht="15">
      <c r="A4467"/>
      <c r="B4467"/>
      <c r="D4467"/>
      <c r="E4467"/>
      <c r="F4467"/>
      <c r="H4467"/>
    </row>
    <row r="4468" spans="1:8" ht="15">
      <c r="A4468"/>
      <c r="B4468"/>
      <c r="D4468"/>
      <c r="E4468"/>
      <c r="F4468"/>
      <c r="H4468"/>
    </row>
    <row r="4469" spans="1:8" ht="15">
      <c r="A4469"/>
      <c r="B4469"/>
      <c r="D4469"/>
      <c r="E4469"/>
      <c r="F4469"/>
      <c r="H4469"/>
    </row>
    <row r="4470" spans="1:8" ht="15">
      <c r="A4470"/>
      <c r="B4470"/>
      <c r="D4470"/>
      <c r="E4470"/>
      <c r="F4470"/>
      <c r="H4470"/>
    </row>
    <row r="4471" spans="1:8" ht="15">
      <c r="A4471"/>
      <c r="B4471"/>
      <c r="D4471"/>
      <c r="E4471"/>
      <c r="F4471"/>
      <c r="H4471"/>
    </row>
    <row r="4472" spans="1:8" ht="15">
      <c r="A4472"/>
      <c r="B4472"/>
      <c r="D4472"/>
      <c r="E4472"/>
      <c r="F4472"/>
      <c r="H4472"/>
    </row>
    <row r="4473" spans="1:8" ht="15">
      <c r="A4473"/>
      <c r="B4473"/>
      <c r="D4473"/>
      <c r="E4473"/>
      <c r="F4473"/>
      <c r="H4473"/>
    </row>
    <row r="4474" spans="1:8" ht="15">
      <c r="A4474"/>
      <c r="B4474"/>
      <c r="D4474"/>
      <c r="E4474"/>
      <c r="F4474"/>
      <c r="H4474"/>
    </row>
    <row r="4475" spans="1:8" ht="15">
      <c r="A4475"/>
      <c r="B4475"/>
      <c r="D4475"/>
      <c r="E4475"/>
      <c r="F4475"/>
      <c r="H4475"/>
    </row>
    <row r="4476" spans="1:8" ht="15">
      <c r="A4476"/>
      <c r="B4476"/>
      <c r="D4476"/>
      <c r="E4476"/>
      <c r="F4476"/>
      <c r="H4476"/>
    </row>
    <row r="4477" spans="1:8" ht="15">
      <c r="A4477"/>
      <c r="B4477"/>
      <c r="D4477"/>
      <c r="E4477"/>
      <c r="F4477"/>
      <c r="H4477"/>
    </row>
    <row r="4478" spans="1:8" ht="15">
      <c r="A4478"/>
      <c r="B4478"/>
      <c r="D4478"/>
      <c r="E4478"/>
      <c r="F4478"/>
      <c r="H4478"/>
    </row>
    <row r="4479" spans="1:8" ht="15">
      <c r="A4479"/>
      <c r="B4479"/>
      <c r="D4479"/>
      <c r="E4479"/>
      <c r="F4479"/>
      <c r="H4479"/>
    </row>
    <row r="4480" spans="1:8" ht="15">
      <c r="A4480"/>
      <c r="B4480"/>
      <c r="D4480"/>
      <c r="E4480"/>
      <c r="F4480"/>
      <c r="H4480"/>
    </row>
    <row r="4481" spans="1:8" ht="15">
      <c r="A4481"/>
      <c r="B4481"/>
      <c r="D4481"/>
      <c r="E4481"/>
      <c r="F4481"/>
      <c r="H4481"/>
    </row>
    <row r="4482" spans="1:8" ht="15">
      <c r="A4482"/>
      <c r="B4482"/>
      <c r="D4482"/>
      <c r="E4482"/>
      <c r="F4482"/>
      <c r="H4482"/>
    </row>
    <row r="4483" spans="1:8" ht="15">
      <c r="A4483"/>
      <c r="B4483"/>
      <c r="D4483"/>
      <c r="E4483"/>
      <c r="F4483"/>
      <c r="H4483"/>
    </row>
    <row r="4484" spans="1:8" ht="15">
      <c r="A4484"/>
      <c r="B4484"/>
      <c r="D4484"/>
      <c r="E4484"/>
      <c r="F4484"/>
      <c r="H4484"/>
    </row>
    <row r="4485" spans="1:8" ht="15">
      <c r="A4485"/>
      <c r="B4485"/>
      <c r="D4485"/>
      <c r="E4485"/>
      <c r="F4485"/>
      <c r="H4485"/>
    </row>
    <row r="4486" spans="1:8" ht="15">
      <c r="A4486"/>
      <c r="B4486"/>
      <c r="D4486"/>
      <c r="E4486"/>
      <c r="F4486"/>
      <c r="H4486"/>
    </row>
    <row r="4487" spans="1:8" ht="15">
      <c r="A4487"/>
      <c r="B4487"/>
      <c r="D4487"/>
      <c r="E4487"/>
      <c r="F4487"/>
      <c r="H4487"/>
    </row>
    <row r="4488" spans="1:8" ht="15">
      <c r="A4488"/>
      <c r="B4488"/>
      <c r="D4488"/>
      <c r="E4488"/>
      <c r="F4488"/>
      <c r="H4488"/>
    </row>
    <row r="4489" spans="1:8" ht="15">
      <c r="A4489"/>
      <c r="B4489"/>
      <c r="D4489"/>
      <c r="E4489"/>
      <c r="F4489"/>
      <c r="H4489"/>
    </row>
    <row r="4490" spans="1:8" ht="15">
      <c r="A4490"/>
      <c r="B4490"/>
      <c r="D4490"/>
      <c r="E4490"/>
      <c r="F4490"/>
      <c r="H4490"/>
    </row>
    <row r="4491" spans="1:8" ht="15">
      <c r="A4491"/>
      <c r="B4491"/>
      <c r="D4491"/>
      <c r="E4491"/>
      <c r="F4491"/>
      <c r="H4491"/>
    </row>
    <row r="4492" spans="1:8" ht="15">
      <c r="A4492"/>
      <c r="B4492"/>
      <c r="D4492"/>
      <c r="E4492"/>
      <c r="F4492"/>
      <c r="H4492"/>
    </row>
    <row r="4493" spans="1:8" ht="15">
      <c r="A4493"/>
      <c r="B4493"/>
      <c r="D4493"/>
      <c r="E4493"/>
      <c r="F4493"/>
      <c r="H4493"/>
    </row>
    <row r="4494" spans="1:8" ht="15">
      <c r="A4494"/>
      <c r="B4494"/>
      <c r="D4494"/>
      <c r="E4494"/>
      <c r="F4494"/>
      <c r="H4494"/>
    </row>
    <row r="4495" spans="1:8" ht="15">
      <c r="A4495"/>
      <c r="B4495"/>
      <c r="D4495"/>
      <c r="E4495"/>
      <c r="F4495"/>
      <c r="H4495"/>
    </row>
    <row r="4496" spans="1:8" ht="15">
      <c r="A4496"/>
      <c r="B4496"/>
      <c r="D4496"/>
      <c r="E4496"/>
      <c r="F4496"/>
      <c r="H4496"/>
    </row>
    <row r="4497" spans="1:8" ht="15">
      <c r="A4497"/>
      <c r="B4497"/>
      <c r="D4497"/>
      <c r="E4497"/>
      <c r="F4497"/>
      <c r="H4497"/>
    </row>
    <row r="4498" spans="1:8" ht="15">
      <c r="A4498"/>
      <c r="B4498"/>
      <c r="D4498"/>
      <c r="E4498"/>
      <c r="F4498"/>
      <c r="H4498"/>
    </row>
    <row r="4499" spans="1:8" ht="15">
      <c r="A4499"/>
      <c r="B4499"/>
      <c r="D4499"/>
      <c r="E4499"/>
      <c r="F4499"/>
      <c r="H4499"/>
    </row>
    <row r="4500" spans="1:8" ht="15">
      <c r="A4500"/>
      <c r="B4500"/>
      <c r="D4500"/>
      <c r="E4500"/>
      <c r="F4500"/>
      <c r="H4500"/>
    </row>
    <row r="4501" spans="1:8" ht="15">
      <c r="A4501"/>
      <c r="B4501"/>
      <c r="D4501"/>
      <c r="E4501"/>
      <c r="F4501"/>
      <c r="H4501"/>
    </row>
    <row r="4502" spans="1:8" ht="15">
      <c r="A4502"/>
      <c r="B4502"/>
      <c r="D4502"/>
      <c r="E4502"/>
      <c r="F4502"/>
      <c r="H4502"/>
    </row>
    <row r="4503" spans="1:8" ht="15">
      <c r="A4503"/>
      <c r="B4503"/>
      <c r="D4503"/>
      <c r="E4503"/>
      <c r="F4503"/>
      <c r="H4503"/>
    </row>
    <row r="4504" spans="1:8" ht="15">
      <c r="A4504"/>
      <c r="B4504"/>
      <c r="D4504"/>
      <c r="E4504"/>
      <c r="F4504"/>
      <c r="H4504"/>
    </row>
    <row r="4505" spans="1:8" ht="15">
      <c r="A4505"/>
      <c r="B4505"/>
      <c r="D4505"/>
      <c r="E4505"/>
      <c r="F4505"/>
      <c r="H4505"/>
    </row>
    <row r="4506" spans="1:8" ht="15">
      <c r="A4506"/>
      <c r="B4506"/>
      <c r="D4506"/>
      <c r="E4506"/>
      <c r="F4506"/>
      <c r="H4506"/>
    </row>
    <row r="4507" spans="1:8" ht="15">
      <c r="A4507"/>
      <c r="B4507"/>
      <c r="D4507"/>
      <c r="E4507"/>
      <c r="F4507"/>
      <c r="H4507"/>
    </row>
    <row r="4508" spans="1:8" ht="15">
      <c r="A4508"/>
      <c r="B4508"/>
      <c r="D4508"/>
      <c r="E4508"/>
      <c r="F4508"/>
      <c r="H4508"/>
    </row>
    <row r="4509" spans="1:8" ht="15">
      <c r="A4509"/>
      <c r="B4509"/>
      <c r="D4509"/>
      <c r="E4509"/>
      <c r="F4509"/>
      <c r="H4509"/>
    </row>
    <row r="4510" spans="1:8" ht="15">
      <c r="A4510"/>
      <c r="B4510"/>
      <c r="D4510"/>
      <c r="E4510"/>
      <c r="F4510"/>
      <c r="H4510"/>
    </row>
    <row r="4511" spans="1:8" ht="15">
      <c r="A4511"/>
      <c r="B4511"/>
      <c r="D4511"/>
      <c r="E4511"/>
      <c r="F4511"/>
      <c r="H4511"/>
    </row>
    <row r="4512" spans="1:8" ht="15">
      <c r="A4512"/>
      <c r="B4512"/>
      <c r="D4512"/>
      <c r="E4512"/>
      <c r="F4512"/>
      <c r="H4512"/>
    </row>
    <row r="4513" spans="1:8" ht="15">
      <c r="A4513"/>
      <c r="B4513"/>
      <c r="D4513"/>
      <c r="E4513"/>
      <c r="F4513"/>
      <c r="H4513"/>
    </row>
    <row r="4514" spans="1:8" ht="15">
      <c r="A4514"/>
      <c r="B4514"/>
      <c r="D4514"/>
      <c r="E4514"/>
      <c r="F4514"/>
      <c r="H4514"/>
    </row>
    <row r="4515" spans="1:8" ht="15">
      <c r="A4515"/>
      <c r="B4515"/>
      <c r="D4515"/>
      <c r="E4515"/>
      <c r="F4515"/>
      <c r="H4515"/>
    </row>
    <row r="4516" spans="1:8" ht="15">
      <c r="A4516"/>
      <c r="B4516"/>
      <c r="D4516"/>
      <c r="E4516"/>
      <c r="F4516"/>
      <c r="H4516"/>
    </row>
    <row r="4517" spans="1:8" ht="15">
      <c r="A4517"/>
      <c r="B4517"/>
      <c r="D4517"/>
      <c r="E4517"/>
      <c r="F4517"/>
      <c r="H4517"/>
    </row>
    <row r="4518" spans="1:8" ht="15">
      <c r="A4518"/>
      <c r="B4518"/>
      <c r="D4518"/>
      <c r="E4518"/>
      <c r="F4518"/>
      <c r="H4518"/>
    </row>
    <row r="4519" spans="1:8" ht="15">
      <c r="A4519"/>
      <c r="B4519"/>
      <c r="D4519"/>
      <c r="E4519"/>
      <c r="F4519"/>
      <c r="H4519"/>
    </row>
    <row r="4520" spans="1:8" ht="15">
      <c r="A4520"/>
      <c r="B4520"/>
      <c r="D4520"/>
      <c r="E4520"/>
      <c r="F4520"/>
      <c r="H4520"/>
    </row>
    <row r="4521" spans="1:8" ht="15">
      <c r="A4521"/>
      <c r="B4521"/>
      <c r="D4521"/>
      <c r="E4521"/>
      <c r="F4521"/>
      <c r="H4521"/>
    </row>
    <row r="4522" spans="1:8" ht="15">
      <c r="A4522"/>
      <c r="B4522"/>
      <c r="D4522"/>
      <c r="E4522"/>
      <c r="F4522"/>
      <c r="H4522"/>
    </row>
    <row r="4523" spans="1:8" ht="15">
      <c r="A4523"/>
      <c r="B4523"/>
      <c r="D4523"/>
      <c r="E4523"/>
      <c r="F4523"/>
      <c r="H4523"/>
    </row>
    <row r="4524" spans="1:8" ht="15">
      <c r="A4524"/>
      <c r="B4524"/>
      <c r="D4524"/>
      <c r="E4524"/>
      <c r="F4524"/>
      <c r="H4524"/>
    </row>
    <row r="4525" spans="1:8" ht="15">
      <c r="A4525"/>
      <c r="B4525"/>
      <c r="D4525"/>
      <c r="E4525"/>
      <c r="F4525"/>
      <c r="H4525"/>
    </row>
    <row r="4526" spans="1:8" ht="15">
      <c r="A4526"/>
      <c r="B4526"/>
      <c r="D4526"/>
      <c r="E4526"/>
      <c r="F4526"/>
      <c r="H4526"/>
    </row>
    <row r="4527" spans="1:8" ht="15">
      <c r="A4527"/>
      <c r="B4527"/>
      <c r="D4527"/>
      <c r="E4527"/>
      <c r="F4527"/>
      <c r="H4527"/>
    </row>
    <row r="4528" spans="1:8" ht="15">
      <c r="A4528"/>
      <c r="B4528"/>
      <c r="D4528"/>
      <c r="E4528"/>
      <c r="F4528"/>
      <c r="H4528"/>
    </row>
    <row r="4529" spans="1:8" ht="15">
      <c r="A4529"/>
      <c r="B4529"/>
      <c r="D4529"/>
      <c r="E4529"/>
      <c r="F4529"/>
      <c r="H4529"/>
    </row>
    <row r="4530" spans="1:8" ht="15">
      <c r="A4530"/>
      <c r="B4530"/>
      <c r="D4530"/>
      <c r="E4530"/>
      <c r="F4530"/>
      <c r="H4530"/>
    </row>
    <row r="4531" spans="1:8" ht="15">
      <c r="A4531"/>
      <c r="B4531"/>
      <c r="D4531"/>
      <c r="E4531"/>
      <c r="F4531"/>
      <c r="H4531"/>
    </row>
    <row r="4532" spans="1:8" ht="15">
      <c r="A4532"/>
      <c r="B4532"/>
      <c r="D4532"/>
      <c r="E4532"/>
      <c r="F4532"/>
      <c r="H4532"/>
    </row>
    <row r="4533" spans="1:8" ht="15">
      <c r="A4533"/>
      <c r="B4533"/>
      <c r="D4533"/>
      <c r="E4533"/>
      <c r="F4533"/>
      <c r="H4533"/>
    </row>
    <row r="4534" spans="1:8" ht="15">
      <c r="A4534"/>
      <c r="B4534"/>
      <c r="D4534"/>
      <c r="E4534"/>
      <c r="F4534"/>
      <c r="H4534"/>
    </row>
    <row r="4535" spans="1:8" ht="15">
      <c r="A4535"/>
      <c r="B4535"/>
      <c r="D4535"/>
      <c r="E4535"/>
      <c r="F4535"/>
      <c r="H4535"/>
    </row>
    <row r="4536" spans="1:8" ht="15">
      <c r="A4536"/>
      <c r="B4536"/>
      <c r="D4536"/>
      <c r="E4536"/>
      <c r="F4536"/>
      <c r="H4536"/>
    </row>
    <row r="4537" spans="1:8" ht="15">
      <c r="A4537"/>
      <c r="B4537"/>
      <c r="D4537"/>
      <c r="E4537"/>
      <c r="F4537"/>
      <c r="H4537"/>
    </row>
    <row r="4538" spans="1:8" ht="15">
      <c r="A4538"/>
      <c r="B4538"/>
      <c r="D4538"/>
      <c r="E4538"/>
      <c r="F4538"/>
      <c r="H4538"/>
    </row>
    <row r="4539" spans="1:8" ht="15">
      <c r="A4539"/>
      <c r="B4539"/>
      <c r="D4539"/>
      <c r="E4539"/>
      <c r="F4539"/>
      <c r="H4539"/>
    </row>
    <row r="4540" spans="1:8" ht="15">
      <c r="A4540"/>
      <c r="B4540"/>
      <c r="D4540"/>
      <c r="E4540"/>
      <c r="F4540"/>
      <c r="H4540"/>
    </row>
    <row r="4541" spans="1:8" ht="15">
      <c r="A4541"/>
      <c r="B4541"/>
      <c r="D4541"/>
      <c r="E4541"/>
      <c r="F4541"/>
      <c r="H4541"/>
    </row>
    <row r="4542" spans="1:8" ht="15">
      <c r="A4542"/>
      <c r="B4542"/>
      <c r="D4542"/>
      <c r="E4542"/>
      <c r="F4542"/>
      <c r="H4542"/>
    </row>
    <row r="4543" spans="1:8" ht="15">
      <c r="A4543"/>
      <c r="B4543"/>
      <c r="D4543"/>
      <c r="E4543"/>
      <c r="F4543"/>
      <c r="H4543"/>
    </row>
    <row r="4544" spans="1:8" ht="15">
      <c r="A4544"/>
      <c r="B4544"/>
      <c r="D4544"/>
      <c r="E4544"/>
      <c r="F4544"/>
      <c r="H4544"/>
    </row>
    <row r="4545" spans="1:8" ht="15">
      <c r="A4545"/>
      <c r="B4545"/>
      <c r="D4545"/>
      <c r="E4545"/>
      <c r="F4545"/>
      <c r="H4545"/>
    </row>
    <row r="4546" spans="1:8" ht="15">
      <c r="A4546"/>
      <c r="B4546"/>
      <c r="D4546"/>
      <c r="E4546"/>
      <c r="F4546"/>
      <c r="H4546"/>
    </row>
    <row r="4547" spans="1:8" ht="15">
      <c r="A4547"/>
      <c r="B4547"/>
      <c r="D4547"/>
      <c r="E4547"/>
      <c r="F4547"/>
      <c r="H4547"/>
    </row>
    <row r="4548" spans="1:8" ht="15">
      <c r="A4548"/>
      <c r="B4548"/>
      <c r="D4548"/>
      <c r="E4548"/>
      <c r="F4548"/>
      <c r="H4548"/>
    </row>
    <row r="4549" spans="1:8" ht="15">
      <c r="A4549"/>
      <c r="B4549"/>
      <c r="D4549"/>
      <c r="E4549"/>
      <c r="F4549"/>
      <c r="H4549"/>
    </row>
    <row r="4550" spans="1:8" ht="15">
      <c r="A4550"/>
      <c r="B4550"/>
      <c r="D4550"/>
      <c r="E4550"/>
      <c r="F4550"/>
      <c r="H4550"/>
    </row>
    <row r="4551" spans="1:8" ht="15">
      <c r="A4551"/>
      <c r="B4551"/>
      <c r="D4551"/>
      <c r="E4551"/>
      <c r="F4551"/>
      <c r="H4551"/>
    </row>
    <row r="4552" spans="1:8" ht="15">
      <c r="A4552"/>
      <c r="B4552"/>
      <c r="D4552"/>
      <c r="E4552"/>
      <c r="F4552"/>
      <c r="H4552"/>
    </row>
    <row r="4553" spans="1:8" ht="15">
      <c r="A4553"/>
      <c r="B4553"/>
      <c r="D4553"/>
      <c r="E4553"/>
      <c r="F4553"/>
      <c r="H4553"/>
    </row>
    <row r="4554" spans="1:8" ht="15">
      <c r="A4554"/>
      <c r="B4554"/>
      <c r="D4554"/>
      <c r="E4554"/>
      <c r="F4554"/>
      <c r="H4554"/>
    </row>
    <row r="4555" spans="1:8" ht="15">
      <c r="A4555"/>
      <c r="B4555"/>
      <c r="D4555"/>
      <c r="E4555"/>
      <c r="F4555"/>
      <c r="H4555"/>
    </row>
    <row r="4556" spans="1:8" ht="15">
      <c r="A4556"/>
      <c r="B4556"/>
      <c r="D4556"/>
      <c r="E4556"/>
      <c r="F4556"/>
      <c r="H4556"/>
    </row>
    <row r="4557" spans="1:8" ht="15">
      <c r="A4557"/>
      <c r="B4557"/>
      <c r="D4557"/>
      <c r="E4557"/>
      <c r="F4557"/>
      <c r="H4557"/>
    </row>
    <row r="4558" spans="1:8" ht="15">
      <c r="A4558"/>
      <c r="B4558"/>
      <c r="D4558"/>
      <c r="E4558"/>
      <c r="F4558"/>
      <c r="H4558"/>
    </row>
    <row r="4559" spans="1:8" ht="15">
      <c r="A4559"/>
      <c r="B4559"/>
      <c r="D4559"/>
      <c r="E4559"/>
      <c r="F4559"/>
      <c r="H4559"/>
    </row>
    <row r="4560" spans="1:8" ht="15">
      <c r="A4560"/>
      <c r="B4560"/>
      <c r="D4560"/>
      <c r="E4560"/>
      <c r="F4560"/>
      <c r="H4560"/>
    </row>
    <row r="4561" spans="1:8" ht="15">
      <c r="A4561"/>
      <c r="B4561"/>
      <c r="D4561"/>
      <c r="E4561"/>
      <c r="F4561"/>
      <c r="H4561"/>
    </row>
    <row r="4562" spans="1:8" ht="15">
      <c r="A4562"/>
      <c r="B4562"/>
      <c r="D4562"/>
      <c r="E4562"/>
      <c r="F4562"/>
      <c r="H4562"/>
    </row>
    <row r="4563" spans="1:8" ht="15">
      <c r="A4563"/>
      <c r="B4563"/>
      <c r="D4563"/>
      <c r="E4563"/>
      <c r="F4563"/>
      <c r="H4563"/>
    </row>
    <row r="4564" spans="1:8" ht="15">
      <c r="A4564"/>
      <c r="B4564"/>
      <c r="D4564"/>
      <c r="E4564"/>
      <c r="F4564"/>
      <c r="H4564"/>
    </row>
    <row r="4565" spans="1:8" ht="15">
      <c r="A4565"/>
      <c r="B4565"/>
      <c r="D4565"/>
      <c r="E4565"/>
      <c r="F4565"/>
      <c r="H4565"/>
    </row>
    <row r="4566" spans="1:8" ht="15">
      <c r="A4566"/>
      <c r="B4566"/>
      <c r="D4566"/>
      <c r="E4566"/>
      <c r="F4566"/>
      <c r="H4566"/>
    </row>
    <row r="4567" spans="1:8" ht="15">
      <c r="A4567"/>
      <c r="B4567"/>
      <c r="D4567"/>
      <c r="E4567"/>
      <c r="F4567"/>
      <c r="H4567"/>
    </row>
    <row r="4568" spans="1:8" ht="15">
      <c r="A4568"/>
      <c r="B4568"/>
      <c r="D4568"/>
      <c r="E4568"/>
      <c r="F4568"/>
      <c r="H4568"/>
    </row>
    <row r="4569" spans="1:8" ht="15">
      <c r="A4569"/>
      <c r="B4569"/>
      <c r="D4569"/>
      <c r="E4569"/>
      <c r="F4569"/>
      <c r="H4569"/>
    </row>
    <row r="4570" spans="1:8" ht="15">
      <c r="A4570"/>
      <c r="B4570"/>
      <c r="D4570"/>
      <c r="E4570"/>
      <c r="F4570"/>
      <c r="H4570"/>
    </row>
    <row r="4571" spans="1:8" ht="15">
      <c r="A4571"/>
      <c r="B4571"/>
      <c r="D4571"/>
      <c r="E4571"/>
      <c r="F4571"/>
      <c r="H4571"/>
    </row>
    <row r="4572" spans="1:8" ht="15">
      <c r="A4572"/>
      <c r="B4572"/>
      <c r="D4572"/>
      <c r="E4572"/>
      <c r="F4572"/>
      <c r="H4572"/>
    </row>
    <row r="4573" spans="1:8" ht="15">
      <c r="A4573"/>
      <c r="B4573"/>
      <c r="D4573"/>
      <c r="E4573"/>
      <c r="F4573"/>
      <c r="H4573"/>
    </row>
    <row r="4574" spans="1:8" ht="15">
      <c r="A4574"/>
      <c r="B4574"/>
      <c r="D4574"/>
      <c r="E4574"/>
      <c r="F4574"/>
      <c r="H4574"/>
    </row>
    <row r="4575" spans="1:8" ht="15">
      <c r="A4575"/>
      <c r="B4575"/>
      <c r="D4575"/>
      <c r="E4575"/>
      <c r="F4575"/>
      <c r="H4575"/>
    </row>
    <row r="4576" spans="1:8" ht="15">
      <c r="A4576"/>
      <c r="B4576"/>
      <c r="D4576"/>
      <c r="E4576"/>
      <c r="F4576"/>
      <c r="H4576"/>
    </row>
    <row r="4577" spans="1:8" ht="15">
      <c r="A4577"/>
      <c r="B4577"/>
      <c r="D4577"/>
      <c r="E4577"/>
      <c r="F4577"/>
      <c r="H4577"/>
    </row>
    <row r="4578" spans="1:8" ht="15">
      <c r="A4578"/>
      <c r="B4578"/>
      <c r="D4578"/>
      <c r="E4578"/>
      <c r="F4578"/>
      <c r="H4578"/>
    </row>
    <row r="4579" spans="1:8" ht="15">
      <c r="A4579"/>
      <c r="B4579"/>
      <c r="D4579"/>
      <c r="E4579"/>
      <c r="F4579"/>
      <c r="H4579"/>
    </row>
    <row r="4580" spans="1:8" ht="15">
      <c r="A4580"/>
      <c r="B4580"/>
      <c r="D4580"/>
      <c r="E4580"/>
      <c r="F4580"/>
      <c r="H4580"/>
    </row>
    <row r="4581" spans="1:8" ht="15">
      <c r="A4581"/>
      <c r="B4581"/>
      <c r="D4581"/>
      <c r="E4581"/>
      <c r="F4581"/>
      <c r="H4581"/>
    </row>
    <row r="4582" spans="1:8" ht="15">
      <c r="A4582"/>
      <c r="B4582"/>
      <c r="D4582"/>
      <c r="E4582"/>
      <c r="F4582"/>
      <c r="H4582"/>
    </row>
    <row r="4583" spans="1:8" ht="15">
      <c r="A4583"/>
      <c r="B4583"/>
      <c r="D4583"/>
      <c r="E4583"/>
      <c r="F4583"/>
      <c r="H4583"/>
    </row>
    <row r="4584" spans="1:8" ht="15">
      <c r="A4584"/>
      <c r="B4584"/>
      <c r="D4584"/>
      <c r="E4584"/>
      <c r="F4584"/>
      <c r="H4584"/>
    </row>
    <row r="4585" spans="1:8" ht="15">
      <c r="A4585"/>
      <c r="B4585"/>
      <c r="D4585"/>
      <c r="E4585"/>
      <c r="F4585"/>
      <c r="H4585"/>
    </row>
    <row r="4586" spans="1:8" ht="15">
      <c r="A4586"/>
      <c r="B4586"/>
      <c r="D4586"/>
      <c r="E4586"/>
      <c r="F4586"/>
      <c r="H4586"/>
    </row>
    <row r="4587" spans="1:8" ht="15">
      <c r="A4587"/>
      <c r="B4587"/>
      <c r="D4587"/>
      <c r="E4587"/>
      <c r="F4587"/>
      <c r="H4587"/>
    </row>
    <row r="4588" spans="1:8" ht="15">
      <c r="A4588"/>
      <c r="B4588"/>
      <c r="D4588"/>
      <c r="E4588"/>
      <c r="F4588"/>
      <c r="H4588"/>
    </row>
    <row r="4589" spans="1:8" ht="15">
      <c r="A4589"/>
      <c r="B4589"/>
      <c r="D4589"/>
      <c r="E4589"/>
      <c r="F4589"/>
      <c r="H4589"/>
    </row>
    <row r="4590" spans="1:8" ht="15">
      <c r="A4590"/>
      <c r="B4590"/>
      <c r="D4590"/>
      <c r="E4590"/>
      <c r="F4590"/>
      <c r="H4590"/>
    </row>
    <row r="4591" spans="1:8" ht="15">
      <c r="A4591"/>
      <c r="B4591"/>
      <c r="D4591"/>
      <c r="E4591"/>
      <c r="F4591"/>
      <c r="H4591"/>
    </row>
    <row r="4592" spans="1:8" ht="15">
      <c r="A4592"/>
      <c r="B4592"/>
      <c r="D4592"/>
      <c r="E4592"/>
      <c r="F4592"/>
      <c r="H4592"/>
    </row>
    <row r="4593" spans="1:8" ht="15">
      <c r="A4593"/>
      <c r="B4593"/>
      <c r="D4593"/>
      <c r="E4593"/>
      <c r="F4593"/>
      <c r="H4593"/>
    </row>
    <row r="4594" spans="1:8" ht="15">
      <c r="A4594"/>
      <c r="B4594"/>
      <c r="D4594"/>
      <c r="E4594"/>
      <c r="F4594"/>
      <c r="H4594"/>
    </row>
    <row r="4595" spans="1:8" ht="15">
      <c r="A4595"/>
      <c r="B4595"/>
      <c r="D4595"/>
      <c r="E4595"/>
      <c r="F4595"/>
      <c r="H4595"/>
    </row>
    <row r="4596" spans="1:8" ht="15">
      <c r="A4596"/>
      <c r="B4596"/>
      <c r="D4596"/>
      <c r="E4596"/>
      <c r="F4596"/>
      <c r="H4596"/>
    </row>
    <row r="4597" spans="1:8" ht="15">
      <c r="A4597"/>
      <c r="B4597"/>
      <c r="D4597"/>
      <c r="E4597"/>
      <c r="F4597"/>
      <c r="H4597"/>
    </row>
    <row r="4598" spans="1:8" ht="15">
      <c r="A4598"/>
      <c r="B4598"/>
      <c r="D4598"/>
      <c r="E4598"/>
      <c r="F4598"/>
      <c r="H4598"/>
    </row>
    <row r="4599" spans="1:8" ht="15">
      <c r="A4599"/>
      <c r="B4599"/>
      <c r="D4599"/>
      <c r="E4599"/>
      <c r="F4599"/>
      <c r="H4599"/>
    </row>
    <row r="4600" spans="1:8" ht="15">
      <c r="A4600"/>
      <c r="B4600"/>
      <c r="D4600"/>
      <c r="E4600"/>
      <c r="F4600"/>
      <c r="H4600"/>
    </row>
    <row r="4601" spans="1:8" ht="15">
      <c r="A4601"/>
      <c r="B4601"/>
      <c r="D4601"/>
      <c r="E4601"/>
      <c r="F4601"/>
      <c r="H4601"/>
    </row>
    <row r="4602" spans="1:8" ht="15">
      <c r="A4602"/>
      <c r="B4602"/>
      <c r="D4602"/>
      <c r="E4602"/>
      <c r="F4602"/>
      <c r="H4602"/>
    </row>
    <row r="4603" spans="1:8" ht="15">
      <c r="A4603"/>
      <c r="B4603"/>
      <c r="D4603"/>
      <c r="E4603"/>
      <c r="F4603"/>
      <c r="H4603"/>
    </row>
    <row r="4604" spans="1:8" ht="15">
      <c r="A4604"/>
      <c r="B4604"/>
      <c r="D4604"/>
      <c r="E4604"/>
      <c r="F4604"/>
      <c r="H4604"/>
    </row>
    <row r="4605" spans="1:8" ht="15">
      <c r="A4605"/>
      <c r="B4605"/>
      <c r="D4605"/>
      <c r="E4605"/>
      <c r="F4605"/>
      <c r="H4605"/>
    </row>
    <row r="4606" spans="1:8" ht="15">
      <c r="A4606"/>
      <c r="B4606"/>
      <c r="D4606"/>
      <c r="E4606"/>
      <c r="F4606"/>
      <c r="H4606"/>
    </row>
    <row r="4607" spans="1:8" ht="15">
      <c r="A4607"/>
      <c r="B4607"/>
      <c r="D4607"/>
      <c r="E4607"/>
      <c r="F4607"/>
      <c r="H4607"/>
    </row>
    <row r="4608" spans="1:8" ht="15">
      <c r="A4608"/>
      <c r="B4608"/>
      <c r="D4608"/>
      <c r="E4608"/>
      <c r="F4608"/>
      <c r="H4608"/>
    </row>
    <row r="4609" spans="1:8" ht="15">
      <c r="A4609"/>
      <c r="B4609"/>
      <c r="D4609"/>
      <c r="E4609"/>
      <c r="F4609"/>
      <c r="H4609"/>
    </row>
    <row r="4610" spans="1:8" ht="15">
      <c r="A4610"/>
      <c r="B4610"/>
      <c r="D4610"/>
      <c r="E4610"/>
      <c r="F4610"/>
      <c r="H4610"/>
    </row>
    <row r="4611" spans="1:8" ht="15">
      <c r="A4611"/>
      <c r="B4611"/>
      <c r="D4611"/>
      <c r="E4611"/>
      <c r="F4611"/>
      <c r="H4611"/>
    </row>
    <row r="4612" spans="1:8" ht="15">
      <c r="A4612"/>
      <c r="B4612"/>
      <c r="D4612"/>
      <c r="E4612"/>
      <c r="F4612"/>
      <c r="H4612"/>
    </row>
    <row r="4613" spans="1:8" ht="15">
      <c r="A4613"/>
      <c r="B4613"/>
      <c r="D4613"/>
      <c r="E4613"/>
      <c r="F4613"/>
      <c r="H4613"/>
    </row>
    <row r="4614" spans="1:8" ht="15">
      <c r="A4614"/>
      <c r="B4614"/>
      <c r="D4614"/>
      <c r="E4614"/>
      <c r="F4614"/>
      <c r="H4614"/>
    </row>
    <row r="4615" spans="1:8" ht="15">
      <c r="A4615"/>
      <c r="B4615"/>
      <c r="D4615"/>
      <c r="E4615"/>
      <c r="F4615"/>
      <c r="H4615"/>
    </row>
    <row r="4616" spans="1:8" ht="15">
      <c r="A4616"/>
      <c r="B4616"/>
      <c r="D4616"/>
      <c r="E4616"/>
      <c r="F4616"/>
      <c r="H4616"/>
    </row>
    <row r="4617" spans="1:8" ht="15">
      <c r="A4617"/>
      <c r="B4617"/>
      <c r="D4617"/>
      <c r="E4617"/>
      <c r="F4617"/>
      <c r="H4617"/>
    </row>
    <row r="4618" spans="1:8" ht="15">
      <c r="A4618"/>
      <c r="B4618"/>
      <c r="D4618"/>
      <c r="E4618"/>
      <c r="F4618"/>
      <c r="H4618"/>
    </row>
    <row r="4619" spans="1:8" ht="15">
      <c r="A4619"/>
      <c r="B4619"/>
      <c r="D4619"/>
      <c r="E4619"/>
      <c r="F4619"/>
      <c r="H4619"/>
    </row>
    <row r="4620" spans="1:8" ht="15">
      <c r="A4620"/>
      <c r="B4620"/>
      <c r="D4620"/>
      <c r="E4620"/>
      <c r="F4620"/>
      <c r="H4620"/>
    </row>
    <row r="4621" spans="1:8" ht="15">
      <c r="A4621"/>
      <c r="B4621"/>
      <c r="D4621"/>
      <c r="E4621"/>
      <c r="F4621"/>
      <c r="H4621"/>
    </row>
    <row r="4622" spans="1:8" ht="15">
      <c r="A4622"/>
      <c r="B4622"/>
      <c r="D4622"/>
      <c r="E4622"/>
      <c r="F4622"/>
      <c r="H4622"/>
    </row>
    <row r="4623" spans="1:8" ht="15">
      <c r="A4623"/>
      <c r="B4623"/>
      <c r="D4623"/>
      <c r="E4623"/>
      <c r="F4623"/>
      <c r="H4623"/>
    </row>
    <row r="4624" spans="1:8" ht="15">
      <c r="A4624"/>
      <c r="B4624"/>
      <c r="D4624"/>
      <c r="E4624"/>
      <c r="F4624"/>
      <c r="H4624"/>
    </row>
    <row r="4625" spans="1:8" ht="15">
      <c r="A4625"/>
      <c r="B4625"/>
      <c r="D4625"/>
      <c r="E4625"/>
      <c r="F4625"/>
      <c r="H4625"/>
    </row>
    <row r="4626" spans="1:8" ht="15">
      <c r="A4626"/>
      <c r="B4626"/>
      <c r="D4626"/>
      <c r="E4626"/>
      <c r="F4626"/>
      <c r="H4626"/>
    </row>
    <row r="4627" spans="1:8" ht="15">
      <c r="A4627"/>
      <c r="B4627"/>
      <c r="D4627"/>
      <c r="E4627"/>
      <c r="F4627"/>
      <c r="H4627"/>
    </row>
    <row r="4628" spans="1:8" ht="15">
      <c r="A4628"/>
      <c r="B4628"/>
      <c r="D4628"/>
      <c r="E4628"/>
      <c r="F4628"/>
      <c r="H4628"/>
    </row>
    <row r="4629" spans="1:8" ht="15">
      <c r="A4629"/>
      <c r="B4629"/>
      <c r="D4629"/>
      <c r="E4629"/>
      <c r="F4629"/>
      <c r="H4629"/>
    </row>
    <row r="4630" spans="1:8" ht="15">
      <c r="A4630"/>
      <c r="B4630"/>
      <c r="D4630"/>
      <c r="E4630"/>
      <c r="F4630"/>
      <c r="H4630"/>
    </row>
    <row r="4631" spans="1:8" ht="15">
      <c r="A4631"/>
      <c r="B4631"/>
      <c r="D4631"/>
      <c r="E4631"/>
      <c r="F4631"/>
      <c r="H4631"/>
    </row>
    <row r="4632" spans="1:8" ht="15">
      <c r="A4632"/>
      <c r="B4632"/>
      <c r="D4632"/>
      <c r="E4632"/>
      <c r="F4632"/>
      <c r="H4632"/>
    </row>
    <row r="4633" spans="1:8" ht="15">
      <c r="A4633"/>
      <c r="B4633"/>
      <c r="D4633"/>
      <c r="E4633"/>
      <c r="F4633"/>
      <c r="H4633"/>
    </row>
    <row r="4634" spans="1:8" ht="15">
      <c r="A4634"/>
      <c r="B4634"/>
      <c r="D4634"/>
      <c r="E4634"/>
      <c r="F4634"/>
      <c r="H4634"/>
    </row>
    <row r="4635" spans="1:8" ht="15">
      <c r="A4635"/>
      <c r="B4635"/>
      <c r="D4635"/>
      <c r="E4635"/>
      <c r="F4635"/>
      <c r="H4635"/>
    </row>
    <row r="4636" spans="1:8" ht="15">
      <c r="A4636"/>
      <c r="B4636"/>
      <c r="D4636"/>
      <c r="E4636"/>
      <c r="F4636"/>
      <c r="H4636"/>
    </row>
    <row r="4637" spans="1:8" ht="15">
      <c r="A4637"/>
      <c r="B4637"/>
      <c r="D4637"/>
      <c r="E4637"/>
      <c r="F4637"/>
      <c r="H4637"/>
    </row>
    <row r="4638" spans="1:8" ht="15">
      <c r="A4638"/>
      <c r="B4638"/>
      <c r="D4638"/>
      <c r="E4638"/>
      <c r="F4638"/>
      <c r="H4638"/>
    </row>
    <row r="4639" spans="1:8" ht="15">
      <c r="A4639"/>
      <c r="B4639"/>
      <c r="D4639"/>
      <c r="E4639"/>
      <c r="F4639"/>
      <c r="H4639"/>
    </row>
    <row r="4640" spans="1:8" ht="15">
      <c r="A4640"/>
      <c r="B4640"/>
      <c r="D4640"/>
      <c r="E4640"/>
      <c r="F4640"/>
      <c r="H4640"/>
    </row>
    <row r="4641" spans="1:8" ht="15">
      <c r="A4641"/>
      <c r="B4641"/>
      <c r="D4641"/>
      <c r="E4641"/>
      <c r="F4641"/>
      <c r="H4641"/>
    </row>
    <row r="4642" spans="1:8" ht="15">
      <c r="A4642"/>
      <c r="B4642"/>
      <c r="D4642"/>
      <c r="E4642"/>
      <c r="F4642"/>
      <c r="H4642"/>
    </row>
    <row r="4643" spans="1:8" ht="15">
      <c r="A4643"/>
      <c r="B4643"/>
      <c r="D4643"/>
      <c r="E4643"/>
      <c r="F4643"/>
      <c r="H4643"/>
    </row>
    <row r="4644" spans="1:8" ht="15">
      <c r="A4644"/>
      <c r="B4644"/>
      <c r="D4644"/>
      <c r="E4644"/>
      <c r="F4644"/>
      <c r="H4644"/>
    </row>
    <row r="4645" spans="1:8" ht="15">
      <c r="A4645"/>
      <c r="B4645"/>
      <c r="D4645"/>
      <c r="E4645"/>
      <c r="F4645"/>
      <c r="H4645"/>
    </row>
    <row r="4646" spans="1:8" ht="15">
      <c r="A4646"/>
      <c r="B4646"/>
      <c r="D4646"/>
      <c r="E4646"/>
      <c r="F4646"/>
      <c r="H4646"/>
    </row>
    <row r="4647" spans="1:8" ht="15">
      <c r="A4647"/>
      <c r="B4647"/>
      <c r="D4647"/>
      <c r="E4647"/>
      <c r="F4647"/>
      <c r="H4647"/>
    </row>
    <row r="4648" spans="1:8" ht="15">
      <c r="A4648"/>
      <c r="B4648"/>
      <c r="D4648"/>
      <c r="E4648"/>
      <c r="F4648"/>
      <c r="H4648"/>
    </row>
    <row r="4649" spans="1:8" ht="15">
      <c r="A4649"/>
      <c r="B4649"/>
      <c r="D4649"/>
      <c r="E4649"/>
      <c r="F4649"/>
      <c r="H4649"/>
    </row>
    <row r="4650" spans="1:8" ht="15">
      <c r="A4650"/>
      <c r="B4650"/>
      <c r="D4650"/>
      <c r="E4650"/>
      <c r="F4650"/>
      <c r="H4650"/>
    </row>
    <row r="4651" spans="1:8" ht="15">
      <c r="A4651"/>
      <c r="B4651"/>
      <c r="D4651"/>
      <c r="E4651"/>
      <c r="F4651"/>
      <c r="H4651"/>
    </row>
    <row r="4652" spans="1:8" ht="15">
      <c r="A4652"/>
      <c r="B4652"/>
      <c r="D4652"/>
      <c r="E4652"/>
      <c r="F4652"/>
      <c r="H4652"/>
    </row>
    <row r="4653" spans="1:8" ht="15">
      <c r="A4653"/>
      <c r="B4653"/>
      <c r="D4653"/>
      <c r="E4653"/>
      <c r="F4653"/>
      <c r="H4653"/>
    </row>
    <row r="4654" spans="1:8" ht="15">
      <c r="A4654"/>
      <c r="B4654"/>
      <c r="D4654"/>
      <c r="E4654"/>
      <c r="F4654"/>
      <c r="H4654"/>
    </row>
    <row r="4655" spans="1:8" ht="15">
      <c r="A4655"/>
      <c r="B4655"/>
      <c r="D4655"/>
      <c r="E4655"/>
      <c r="F4655"/>
      <c r="H4655"/>
    </row>
    <row r="4656" spans="1:8" ht="15">
      <c r="A4656"/>
      <c r="B4656"/>
      <c r="D4656"/>
      <c r="E4656"/>
      <c r="F4656"/>
      <c r="H4656"/>
    </row>
    <row r="4657" spans="1:8" ht="15">
      <c r="A4657"/>
      <c r="B4657"/>
      <c r="D4657"/>
      <c r="E4657"/>
      <c r="F4657"/>
      <c r="H4657"/>
    </row>
    <row r="4658" spans="1:8" ht="15">
      <c r="A4658"/>
      <c r="B4658"/>
      <c r="D4658"/>
      <c r="E4658"/>
      <c r="F4658"/>
      <c r="H4658"/>
    </row>
    <row r="4659" spans="1:8" ht="15">
      <c r="A4659"/>
      <c r="B4659"/>
      <c r="D4659"/>
      <c r="E4659"/>
      <c r="F4659"/>
      <c r="H4659"/>
    </row>
    <row r="4660" spans="1:8" ht="15">
      <c r="A4660"/>
      <c r="B4660"/>
      <c r="D4660"/>
      <c r="E4660"/>
      <c r="F4660"/>
      <c r="H4660"/>
    </row>
    <row r="4661" spans="1:8" ht="15">
      <c r="A4661"/>
      <c r="B4661"/>
      <c r="D4661"/>
      <c r="E4661"/>
      <c r="F4661"/>
      <c r="H4661"/>
    </row>
    <row r="4662" spans="1:8" ht="15">
      <c r="A4662"/>
      <c r="B4662"/>
      <c r="D4662"/>
      <c r="E4662"/>
      <c r="F4662"/>
      <c r="H4662"/>
    </row>
    <row r="4663" spans="1:8" ht="15">
      <c r="A4663"/>
      <c r="B4663"/>
      <c r="D4663"/>
      <c r="E4663"/>
      <c r="F4663"/>
      <c r="H4663"/>
    </row>
    <row r="4664" spans="1:8" ht="15">
      <c r="A4664"/>
      <c r="B4664"/>
      <c r="D4664"/>
      <c r="E4664"/>
      <c r="F4664"/>
      <c r="H4664"/>
    </row>
    <row r="4665" spans="1:8" ht="15">
      <c r="A4665"/>
      <c r="B4665"/>
      <c r="D4665"/>
      <c r="E4665"/>
      <c r="F4665"/>
      <c r="H4665"/>
    </row>
    <row r="4666" spans="1:8" ht="15">
      <c r="A4666"/>
      <c r="B4666"/>
      <c r="D4666"/>
      <c r="E4666"/>
      <c r="F4666"/>
      <c r="H4666"/>
    </row>
    <row r="4667" spans="1:8" ht="15">
      <c r="A4667"/>
      <c r="B4667"/>
      <c r="D4667"/>
      <c r="E4667"/>
      <c r="F4667"/>
      <c r="H4667"/>
    </row>
    <row r="4668" spans="1:8" ht="15">
      <c r="A4668"/>
      <c r="B4668"/>
      <c r="D4668"/>
      <c r="E4668"/>
      <c r="F4668"/>
      <c r="H4668"/>
    </row>
    <row r="4669" spans="1:8" ht="15">
      <c r="A4669"/>
      <c r="B4669"/>
      <c r="D4669"/>
      <c r="E4669"/>
      <c r="F4669"/>
      <c r="H4669"/>
    </row>
    <row r="4670" spans="1:8" ht="15">
      <c r="A4670"/>
      <c r="B4670"/>
      <c r="D4670"/>
      <c r="E4670"/>
      <c r="F4670"/>
      <c r="H4670"/>
    </row>
    <row r="4671" spans="1:8" ht="15">
      <c r="A4671"/>
      <c r="B4671"/>
      <c r="D4671"/>
      <c r="E4671"/>
      <c r="F4671"/>
      <c r="H4671"/>
    </row>
    <row r="4672" spans="1:8" ht="15">
      <c r="A4672"/>
      <c r="B4672"/>
      <c r="D4672"/>
      <c r="E4672"/>
      <c r="F4672"/>
      <c r="H4672"/>
    </row>
    <row r="4673" spans="1:8" ht="15">
      <c r="A4673"/>
      <c r="B4673"/>
      <c r="D4673"/>
      <c r="E4673"/>
      <c r="F4673"/>
      <c r="H4673"/>
    </row>
    <row r="4674" spans="1:8" ht="15">
      <c r="A4674"/>
      <c r="B4674"/>
      <c r="D4674"/>
      <c r="E4674"/>
      <c r="F4674"/>
      <c r="H4674"/>
    </row>
    <row r="4675" spans="1:8" ht="15">
      <c r="A4675"/>
      <c r="B4675"/>
      <c r="D4675"/>
      <c r="E4675"/>
      <c r="F4675"/>
      <c r="H4675"/>
    </row>
    <row r="4676" spans="1:8" ht="15">
      <c r="A4676"/>
      <c r="B4676"/>
      <c r="D4676"/>
      <c r="E4676"/>
      <c r="F4676"/>
      <c r="H4676"/>
    </row>
    <row r="4677" spans="1:8" ht="15">
      <c r="A4677"/>
      <c r="B4677"/>
      <c r="D4677"/>
      <c r="E4677"/>
      <c r="F4677"/>
      <c r="H4677"/>
    </row>
    <row r="4678" spans="1:8" ht="15">
      <c r="A4678"/>
      <c r="B4678"/>
      <c r="D4678"/>
      <c r="E4678"/>
      <c r="F4678"/>
      <c r="H4678"/>
    </row>
    <row r="4679" spans="1:8" ht="15">
      <c r="A4679"/>
      <c r="B4679"/>
      <c r="D4679"/>
      <c r="E4679"/>
      <c r="F4679"/>
      <c r="H4679"/>
    </row>
    <row r="4680" spans="1:8" ht="15">
      <c r="A4680"/>
      <c r="B4680"/>
      <c r="D4680"/>
      <c r="E4680"/>
      <c r="F4680"/>
      <c r="H4680"/>
    </row>
    <row r="4681" spans="1:8" ht="15">
      <c r="A4681"/>
      <c r="B4681"/>
      <c r="D4681"/>
      <c r="E4681"/>
      <c r="F4681"/>
      <c r="H4681"/>
    </row>
    <row r="4682" spans="1:8" ht="15">
      <c r="A4682"/>
      <c r="B4682"/>
      <c r="D4682"/>
      <c r="E4682"/>
      <c r="F4682"/>
      <c r="H4682"/>
    </row>
    <row r="4683" spans="1:8" ht="15">
      <c r="A4683"/>
      <c r="B4683"/>
      <c r="D4683"/>
      <c r="E4683"/>
      <c r="F4683"/>
      <c r="H4683"/>
    </row>
    <row r="4684" spans="1:8" ht="15">
      <c r="A4684"/>
      <c r="B4684"/>
      <c r="D4684"/>
      <c r="E4684"/>
      <c r="F4684"/>
      <c r="H4684"/>
    </row>
    <row r="4685" spans="1:8" ht="15">
      <c r="A4685"/>
      <c r="B4685"/>
      <c r="D4685"/>
      <c r="E4685"/>
      <c r="F4685"/>
      <c r="H4685"/>
    </row>
    <row r="4686" spans="1:8" ht="15">
      <c r="A4686"/>
      <c r="B4686"/>
      <c r="D4686"/>
      <c r="E4686"/>
      <c r="F4686"/>
      <c r="H4686"/>
    </row>
    <row r="4687" spans="1:8" ht="15">
      <c r="A4687"/>
      <c r="B4687"/>
      <c r="D4687"/>
      <c r="E4687"/>
      <c r="F4687"/>
      <c r="H4687"/>
    </row>
    <row r="4688" spans="1:8" ht="15">
      <c r="A4688"/>
      <c r="B4688"/>
      <c r="D4688"/>
      <c r="E4688"/>
      <c r="F4688"/>
      <c r="H4688"/>
    </row>
    <row r="4689" spans="1:8" ht="15">
      <c r="A4689"/>
      <c r="B4689"/>
      <c r="D4689"/>
      <c r="E4689"/>
      <c r="F4689"/>
      <c r="H4689"/>
    </row>
    <row r="4690" spans="1:8" ht="15">
      <c r="A4690"/>
      <c r="B4690"/>
      <c r="D4690"/>
      <c r="E4690"/>
      <c r="F4690"/>
      <c r="H4690"/>
    </row>
    <row r="4691" spans="1:8" ht="15">
      <c r="A4691"/>
      <c r="B4691"/>
      <c r="D4691"/>
      <c r="E4691"/>
      <c r="F4691"/>
      <c r="H4691"/>
    </row>
    <row r="4692" spans="1:8" ht="15">
      <c r="A4692"/>
      <c r="B4692"/>
      <c r="D4692"/>
      <c r="E4692"/>
      <c r="F4692"/>
      <c r="H4692"/>
    </row>
    <row r="4693" spans="1:8" ht="15">
      <c r="A4693"/>
      <c r="B4693"/>
      <c r="D4693"/>
      <c r="E4693"/>
      <c r="F4693"/>
      <c r="H4693"/>
    </row>
    <row r="4694" spans="1:8" ht="15">
      <c r="A4694"/>
      <c r="B4694"/>
      <c r="D4694"/>
      <c r="E4694"/>
      <c r="F4694"/>
      <c r="H4694"/>
    </row>
    <row r="4695" spans="1:8" ht="15">
      <c r="A4695"/>
      <c r="B4695"/>
      <c r="D4695"/>
      <c r="E4695"/>
      <c r="F4695"/>
      <c r="H4695"/>
    </row>
    <row r="4696" spans="1:8" ht="15">
      <c r="A4696"/>
      <c r="B4696"/>
      <c r="D4696"/>
      <c r="E4696"/>
      <c r="F4696"/>
      <c r="H4696"/>
    </row>
    <row r="4697" spans="1:8" ht="15">
      <c r="A4697"/>
      <c r="B4697"/>
      <c r="D4697"/>
      <c r="E4697"/>
      <c r="F4697"/>
      <c r="H4697"/>
    </row>
    <row r="4698" spans="1:8" ht="15">
      <c r="A4698"/>
      <c r="B4698"/>
      <c r="D4698"/>
      <c r="E4698"/>
      <c r="F4698"/>
      <c r="H4698"/>
    </row>
    <row r="4699" spans="1:8" ht="15">
      <c r="A4699"/>
      <c r="B4699"/>
      <c r="D4699"/>
      <c r="E4699"/>
      <c r="F4699"/>
      <c r="H4699"/>
    </row>
    <row r="4700" spans="1:8" ht="15">
      <c r="A4700"/>
      <c r="B4700"/>
      <c r="D4700"/>
      <c r="E4700"/>
      <c r="F4700"/>
      <c r="H4700"/>
    </row>
    <row r="4701" spans="1:8" ht="15">
      <c r="A4701"/>
      <c r="B4701"/>
      <c r="D4701"/>
      <c r="E4701"/>
      <c r="F4701"/>
      <c r="H4701"/>
    </row>
    <row r="4702" spans="1:8" ht="15">
      <c r="A4702"/>
      <c r="B4702"/>
      <c r="D4702"/>
      <c r="E4702"/>
      <c r="F4702"/>
      <c r="H4702"/>
    </row>
    <row r="4703" spans="1:8" ht="15">
      <c r="A4703"/>
      <c r="B4703"/>
      <c r="D4703"/>
      <c r="E4703"/>
      <c r="F4703"/>
      <c r="H4703"/>
    </row>
    <row r="4704" spans="1:8" ht="15">
      <c r="A4704"/>
      <c r="B4704"/>
      <c r="D4704"/>
      <c r="E4704"/>
      <c r="F4704"/>
      <c r="H4704"/>
    </row>
    <row r="4705" spans="1:8" ht="15">
      <c r="A4705"/>
      <c r="B4705"/>
      <c r="D4705"/>
      <c r="E4705"/>
      <c r="F4705"/>
      <c r="H4705"/>
    </row>
    <row r="4706" spans="1:8" ht="15">
      <c r="A4706"/>
      <c r="B4706"/>
      <c r="D4706"/>
      <c r="E4706"/>
      <c r="F4706"/>
      <c r="H4706"/>
    </row>
    <row r="4707" spans="1:8" ht="15">
      <c r="A4707"/>
      <c r="B4707"/>
      <c r="D4707"/>
      <c r="E4707"/>
      <c r="F4707"/>
      <c r="H4707"/>
    </row>
    <row r="4708" spans="1:8" ht="15">
      <c r="A4708"/>
      <c r="B4708"/>
      <c r="D4708"/>
      <c r="E4708"/>
      <c r="F4708"/>
      <c r="H4708"/>
    </row>
    <row r="4709" spans="1:8" ht="15">
      <c r="A4709"/>
      <c r="B4709"/>
      <c r="D4709"/>
      <c r="E4709"/>
      <c r="F4709"/>
      <c r="H4709"/>
    </row>
    <row r="4710" spans="1:8" ht="15">
      <c r="A4710"/>
      <c r="B4710"/>
      <c r="D4710"/>
      <c r="E4710"/>
      <c r="F4710"/>
      <c r="H4710"/>
    </row>
    <row r="4711" spans="1:8" ht="15">
      <c r="A4711"/>
      <c r="B4711"/>
      <c r="D4711"/>
      <c r="E4711"/>
      <c r="F4711"/>
      <c r="H4711"/>
    </row>
    <row r="4712" spans="1:8" ht="15">
      <c r="A4712"/>
      <c r="B4712"/>
      <c r="D4712"/>
      <c r="E4712"/>
      <c r="F4712"/>
      <c r="H4712"/>
    </row>
    <row r="4713" spans="1:8" ht="15">
      <c r="A4713"/>
      <c r="B4713"/>
      <c r="D4713"/>
      <c r="E4713"/>
      <c r="F4713"/>
      <c r="H4713"/>
    </row>
    <row r="4714" spans="1:8" ht="15">
      <c r="A4714"/>
      <c r="B4714"/>
      <c r="D4714"/>
      <c r="E4714"/>
      <c r="F4714"/>
      <c r="H4714"/>
    </row>
    <row r="4715" spans="1:8" ht="15">
      <c r="A4715"/>
      <c r="B4715"/>
      <c r="D4715"/>
      <c r="E4715"/>
      <c r="F4715"/>
      <c r="H4715"/>
    </row>
    <row r="4716" spans="1:8" ht="15">
      <c r="A4716"/>
      <c r="B4716"/>
      <c r="D4716"/>
      <c r="E4716"/>
      <c r="F4716"/>
      <c r="H4716"/>
    </row>
    <row r="4717" spans="1:8" ht="15">
      <c r="A4717"/>
      <c r="B4717"/>
      <c r="D4717"/>
      <c r="E4717"/>
      <c r="F4717"/>
      <c r="H4717"/>
    </row>
    <row r="4718" spans="1:8" ht="15">
      <c r="A4718"/>
      <c r="B4718"/>
      <c r="D4718"/>
      <c r="E4718"/>
      <c r="F4718"/>
      <c r="H4718"/>
    </row>
    <row r="4719" spans="1:8" ht="15">
      <c r="A4719"/>
      <c r="B4719"/>
      <c r="D4719"/>
      <c r="E4719"/>
      <c r="F4719"/>
      <c r="H4719"/>
    </row>
    <row r="4720" spans="1:8" ht="15">
      <c r="A4720"/>
      <c r="B4720"/>
      <c r="D4720"/>
      <c r="E4720"/>
      <c r="F4720"/>
      <c r="H4720"/>
    </row>
    <row r="4721" spans="1:8" ht="15">
      <c r="A4721"/>
      <c r="B4721"/>
      <c r="D4721"/>
      <c r="E4721"/>
      <c r="F4721"/>
      <c r="H4721"/>
    </row>
    <row r="4722" spans="1:8" ht="15">
      <c r="A4722"/>
      <c r="B4722"/>
      <c r="D4722"/>
      <c r="E4722"/>
      <c r="F4722"/>
      <c r="H4722"/>
    </row>
    <row r="4723" spans="1:8" ht="15">
      <c r="A4723"/>
      <c r="B4723"/>
      <c r="D4723"/>
      <c r="E4723"/>
      <c r="F4723"/>
      <c r="H4723"/>
    </row>
    <row r="4724" spans="1:8" ht="15">
      <c r="A4724"/>
      <c r="B4724"/>
      <c r="D4724"/>
      <c r="E4724"/>
      <c r="F4724"/>
      <c r="H4724"/>
    </row>
    <row r="4725" spans="1:8" ht="15">
      <c r="A4725"/>
      <c r="B4725"/>
      <c r="D4725"/>
      <c r="E4725"/>
      <c r="F4725"/>
      <c r="H4725"/>
    </row>
    <row r="4726" spans="1:8" ht="15">
      <c r="A4726"/>
      <c r="B4726"/>
      <c r="D4726"/>
      <c r="E4726"/>
      <c r="F4726"/>
      <c r="H4726"/>
    </row>
    <row r="4727" spans="1:8" ht="15">
      <c r="A4727"/>
      <c r="B4727"/>
      <c r="D4727"/>
      <c r="E4727"/>
      <c r="F4727"/>
      <c r="H4727"/>
    </row>
    <row r="4728" spans="1:8" ht="15">
      <c r="A4728"/>
      <c r="B4728"/>
      <c r="D4728"/>
      <c r="E4728"/>
      <c r="F4728"/>
      <c r="H4728"/>
    </row>
    <row r="4729" spans="1:8" ht="15">
      <c r="A4729"/>
      <c r="B4729"/>
      <c r="D4729"/>
      <c r="E4729"/>
      <c r="F4729"/>
      <c r="H4729"/>
    </row>
    <row r="4730" spans="1:8" ht="15">
      <c r="A4730"/>
      <c r="B4730"/>
      <c r="D4730"/>
      <c r="E4730"/>
      <c r="F4730"/>
      <c r="H4730"/>
    </row>
    <row r="4731" spans="1:8" ht="15">
      <c r="A4731"/>
      <c r="B4731"/>
      <c r="D4731"/>
      <c r="E4731"/>
      <c r="F4731"/>
      <c r="H4731"/>
    </row>
    <row r="4732" spans="1:8" ht="15">
      <c r="A4732"/>
      <c r="B4732"/>
      <c r="D4732"/>
      <c r="E4732"/>
      <c r="F4732"/>
      <c r="H4732"/>
    </row>
    <row r="4733" spans="1:8" ht="15">
      <c r="A4733"/>
      <c r="B4733"/>
      <c r="D4733"/>
      <c r="E4733"/>
      <c r="F4733"/>
      <c r="H4733"/>
    </row>
    <row r="4734" spans="1:8" ht="15">
      <c r="A4734"/>
      <c r="B4734"/>
      <c r="D4734"/>
      <c r="E4734"/>
      <c r="F4734"/>
      <c r="H4734"/>
    </row>
    <row r="4735" spans="1:8" ht="15">
      <c r="A4735"/>
      <c r="B4735"/>
      <c r="D4735"/>
      <c r="E4735"/>
      <c r="F4735"/>
      <c r="H4735"/>
    </row>
    <row r="4736" spans="1:8" ht="15">
      <c r="A4736"/>
      <c r="B4736"/>
      <c r="D4736"/>
      <c r="E4736"/>
      <c r="F4736"/>
      <c r="H4736"/>
    </row>
    <row r="4737" spans="1:8" ht="15">
      <c r="A4737"/>
      <c r="B4737"/>
      <c r="D4737"/>
      <c r="E4737"/>
      <c r="F4737"/>
      <c r="H4737"/>
    </row>
    <row r="4738" spans="1:8" ht="15">
      <c r="A4738"/>
      <c r="B4738"/>
      <c r="D4738"/>
      <c r="E4738"/>
      <c r="F4738"/>
      <c r="H4738"/>
    </row>
    <row r="4739" spans="1:8" ht="15">
      <c r="A4739"/>
      <c r="B4739"/>
      <c r="D4739"/>
      <c r="E4739"/>
      <c r="F4739"/>
      <c r="H4739"/>
    </row>
    <row r="4740" spans="1:8" ht="15">
      <c r="A4740"/>
      <c r="B4740"/>
      <c r="D4740"/>
      <c r="E4740"/>
      <c r="F4740"/>
      <c r="H4740"/>
    </row>
    <row r="4741" spans="1:8" ht="15">
      <c r="A4741"/>
      <c r="B4741"/>
      <c r="D4741"/>
      <c r="E4741"/>
      <c r="F4741"/>
      <c r="H4741"/>
    </row>
    <row r="4742" spans="1:8" ht="15">
      <c r="A4742"/>
      <c r="B4742"/>
      <c r="D4742"/>
      <c r="E4742"/>
      <c r="F4742"/>
      <c r="H4742"/>
    </row>
    <row r="4743" spans="1:8" ht="15">
      <c r="A4743"/>
      <c r="B4743"/>
      <c r="D4743"/>
      <c r="E4743"/>
      <c r="F4743"/>
      <c r="H4743"/>
    </row>
    <row r="4744" spans="1:8" ht="15">
      <c r="A4744"/>
      <c r="B4744"/>
      <c r="D4744"/>
      <c r="E4744"/>
      <c r="F4744"/>
      <c r="H4744"/>
    </row>
    <row r="4745" spans="1:8" ht="15">
      <c r="A4745"/>
      <c r="B4745"/>
      <c r="D4745"/>
      <c r="E4745"/>
      <c r="F4745"/>
      <c r="H4745"/>
    </row>
    <row r="4746" spans="1:8" ht="15">
      <c r="A4746"/>
      <c r="B4746"/>
      <c r="D4746"/>
      <c r="E4746"/>
      <c r="F4746"/>
      <c r="H4746"/>
    </row>
    <row r="4747" spans="1:8" ht="15">
      <c r="A4747"/>
      <c r="B4747"/>
      <c r="D4747"/>
      <c r="E4747"/>
      <c r="F4747"/>
      <c r="H4747"/>
    </row>
    <row r="4748" spans="1:8" ht="15">
      <c r="A4748"/>
      <c r="B4748"/>
      <c r="D4748"/>
      <c r="E4748"/>
      <c r="F4748"/>
      <c r="H4748"/>
    </row>
    <row r="4749" spans="1:8" ht="15">
      <c r="A4749"/>
      <c r="B4749"/>
      <c r="D4749"/>
      <c r="E4749"/>
      <c r="F4749"/>
      <c r="H4749"/>
    </row>
    <row r="4750" spans="1:8" ht="15">
      <c r="A4750"/>
      <c r="B4750"/>
      <c r="D4750"/>
      <c r="E4750"/>
      <c r="F4750"/>
      <c r="H4750"/>
    </row>
    <row r="4751" spans="1:8" ht="15">
      <c r="A4751"/>
      <c r="B4751"/>
      <c r="D4751"/>
      <c r="E4751"/>
      <c r="F4751"/>
      <c r="H4751"/>
    </row>
    <row r="4752" spans="1:8" ht="15">
      <c r="A4752"/>
      <c r="B4752"/>
      <c r="D4752"/>
      <c r="E4752"/>
      <c r="F4752"/>
      <c r="H4752"/>
    </row>
    <row r="4753" spans="1:8" ht="15">
      <c r="A4753"/>
      <c r="B4753"/>
      <c r="D4753"/>
      <c r="E4753"/>
      <c r="F4753"/>
      <c r="H4753"/>
    </row>
    <row r="4754" spans="1:8" ht="15">
      <c r="A4754"/>
      <c r="B4754"/>
      <c r="D4754"/>
      <c r="E4754"/>
      <c r="F4754"/>
      <c r="H4754"/>
    </row>
    <row r="4755" spans="1:8" ht="15">
      <c r="A4755"/>
      <c r="B4755"/>
      <c r="D4755"/>
      <c r="E4755"/>
      <c r="F4755"/>
      <c r="H4755"/>
    </row>
    <row r="4756" spans="1:8" ht="15">
      <c r="A4756"/>
      <c r="B4756"/>
      <c r="D4756"/>
      <c r="E4756"/>
      <c r="F4756"/>
      <c r="H4756"/>
    </row>
    <row r="4757" spans="1:8" ht="15">
      <c r="A4757"/>
      <c r="B4757"/>
      <c r="D4757"/>
      <c r="E4757"/>
      <c r="F4757"/>
      <c r="H4757"/>
    </row>
    <row r="4758" spans="1:8" ht="15">
      <c r="A4758"/>
      <c r="B4758"/>
      <c r="D4758"/>
      <c r="E4758"/>
      <c r="F4758"/>
      <c r="H4758"/>
    </row>
    <row r="4759" spans="1:8" ht="15">
      <c r="A4759"/>
      <c r="B4759"/>
      <c r="D4759"/>
      <c r="E4759"/>
      <c r="F4759"/>
      <c r="H4759"/>
    </row>
    <row r="4760" spans="1:8" ht="15">
      <c r="A4760"/>
      <c r="B4760"/>
      <c r="D4760"/>
      <c r="E4760"/>
      <c r="F4760"/>
      <c r="H4760"/>
    </row>
    <row r="4761" spans="1:8" ht="15">
      <c r="A4761"/>
      <c r="B4761"/>
      <c r="D4761"/>
      <c r="E4761"/>
      <c r="F4761"/>
      <c r="H4761"/>
    </row>
    <row r="4762" spans="1:8" ht="15">
      <c r="A4762"/>
      <c r="B4762"/>
      <c r="D4762"/>
      <c r="E4762"/>
      <c r="F4762"/>
      <c r="H4762"/>
    </row>
    <row r="4763" spans="1:8" ht="15">
      <c r="A4763"/>
      <c r="B4763"/>
      <c r="D4763"/>
      <c r="E4763"/>
      <c r="F4763"/>
      <c r="H4763"/>
    </row>
    <row r="4764" spans="1:8" ht="15">
      <c r="A4764"/>
      <c r="B4764"/>
      <c r="D4764"/>
      <c r="E4764"/>
      <c r="F4764"/>
      <c r="H4764"/>
    </row>
    <row r="4765" spans="1:8" ht="15">
      <c r="A4765"/>
      <c r="B4765"/>
      <c r="D4765"/>
      <c r="E4765"/>
      <c r="F4765"/>
      <c r="H4765"/>
    </row>
    <row r="4766" spans="1:8" ht="15">
      <c r="A4766"/>
      <c r="B4766"/>
      <c r="D4766"/>
      <c r="E4766"/>
      <c r="F4766"/>
      <c r="H4766"/>
    </row>
    <row r="4767" spans="1:8" ht="15">
      <c r="A4767"/>
      <c r="B4767"/>
      <c r="D4767"/>
      <c r="E4767"/>
      <c r="F4767"/>
      <c r="H4767"/>
    </row>
    <row r="4768" spans="1:8" ht="15">
      <c r="A4768"/>
      <c r="B4768"/>
      <c r="D4768"/>
      <c r="E4768"/>
      <c r="F4768"/>
      <c r="H4768"/>
    </row>
    <row r="4769" spans="1:8" ht="15">
      <c r="A4769"/>
      <c r="B4769"/>
      <c r="D4769"/>
      <c r="E4769"/>
      <c r="F4769"/>
      <c r="H4769"/>
    </row>
    <row r="4770" spans="1:8" ht="15">
      <c r="A4770"/>
      <c r="B4770"/>
      <c r="D4770"/>
      <c r="E4770"/>
      <c r="F4770"/>
      <c r="H4770"/>
    </row>
    <row r="4771" spans="1:8" ht="15">
      <c r="A4771"/>
      <c r="B4771"/>
      <c r="D4771"/>
      <c r="E4771"/>
      <c r="F4771"/>
      <c r="H4771"/>
    </row>
    <row r="4772" spans="1:8" ht="15">
      <c r="A4772"/>
      <c r="B4772"/>
      <c r="D4772"/>
      <c r="E4772"/>
      <c r="F4772"/>
      <c r="H4772"/>
    </row>
    <row r="4773" spans="1:8" ht="15">
      <c r="A4773"/>
      <c r="B4773"/>
      <c r="D4773"/>
      <c r="E4773"/>
      <c r="F4773"/>
      <c r="H4773"/>
    </row>
    <row r="4774" spans="1:8" ht="15">
      <c r="A4774"/>
      <c r="B4774"/>
      <c r="D4774"/>
      <c r="E4774"/>
      <c r="F4774"/>
      <c r="H4774"/>
    </row>
    <row r="4775" spans="1:8" ht="15">
      <c r="A4775"/>
      <c r="B4775"/>
      <c r="D4775"/>
      <c r="E4775"/>
      <c r="F4775"/>
      <c r="H4775"/>
    </row>
    <row r="4776" spans="1:8" ht="15">
      <c r="A4776"/>
      <c r="B4776"/>
      <c r="D4776"/>
      <c r="E4776"/>
      <c r="F4776"/>
      <c r="H4776"/>
    </row>
    <row r="4777" spans="1:8" ht="15">
      <c r="A4777"/>
      <c r="B4777"/>
      <c r="D4777"/>
      <c r="E4777"/>
      <c r="F4777"/>
      <c r="H4777"/>
    </row>
    <row r="4778" spans="1:8" ht="15">
      <c r="A4778"/>
      <c r="B4778"/>
      <c r="D4778"/>
      <c r="E4778"/>
      <c r="F4778"/>
      <c r="H4778"/>
    </row>
    <row r="4779" spans="1:8" ht="15">
      <c r="A4779"/>
      <c r="B4779"/>
      <c r="D4779"/>
      <c r="E4779"/>
      <c r="F4779"/>
      <c r="H4779"/>
    </row>
    <row r="4780" spans="1:8" ht="15">
      <c r="A4780"/>
      <c r="B4780"/>
      <c r="D4780"/>
      <c r="E4780"/>
      <c r="F4780"/>
      <c r="H4780"/>
    </row>
    <row r="4781" spans="1:8" ht="15">
      <c r="A4781"/>
      <c r="B4781"/>
      <c r="D4781"/>
      <c r="E4781"/>
      <c r="F4781"/>
      <c r="H4781"/>
    </row>
    <row r="4782" spans="1:8" ht="15">
      <c r="A4782"/>
      <c r="B4782"/>
      <c r="D4782"/>
      <c r="E4782"/>
      <c r="F4782"/>
      <c r="H4782"/>
    </row>
    <row r="4783" spans="1:8" ht="15">
      <c r="A4783"/>
      <c r="B4783"/>
      <c r="D4783"/>
      <c r="E4783"/>
      <c r="F4783"/>
      <c r="H4783"/>
    </row>
    <row r="4784" spans="1:8" ht="15">
      <c r="A4784"/>
      <c r="B4784"/>
      <c r="D4784"/>
      <c r="E4784"/>
      <c r="F4784"/>
      <c r="H4784"/>
    </row>
    <row r="4785" spans="1:8" ht="15">
      <c r="A4785"/>
      <c r="B4785"/>
      <c r="D4785"/>
      <c r="E4785"/>
      <c r="F4785"/>
      <c r="H4785"/>
    </row>
    <row r="4786" spans="1:8" ht="15">
      <c r="A4786"/>
      <c r="B4786"/>
      <c r="D4786"/>
      <c r="E4786"/>
      <c r="F4786"/>
      <c r="H4786"/>
    </row>
    <row r="4787" spans="1:8" ht="15">
      <c r="A4787"/>
      <c r="B4787"/>
      <c r="D4787"/>
      <c r="E4787"/>
      <c r="F4787"/>
      <c r="H4787"/>
    </row>
    <row r="4788" spans="1:8" ht="15">
      <c r="A4788"/>
      <c r="B4788"/>
      <c r="D4788"/>
      <c r="E4788"/>
      <c r="F4788"/>
      <c r="H4788"/>
    </row>
    <row r="4789" spans="1:8" ht="15">
      <c r="A4789"/>
      <c r="B4789"/>
      <c r="D4789"/>
      <c r="E4789"/>
      <c r="F4789"/>
      <c r="H4789"/>
    </row>
    <row r="4790" spans="1:8" ht="15">
      <c r="A4790"/>
      <c r="B4790"/>
      <c r="D4790"/>
      <c r="E4790"/>
      <c r="F4790"/>
      <c r="H4790"/>
    </row>
    <row r="4791" spans="1:8" ht="15">
      <c r="A4791"/>
      <c r="B4791"/>
      <c r="D4791"/>
      <c r="E4791"/>
      <c r="F4791"/>
      <c r="H4791"/>
    </row>
    <row r="4792" spans="1:8" ht="15">
      <c r="A4792"/>
      <c r="B4792"/>
      <c r="D4792"/>
      <c r="E4792"/>
      <c r="F4792"/>
      <c r="H4792"/>
    </row>
    <row r="4793" spans="1:8" ht="15">
      <c r="A4793"/>
      <c r="B4793"/>
      <c r="D4793"/>
      <c r="E4793"/>
      <c r="F4793"/>
      <c r="H4793"/>
    </row>
    <row r="4794" spans="1:8" ht="15">
      <c r="A4794"/>
      <c r="B4794"/>
      <c r="D4794"/>
      <c r="E4794"/>
      <c r="F4794"/>
      <c r="H4794"/>
    </row>
    <row r="4795" spans="1:8" ht="15">
      <c r="A4795"/>
      <c r="B4795"/>
      <c r="D4795"/>
      <c r="E4795"/>
      <c r="F4795"/>
      <c r="H4795"/>
    </row>
    <row r="4796" spans="1:8" ht="15">
      <c r="A4796"/>
      <c r="B4796"/>
      <c r="D4796"/>
      <c r="E4796"/>
      <c r="F4796"/>
      <c r="H4796"/>
    </row>
    <row r="4797" spans="1:8" ht="15">
      <c r="A4797"/>
      <c r="B4797"/>
      <c r="D4797"/>
      <c r="E4797"/>
      <c r="F4797"/>
      <c r="H4797"/>
    </row>
    <row r="4798" spans="1:8" ht="15">
      <c r="A4798"/>
      <c r="B4798"/>
      <c r="D4798"/>
      <c r="E4798"/>
      <c r="F4798"/>
      <c r="H4798"/>
    </row>
    <row r="4799" spans="1:8" ht="15">
      <c r="A4799"/>
      <c r="B4799"/>
      <c r="D4799"/>
      <c r="E4799"/>
      <c r="F4799"/>
      <c r="H4799"/>
    </row>
    <row r="4800" spans="1:8" ht="15">
      <c r="A4800"/>
      <c r="B4800"/>
      <c r="D4800"/>
      <c r="E4800"/>
      <c r="F4800"/>
      <c r="H4800"/>
    </row>
    <row r="4801" spans="1:8" ht="15">
      <c r="A4801"/>
      <c r="B4801"/>
      <c r="D4801"/>
      <c r="E4801"/>
      <c r="F4801"/>
      <c r="H4801"/>
    </row>
    <row r="4802" spans="1:8" ht="15">
      <c r="A4802"/>
      <c r="B4802"/>
      <c r="D4802"/>
      <c r="E4802"/>
      <c r="F4802"/>
      <c r="H4802"/>
    </row>
    <row r="4803" spans="1:8" ht="15">
      <c r="A4803"/>
      <c r="B4803"/>
      <c r="D4803"/>
      <c r="E4803"/>
      <c r="F4803"/>
      <c r="H4803"/>
    </row>
    <row r="4804" spans="1:8" ht="15">
      <c r="A4804"/>
      <c r="B4804"/>
      <c r="D4804"/>
      <c r="E4804"/>
      <c r="F4804"/>
      <c r="H4804"/>
    </row>
    <row r="4805" spans="1:8" ht="15">
      <c r="A4805"/>
      <c r="B4805"/>
      <c r="D4805"/>
      <c r="E4805"/>
      <c r="F4805"/>
      <c r="H4805"/>
    </row>
    <row r="4806" spans="1:8" ht="15">
      <c r="A4806"/>
      <c r="B4806"/>
      <c r="D4806"/>
      <c r="E4806"/>
      <c r="F4806"/>
      <c r="H4806"/>
    </row>
    <row r="4807" spans="1:8" ht="15">
      <c r="A4807"/>
      <c r="B4807"/>
      <c r="D4807"/>
      <c r="E4807"/>
      <c r="F4807"/>
      <c r="H4807"/>
    </row>
    <row r="4808" spans="1:8" ht="15">
      <c r="A4808"/>
      <c r="B4808"/>
      <c r="D4808"/>
      <c r="E4808"/>
      <c r="F4808"/>
      <c r="H4808"/>
    </row>
    <row r="4809" spans="1:8" ht="15">
      <c r="A4809"/>
      <c r="B4809"/>
      <c r="D4809"/>
      <c r="E4809"/>
      <c r="F4809"/>
      <c r="H4809"/>
    </row>
    <row r="4810" spans="1:8" ht="15">
      <c r="A4810"/>
      <c r="B4810"/>
      <c r="D4810"/>
      <c r="E4810"/>
      <c r="F4810"/>
      <c r="H4810"/>
    </row>
    <row r="4811" spans="1:8" ht="15">
      <c r="A4811"/>
      <c r="B4811"/>
      <c r="D4811"/>
      <c r="E4811"/>
      <c r="F4811"/>
      <c r="H4811"/>
    </row>
    <row r="4812" spans="1:8" ht="15">
      <c r="A4812"/>
      <c r="B4812"/>
      <c r="D4812"/>
      <c r="E4812"/>
      <c r="F4812"/>
      <c r="H4812"/>
    </row>
    <row r="4813" spans="1:8" ht="15">
      <c r="A4813"/>
      <c r="B4813"/>
      <c r="D4813"/>
      <c r="E4813"/>
      <c r="F4813"/>
      <c r="H4813"/>
    </row>
    <row r="4814" spans="1:8" ht="15">
      <c r="A4814"/>
      <c r="B4814"/>
      <c r="D4814"/>
      <c r="E4814"/>
      <c r="F4814"/>
      <c r="H4814"/>
    </row>
    <row r="4815" spans="1:8" ht="15">
      <c r="A4815"/>
      <c r="B4815"/>
      <c r="D4815"/>
      <c r="E4815"/>
      <c r="F4815"/>
      <c r="H4815"/>
    </row>
    <row r="4816" spans="1:8" ht="15">
      <c r="A4816"/>
      <c r="B4816"/>
      <c r="D4816"/>
      <c r="E4816"/>
      <c r="F4816"/>
      <c r="H4816"/>
    </row>
    <row r="4817" spans="1:8" ht="15">
      <c r="A4817"/>
      <c r="B4817"/>
      <c r="D4817"/>
      <c r="E4817"/>
      <c r="F4817"/>
      <c r="H4817"/>
    </row>
    <row r="4818" spans="1:8" ht="15">
      <c r="A4818"/>
      <c r="B4818"/>
      <c r="D4818"/>
      <c r="E4818"/>
      <c r="F4818"/>
      <c r="H4818"/>
    </row>
    <row r="4819" spans="1:8" ht="15">
      <c r="A4819"/>
      <c r="B4819"/>
      <c r="D4819"/>
      <c r="E4819"/>
      <c r="F4819"/>
      <c r="H4819"/>
    </row>
    <row r="4820" spans="1:8" ht="15">
      <c r="A4820"/>
      <c r="B4820"/>
      <c r="D4820"/>
      <c r="E4820"/>
      <c r="F4820"/>
      <c r="H4820"/>
    </row>
    <row r="4821" spans="1:8" ht="15">
      <c r="A4821"/>
      <c r="B4821"/>
      <c r="D4821"/>
      <c r="E4821"/>
      <c r="F4821"/>
      <c r="H4821"/>
    </row>
    <row r="4822" spans="1:8" ht="15">
      <c r="A4822"/>
      <c r="B4822"/>
      <c r="D4822"/>
      <c r="E4822"/>
      <c r="F4822"/>
      <c r="H4822"/>
    </row>
    <row r="4823" spans="1:8" ht="15">
      <c r="A4823"/>
      <c r="B4823"/>
      <c r="D4823"/>
      <c r="E4823"/>
      <c r="F4823"/>
      <c r="H4823"/>
    </row>
    <row r="4824" spans="1:8" ht="15">
      <c r="A4824"/>
      <c r="B4824"/>
      <c r="D4824"/>
      <c r="E4824"/>
      <c r="F4824"/>
      <c r="H4824"/>
    </row>
    <row r="4825" spans="1:8" ht="15">
      <c r="A4825"/>
      <c r="B4825"/>
      <c r="D4825"/>
      <c r="E4825"/>
      <c r="F4825"/>
      <c r="H4825"/>
    </row>
    <row r="4826" spans="1:8" ht="15">
      <c r="A4826"/>
      <c r="B4826"/>
      <c r="D4826"/>
      <c r="E4826"/>
      <c r="F4826"/>
      <c r="H4826"/>
    </row>
    <row r="4827" spans="1:8" ht="15">
      <c r="A4827"/>
      <c r="B4827"/>
      <c r="D4827"/>
      <c r="E4827"/>
      <c r="F4827"/>
      <c r="H4827"/>
    </row>
    <row r="4828" spans="1:8" ht="15">
      <c r="A4828"/>
      <c r="B4828"/>
      <c r="D4828"/>
      <c r="E4828"/>
      <c r="F4828"/>
      <c r="H4828"/>
    </row>
    <row r="4829" spans="1:8" ht="15">
      <c r="A4829"/>
      <c r="B4829"/>
      <c r="D4829"/>
      <c r="E4829"/>
      <c r="F4829"/>
      <c r="H4829"/>
    </row>
    <row r="4830" spans="1:8" ht="15">
      <c r="A4830"/>
      <c r="B4830"/>
      <c r="D4830"/>
      <c r="E4830"/>
      <c r="F4830"/>
      <c r="H4830"/>
    </row>
    <row r="4831" spans="1:8" ht="15">
      <c r="A4831"/>
      <c r="B4831"/>
      <c r="D4831"/>
      <c r="E4831"/>
      <c r="F4831"/>
      <c r="H4831"/>
    </row>
    <row r="4832" spans="1:8" ht="15">
      <c r="A4832"/>
      <c r="B4832"/>
      <c r="D4832"/>
      <c r="E4832"/>
      <c r="F4832"/>
      <c r="H4832"/>
    </row>
    <row r="4833" spans="1:8" ht="15">
      <c r="A4833"/>
      <c r="B4833"/>
      <c r="D4833"/>
      <c r="E4833"/>
      <c r="F4833"/>
      <c r="H4833"/>
    </row>
    <row r="4834" spans="1:8" ht="15">
      <c r="A4834"/>
      <c r="B4834"/>
      <c r="D4834"/>
      <c r="E4834"/>
      <c r="F4834"/>
      <c r="H4834"/>
    </row>
    <row r="4835" spans="1:8" ht="15">
      <c r="A4835"/>
      <c r="B4835"/>
      <c r="D4835"/>
      <c r="E4835"/>
      <c r="F4835"/>
      <c r="H4835"/>
    </row>
    <row r="4836" spans="1:8" ht="15">
      <c r="A4836"/>
      <c r="B4836"/>
      <c r="D4836"/>
      <c r="E4836"/>
      <c r="F4836"/>
      <c r="H4836"/>
    </row>
    <row r="4837" spans="1:8" ht="15">
      <c r="A4837"/>
      <c r="B4837"/>
      <c r="D4837"/>
      <c r="E4837"/>
      <c r="F4837"/>
      <c r="H4837"/>
    </row>
    <row r="4838" spans="1:8" ht="15">
      <c r="A4838"/>
      <c r="B4838"/>
      <c r="D4838"/>
      <c r="E4838"/>
      <c r="F4838"/>
      <c r="H4838"/>
    </row>
    <row r="4839" spans="1:8" ht="15">
      <c r="A4839"/>
      <c r="B4839"/>
      <c r="D4839"/>
      <c r="E4839"/>
      <c r="F4839"/>
      <c r="H4839"/>
    </row>
    <row r="4840" spans="1:8" ht="15">
      <c r="A4840"/>
      <c r="B4840"/>
      <c r="D4840"/>
      <c r="E4840"/>
      <c r="F4840"/>
      <c r="H4840"/>
    </row>
    <row r="4841" spans="1:8" ht="15">
      <c r="A4841"/>
      <c r="B4841"/>
      <c r="D4841"/>
      <c r="E4841"/>
      <c r="F4841"/>
      <c r="H4841"/>
    </row>
    <row r="4842" spans="1:8" ht="15">
      <c r="A4842"/>
      <c r="B4842"/>
      <c r="D4842"/>
      <c r="E4842"/>
      <c r="F4842"/>
      <c r="H4842"/>
    </row>
    <row r="4843" spans="1:8" ht="15">
      <c r="A4843"/>
      <c r="B4843"/>
      <c r="D4843"/>
      <c r="E4843"/>
      <c r="F4843"/>
      <c r="H4843"/>
    </row>
    <row r="4844" spans="1:8" ht="15">
      <c r="A4844"/>
      <c r="B4844"/>
      <c r="D4844"/>
      <c r="E4844"/>
      <c r="F4844"/>
      <c r="H4844"/>
    </row>
    <row r="4845" spans="1:8" ht="15">
      <c r="A4845"/>
      <c r="B4845"/>
      <c r="D4845"/>
      <c r="E4845"/>
      <c r="F4845"/>
      <c r="H4845"/>
    </row>
    <row r="4846" spans="1:8" ht="15">
      <c r="A4846"/>
      <c r="B4846"/>
      <c r="D4846"/>
      <c r="E4846"/>
      <c r="F4846"/>
      <c r="H4846"/>
    </row>
    <row r="4847" spans="1:8" ht="15">
      <c r="A4847"/>
      <c r="B4847"/>
      <c r="D4847"/>
      <c r="E4847"/>
      <c r="F4847"/>
      <c r="H4847"/>
    </row>
    <row r="4848" spans="1:8" ht="15">
      <c r="A4848"/>
      <c r="B4848"/>
      <c r="D4848"/>
      <c r="E4848"/>
      <c r="F4848"/>
      <c r="H4848"/>
    </row>
    <row r="4849" spans="1:8" ht="15">
      <c r="A4849"/>
      <c r="B4849"/>
      <c r="D4849"/>
      <c r="E4849"/>
      <c r="F4849"/>
      <c r="H4849"/>
    </row>
    <row r="4850" spans="1:8" ht="15">
      <c r="A4850"/>
      <c r="B4850"/>
      <c r="D4850"/>
      <c r="E4850"/>
      <c r="F4850"/>
      <c r="H4850"/>
    </row>
    <row r="4851" spans="1:8" ht="15">
      <c r="A4851"/>
      <c r="B4851"/>
      <c r="D4851"/>
      <c r="E4851"/>
      <c r="F4851"/>
      <c r="H4851"/>
    </row>
    <row r="4852" spans="1:8" ht="15">
      <c r="A4852"/>
      <c r="B4852"/>
      <c r="D4852"/>
      <c r="E4852"/>
      <c r="F4852"/>
      <c r="H4852"/>
    </row>
    <row r="4853" spans="1:8" ht="15">
      <c r="A4853"/>
      <c r="B4853"/>
      <c r="D4853"/>
      <c r="E4853"/>
      <c r="F4853"/>
      <c r="H4853"/>
    </row>
    <row r="4854" spans="1:8" ht="15">
      <c r="A4854"/>
      <c r="B4854"/>
      <c r="D4854"/>
      <c r="E4854"/>
      <c r="F4854"/>
      <c r="H4854"/>
    </row>
    <row r="4855" spans="1:8" ht="15">
      <c r="A4855"/>
      <c r="B4855"/>
      <c r="D4855"/>
      <c r="E4855"/>
      <c r="F4855"/>
      <c r="H4855"/>
    </row>
    <row r="4856" spans="1:8" ht="15">
      <c r="A4856"/>
      <c r="B4856"/>
      <c r="D4856"/>
      <c r="E4856"/>
      <c r="F4856"/>
      <c r="H4856"/>
    </row>
    <row r="4857" spans="1:8" ht="15">
      <c r="A4857"/>
      <c r="B4857"/>
      <c r="D4857"/>
      <c r="E4857"/>
      <c r="F4857"/>
      <c r="H4857"/>
    </row>
    <row r="4858" spans="1:8" ht="15">
      <c r="A4858"/>
      <c r="B4858"/>
      <c r="D4858"/>
      <c r="E4858"/>
      <c r="F4858"/>
      <c r="H4858"/>
    </row>
    <row r="4859" spans="1:8" ht="15">
      <c r="A4859"/>
      <c r="B4859"/>
      <c r="D4859"/>
      <c r="E4859"/>
      <c r="F4859"/>
      <c r="H4859"/>
    </row>
    <row r="4860" spans="1:8" ht="15">
      <c r="A4860"/>
      <c r="B4860"/>
      <c r="D4860"/>
      <c r="E4860"/>
      <c r="F4860"/>
      <c r="H4860"/>
    </row>
    <row r="4861" spans="1:8" ht="15">
      <c r="A4861"/>
      <c r="B4861"/>
      <c r="D4861"/>
      <c r="E4861"/>
      <c r="F4861"/>
      <c r="H4861"/>
    </row>
    <row r="4862" spans="1:8" ht="15">
      <c r="A4862"/>
      <c r="B4862"/>
      <c r="D4862"/>
      <c r="E4862"/>
      <c r="F4862"/>
      <c r="H4862"/>
    </row>
    <row r="4863" spans="1:8" ht="15">
      <c r="A4863"/>
      <c r="B4863"/>
      <c r="D4863"/>
      <c r="E4863"/>
      <c r="F4863"/>
      <c r="H4863"/>
    </row>
    <row r="4864" spans="1:8" ht="15">
      <c r="A4864"/>
      <c r="B4864"/>
      <c r="D4864"/>
      <c r="E4864"/>
      <c r="F4864"/>
      <c r="H4864"/>
    </row>
    <row r="4865" spans="1:8" ht="15">
      <c r="A4865"/>
      <c r="B4865"/>
      <c r="D4865"/>
      <c r="E4865"/>
      <c r="F4865"/>
      <c r="H4865"/>
    </row>
    <row r="4866" spans="1:8" ht="15">
      <c r="A4866"/>
      <c r="B4866"/>
      <c r="D4866"/>
      <c r="E4866"/>
      <c r="F4866"/>
      <c r="H4866"/>
    </row>
    <row r="4867" spans="1:8" ht="15">
      <c r="A4867"/>
      <c r="B4867"/>
      <c r="D4867"/>
      <c r="E4867"/>
      <c r="F4867"/>
      <c r="H4867"/>
    </row>
    <row r="4868" spans="1:8" ht="15">
      <c r="A4868"/>
      <c r="B4868"/>
      <c r="D4868"/>
      <c r="E4868"/>
      <c r="F4868"/>
      <c r="H4868"/>
    </row>
    <row r="4869" spans="1:8" ht="15">
      <c r="A4869"/>
      <c r="B4869"/>
      <c r="D4869"/>
      <c r="E4869"/>
      <c r="F4869"/>
      <c r="H4869"/>
    </row>
    <row r="4870" spans="1:8" ht="15">
      <c r="A4870"/>
      <c r="B4870"/>
      <c r="D4870"/>
      <c r="E4870"/>
      <c r="F4870"/>
      <c r="H4870"/>
    </row>
    <row r="4871" spans="1:8" ht="15">
      <c r="A4871"/>
      <c r="B4871"/>
      <c r="D4871"/>
      <c r="E4871"/>
      <c r="F4871"/>
      <c r="H4871"/>
    </row>
    <row r="4872" spans="1:8" ht="15">
      <c r="A4872"/>
      <c r="B4872"/>
      <c r="D4872"/>
      <c r="E4872"/>
      <c r="F4872"/>
      <c r="H4872"/>
    </row>
    <row r="4873" spans="1:8" ht="15">
      <c r="A4873"/>
      <c r="B4873"/>
      <c r="D4873"/>
      <c r="E4873"/>
      <c r="F4873"/>
      <c r="H4873"/>
    </row>
    <row r="4874" spans="1:8" ht="15">
      <c r="A4874"/>
      <c r="B4874"/>
      <c r="D4874"/>
      <c r="E4874"/>
      <c r="F4874"/>
      <c r="H4874"/>
    </row>
    <row r="4875" spans="1:8" ht="15">
      <c r="A4875"/>
      <c r="B4875"/>
      <c r="D4875"/>
      <c r="E4875"/>
      <c r="F4875"/>
      <c r="H4875"/>
    </row>
    <row r="4876" spans="1:8" ht="15">
      <c r="A4876"/>
      <c r="B4876"/>
      <c r="D4876"/>
      <c r="E4876"/>
      <c r="F4876"/>
      <c r="H4876"/>
    </row>
    <row r="4877" spans="1:8" ht="15">
      <c r="A4877"/>
      <c r="B4877"/>
      <c r="D4877"/>
      <c r="E4877"/>
      <c r="F4877"/>
      <c r="H4877"/>
    </row>
    <row r="4878" spans="1:8" ht="15">
      <c r="A4878"/>
      <c r="B4878"/>
      <c r="D4878"/>
      <c r="E4878"/>
      <c r="F4878"/>
      <c r="H4878"/>
    </row>
    <row r="4879" spans="1:8" ht="15">
      <c r="A4879"/>
      <c r="B4879"/>
      <c r="D4879"/>
      <c r="E4879"/>
      <c r="F4879"/>
      <c r="H4879"/>
    </row>
    <row r="4880" spans="1:8" ht="15">
      <c r="A4880"/>
      <c r="B4880"/>
      <c r="D4880"/>
      <c r="E4880"/>
      <c r="F4880"/>
      <c r="H4880"/>
    </row>
    <row r="4881" spans="1:8" ht="15">
      <c r="A4881"/>
      <c r="B4881"/>
      <c r="D4881"/>
      <c r="E4881"/>
      <c r="F4881"/>
      <c r="H4881"/>
    </row>
    <row r="4882" spans="1:8" ht="15">
      <c r="A4882"/>
      <c r="B4882"/>
      <c r="D4882"/>
      <c r="E4882"/>
      <c r="F4882"/>
      <c r="H4882"/>
    </row>
    <row r="4883" spans="1:8" ht="15">
      <c r="A4883"/>
      <c r="B4883"/>
      <c r="D4883"/>
      <c r="E4883"/>
      <c r="F4883"/>
      <c r="H4883"/>
    </row>
    <row r="4884" spans="1:8" ht="15">
      <c r="A4884"/>
      <c r="B4884"/>
      <c r="D4884"/>
      <c r="E4884"/>
      <c r="F4884"/>
      <c r="H4884"/>
    </row>
    <row r="4885" spans="1:8" ht="15">
      <c r="A4885"/>
      <c r="B4885"/>
      <c r="D4885"/>
      <c r="E4885"/>
      <c r="F4885"/>
      <c r="H4885"/>
    </row>
    <row r="4886" spans="1:8" ht="15">
      <c r="A4886"/>
      <c r="B4886"/>
      <c r="D4886"/>
      <c r="E4886"/>
      <c r="F4886"/>
      <c r="H4886"/>
    </row>
    <row r="4887" spans="1:8" ht="15">
      <c r="A4887"/>
      <c r="B4887"/>
      <c r="D4887"/>
      <c r="E4887"/>
      <c r="F4887"/>
      <c r="H4887"/>
    </row>
    <row r="4888" spans="1:8" ht="15">
      <c r="A4888"/>
      <c r="B4888"/>
      <c r="D4888"/>
      <c r="E4888"/>
      <c r="F4888"/>
      <c r="H4888"/>
    </row>
    <row r="4889" spans="1:8" ht="15">
      <c r="A4889"/>
      <c r="B4889"/>
      <c r="D4889"/>
      <c r="E4889"/>
      <c r="F4889"/>
      <c r="H4889"/>
    </row>
    <row r="4890" spans="1:8" ht="15">
      <c r="A4890"/>
      <c r="B4890"/>
      <c r="D4890"/>
      <c r="E4890"/>
      <c r="F4890"/>
      <c r="H4890"/>
    </row>
    <row r="4891" spans="1:8" ht="15">
      <c r="A4891"/>
      <c r="B4891"/>
      <c r="D4891"/>
      <c r="E4891"/>
      <c r="F4891"/>
      <c r="H4891"/>
    </row>
    <row r="4892" spans="1:8" ht="15">
      <c r="A4892"/>
      <c r="B4892"/>
      <c r="D4892"/>
      <c r="E4892"/>
      <c r="F4892"/>
      <c r="H4892"/>
    </row>
    <row r="4893" spans="1:8" ht="15">
      <c r="A4893"/>
      <c r="B4893"/>
      <c r="D4893"/>
      <c r="E4893"/>
      <c r="F4893"/>
      <c r="H4893"/>
    </row>
    <row r="4894" spans="1:8" ht="15">
      <c r="A4894"/>
      <c r="B4894"/>
      <c r="D4894"/>
      <c r="E4894"/>
      <c r="F4894"/>
      <c r="H4894"/>
    </row>
    <row r="4895" spans="1:8" ht="15">
      <c r="A4895"/>
      <c r="B4895"/>
      <c r="D4895"/>
      <c r="E4895"/>
      <c r="F4895"/>
      <c r="H4895"/>
    </row>
    <row r="4896" spans="1:8" ht="15">
      <c r="A4896"/>
      <c r="B4896"/>
      <c r="D4896"/>
      <c r="E4896"/>
      <c r="F4896"/>
      <c r="H4896"/>
    </row>
    <row r="4897" spans="1:8" ht="15">
      <c r="A4897"/>
      <c r="B4897"/>
      <c r="D4897"/>
      <c r="E4897"/>
      <c r="F4897"/>
      <c r="H4897"/>
    </row>
    <row r="4898" spans="1:8" ht="15">
      <c r="A4898"/>
      <c r="B4898"/>
      <c r="D4898"/>
      <c r="E4898"/>
      <c r="F4898"/>
      <c r="H4898"/>
    </row>
    <row r="4899" spans="1:8" ht="15">
      <c r="A4899"/>
      <c r="B4899"/>
      <c r="D4899"/>
      <c r="E4899"/>
      <c r="F4899"/>
      <c r="H4899"/>
    </row>
    <row r="4900" spans="1:8" ht="15">
      <c r="A4900"/>
      <c r="B4900"/>
      <c r="D4900"/>
      <c r="E4900"/>
      <c r="F4900"/>
      <c r="H4900"/>
    </row>
    <row r="4901" spans="1:8" ht="15">
      <c r="A4901"/>
      <c r="B4901"/>
      <c r="D4901"/>
      <c r="E4901"/>
      <c r="F4901"/>
      <c r="H4901"/>
    </row>
    <row r="4902" spans="1:8" ht="15">
      <c r="A4902"/>
      <c r="B4902"/>
      <c r="D4902"/>
      <c r="E4902"/>
      <c r="F4902"/>
      <c r="H4902"/>
    </row>
    <row r="4903" spans="1:8" ht="15">
      <c r="A4903"/>
      <c r="B4903"/>
      <c r="D4903"/>
      <c r="E4903"/>
      <c r="F4903"/>
      <c r="H4903"/>
    </row>
    <row r="4904" spans="1:8" ht="15">
      <c r="A4904"/>
      <c r="B4904"/>
      <c r="D4904"/>
      <c r="E4904"/>
      <c r="F4904"/>
      <c r="H4904"/>
    </row>
    <row r="4905" spans="1:8" ht="15">
      <c r="A4905"/>
      <c r="B4905"/>
      <c r="D4905"/>
      <c r="E4905"/>
      <c r="F4905"/>
      <c r="H4905"/>
    </row>
    <row r="4906" spans="1:8" ht="15">
      <c r="A4906"/>
      <c r="B4906"/>
      <c r="D4906"/>
      <c r="E4906"/>
      <c r="F4906"/>
      <c r="H4906"/>
    </row>
    <row r="4907" spans="1:8" ht="15">
      <c r="A4907"/>
      <c r="B4907"/>
      <c r="D4907"/>
      <c r="E4907"/>
      <c r="F4907"/>
      <c r="H4907"/>
    </row>
    <row r="4908" spans="1:8" ht="15">
      <c r="A4908"/>
      <c r="B4908"/>
      <c r="D4908"/>
      <c r="E4908"/>
      <c r="F4908"/>
      <c r="H4908"/>
    </row>
    <row r="4909" spans="1:8" ht="15">
      <c r="A4909"/>
      <c r="B4909"/>
      <c r="D4909"/>
      <c r="E4909"/>
      <c r="F4909"/>
      <c r="H4909"/>
    </row>
    <row r="4910" spans="1:8" ht="15">
      <c r="A4910"/>
      <c r="B4910"/>
      <c r="D4910"/>
      <c r="E4910"/>
      <c r="F4910"/>
      <c r="H4910"/>
    </row>
    <row r="4911" spans="1:8" ht="15">
      <c r="A4911"/>
      <c r="B4911"/>
      <c r="D4911"/>
      <c r="E4911"/>
      <c r="F4911"/>
      <c r="H4911"/>
    </row>
    <row r="4912" spans="1:8" ht="15">
      <c r="A4912"/>
      <c r="B4912"/>
      <c r="D4912"/>
      <c r="E4912"/>
      <c r="F4912"/>
      <c r="H4912"/>
    </row>
    <row r="4913" spans="1:8" ht="15">
      <c r="A4913"/>
      <c r="B4913"/>
      <c r="D4913"/>
      <c r="E4913"/>
      <c r="F4913"/>
      <c r="H4913"/>
    </row>
    <row r="4914" spans="1:8" ht="15">
      <c r="A4914"/>
      <c r="B4914"/>
      <c r="D4914"/>
      <c r="E4914"/>
      <c r="F4914"/>
      <c r="H4914"/>
    </row>
    <row r="4915" spans="1:8" ht="15">
      <c r="A4915"/>
      <c r="B4915"/>
      <c r="D4915"/>
      <c r="E4915"/>
      <c r="F4915"/>
      <c r="H4915"/>
    </row>
    <row r="4916" spans="1:8" ht="15">
      <c r="A4916"/>
      <c r="B4916"/>
      <c r="D4916"/>
      <c r="E4916"/>
      <c r="F4916"/>
      <c r="H4916"/>
    </row>
    <row r="4917" spans="1:8" ht="15">
      <c r="A4917"/>
      <c r="B4917"/>
      <c r="D4917"/>
      <c r="E4917"/>
      <c r="F4917"/>
      <c r="H4917"/>
    </row>
    <row r="4918" spans="1:8" ht="15">
      <c r="A4918"/>
      <c r="B4918"/>
      <c r="D4918"/>
      <c r="E4918"/>
      <c r="F4918"/>
      <c r="H4918"/>
    </row>
    <row r="4919" spans="1:8" ht="15">
      <c r="A4919"/>
      <c r="B4919"/>
      <c r="D4919"/>
      <c r="E4919"/>
      <c r="F4919"/>
      <c r="H4919"/>
    </row>
    <row r="4920" spans="1:8" ht="15">
      <c r="A4920"/>
      <c r="B4920"/>
      <c r="D4920"/>
      <c r="E4920"/>
      <c r="F4920"/>
      <c r="H4920"/>
    </row>
    <row r="4921" spans="1:8" ht="15">
      <c r="A4921"/>
      <c r="B4921"/>
      <c r="D4921"/>
      <c r="E4921"/>
      <c r="F4921"/>
      <c r="H4921"/>
    </row>
    <row r="4922" spans="1:8" ht="15">
      <c r="A4922"/>
      <c r="B4922"/>
      <c r="D4922"/>
      <c r="E4922"/>
      <c r="F4922"/>
      <c r="H4922"/>
    </row>
    <row r="4923" spans="1:8" ht="15">
      <c r="A4923"/>
      <c r="B4923"/>
      <c r="D4923"/>
      <c r="E4923"/>
      <c r="F4923"/>
      <c r="H4923"/>
    </row>
    <row r="4924" spans="1:8" ht="15">
      <c r="A4924"/>
      <c r="B4924"/>
      <c r="D4924"/>
      <c r="E4924"/>
      <c r="F4924"/>
      <c r="H4924"/>
    </row>
    <row r="4925" spans="1:8" ht="15">
      <c r="A4925"/>
      <c r="B4925"/>
      <c r="D4925"/>
      <c r="E4925"/>
      <c r="F4925"/>
      <c r="H4925"/>
    </row>
    <row r="4926" spans="1:8" ht="15">
      <c r="A4926"/>
      <c r="B4926"/>
      <c r="D4926"/>
      <c r="E4926"/>
      <c r="F4926"/>
      <c r="H4926"/>
    </row>
    <row r="4927" spans="1:8" ht="15">
      <c r="A4927"/>
      <c r="B4927"/>
      <c r="D4927"/>
      <c r="E4927"/>
      <c r="F4927"/>
      <c r="H4927"/>
    </row>
    <row r="4928" spans="1:8" ht="15">
      <c r="A4928"/>
      <c r="B4928"/>
      <c r="D4928"/>
      <c r="E4928"/>
      <c r="F4928"/>
      <c r="H4928"/>
    </row>
    <row r="4929" spans="1:8" ht="15">
      <c r="A4929"/>
      <c r="B4929"/>
      <c r="D4929"/>
      <c r="E4929"/>
      <c r="F4929"/>
      <c r="H4929"/>
    </row>
    <row r="4930" spans="1:8" ht="15">
      <c r="A4930"/>
      <c r="B4930"/>
      <c r="D4930"/>
      <c r="E4930"/>
      <c r="F4930"/>
      <c r="H4930"/>
    </row>
    <row r="4931" spans="1:8" ht="15">
      <c r="A4931"/>
      <c r="B4931"/>
      <c r="D4931"/>
      <c r="E4931"/>
      <c r="F4931"/>
      <c r="H4931"/>
    </row>
    <row r="4932" spans="1:8" ht="15">
      <c r="A4932"/>
      <c r="B4932"/>
      <c r="D4932"/>
      <c r="E4932"/>
      <c r="F4932"/>
      <c r="H4932"/>
    </row>
    <row r="4933" spans="1:8" ht="15">
      <c r="A4933"/>
      <c r="B4933"/>
      <c r="D4933"/>
      <c r="E4933"/>
      <c r="F4933"/>
      <c r="H4933"/>
    </row>
    <row r="4934" spans="1:8" ht="15">
      <c r="A4934"/>
      <c r="B4934"/>
      <c r="D4934"/>
      <c r="E4934"/>
      <c r="F4934"/>
      <c r="H4934"/>
    </row>
    <row r="4935" spans="1:8" ht="15">
      <c r="A4935"/>
      <c r="B4935"/>
      <c r="D4935"/>
      <c r="E4935"/>
      <c r="F4935"/>
      <c r="H4935"/>
    </row>
    <row r="4936" spans="1:8" ht="15">
      <c r="A4936"/>
      <c r="B4936"/>
      <c r="D4936"/>
      <c r="E4936"/>
      <c r="F4936"/>
      <c r="H4936"/>
    </row>
    <row r="4937" spans="1:8" ht="15">
      <c r="A4937"/>
      <c r="B4937"/>
      <c r="D4937"/>
      <c r="E4937"/>
      <c r="F4937"/>
      <c r="H4937"/>
    </row>
    <row r="4938" spans="1:8" ht="15">
      <c r="A4938"/>
      <c r="B4938"/>
      <c r="D4938"/>
      <c r="E4938"/>
      <c r="F4938"/>
      <c r="H4938"/>
    </row>
    <row r="4939" spans="1:8" ht="15">
      <c r="A4939"/>
      <c r="B4939"/>
      <c r="D4939"/>
      <c r="E4939"/>
      <c r="F4939"/>
      <c r="H4939"/>
    </row>
    <row r="4940" spans="1:8" ht="15">
      <c r="A4940"/>
      <c r="B4940"/>
      <c r="D4940"/>
      <c r="E4940"/>
      <c r="F4940"/>
      <c r="H4940"/>
    </row>
    <row r="4941" spans="1:8" ht="15">
      <c r="A4941"/>
      <c r="B4941"/>
      <c r="D4941"/>
      <c r="E4941"/>
      <c r="F4941"/>
      <c r="H4941"/>
    </row>
    <row r="4942" spans="1:8" ht="15">
      <c r="A4942"/>
      <c r="B4942"/>
      <c r="D4942"/>
      <c r="E4942"/>
      <c r="F4942"/>
      <c r="H4942"/>
    </row>
    <row r="4943" spans="1:8" ht="15">
      <c r="A4943"/>
      <c r="B4943"/>
      <c r="D4943"/>
      <c r="E4943"/>
      <c r="F4943"/>
      <c r="H4943"/>
    </row>
    <row r="4944" spans="1:8" ht="15">
      <c r="A4944"/>
      <c r="B4944"/>
      <c r="D4944"/>
      <c r="E4944"/>
      <c r="F4944"/>
      <c r="H4944"/>
    </row>
    <row r="4945" spans="1:8" ht="15">
      <c r="A4945"/>
      <c r="B4945"/>
      <c r="D4945"/>
      <c r="E4945"/>
      <c r="F4945"/>
      <c r="H4945"/>
    </row>
    <row r="4946" spans="1:8" ht="15">
      <c r="A4946"/>
      <c r="B4946"/>
      <c r="D4946"/>
      <c r="E4946"/>
      <c r="F4946"/>
      <c r="H4946"/>
    </row>
    <row r="4947" spans="1:8" ht="15">
      <c r="A4947"/>
      <c r="B4947"/>
      <c r="D4947"/>
      <c r="E4947"/>
      <c r="F4947"/>
      <c r="H4947"/>
    </row>
    <row r="4948" spans="1:8" ht="15">
      <c r="A4948"/>
      <c r="B4948"/>
      <c r="D4948"/>
      <c r="E4948"/>
      <c r="F4948"/>
      <c r="H4948"/>
    </row>
    <row r="4949" spans="1:8" ht="15">
      <c r="A4949"/>
      <c r="B4949"/>
      <c r="D4949"/>
      <c r="E4949"/>
      <c r="F4949"/>
      <c r="H4949"/>
    </row>
    <row r="4950" spans="1:8" ht="15">
      <c r="A4950"/>
      <c r="B4950"/>
      <c r="D4950"/>
      <c r="E4950"/>
      <c r="F4950"/>
      <c r="H4950"/>
    </row>
    <row r="4951" spans="1:8" ht="15">
      <c r="A4951"/>
      <c r="B4951"/>
      <c r="D4951"/>
      <c r="E4951"/>
      <c r="F4951"/>
      <c r="H4951"/>
    </row>
    <row r="4952" spans="1:8" ht="15">
      <c r="A4952"/>
      <c r="B4952"/>
      <c r="D4952"/>
      <c r="E4952"/>
      <c r="F4952"/>
      <c r="H4952"/>
    </row>
    <row r="4953" spans="1:8" ht="15">
      <c r="A4953"/>
      <c r="B4953"/>
      <c r="D4953"/>
      <c r="E4953"/>
      <c r="F4953"/>
      <c r="H4953"/>
    </row>
    <row r="4954" spans="1:8" ht="15">
      <c r="A4954"/>
      <c r="B4954"/>
      <c r="D4954"/>
      <c r="E4954"/>
      <c r="F4954"/>
      <c r="H4954"/>
    </row>
    <row r="4955" spans="1:8" ht="15">
      <c r="A4955"/>
      <c r="B4955"/>
      <c r="D4955"/>
      <c r="E4955"/>
      <c r="F4955"/>
      <c r="H4955"/>
    </row>
    <row r="4956" spans="1:8" ht="15">
      <c r="A4956"/>
      <c r="B4956"/>
      <c r="D4956"/>
      <c r="E4956"/>
      <c r="F4956"/>
      <c r="H4956"/>
    </row>
    <row r="4957" spans="1:8" ht="15">
      <c r="A4957"/>
      <c r="B4957"/>
      <c r="D4957"/>
      <c r="E4957"/>
      <c r="F4957"/>
      <c r="H4957"/>
    </row>
    <row r="4958" spans="1:8" ht="15">
      <c r="A4958"/>
      <c r="B4958"/>
      <c r="D4958"/>
      <c r="E4958"/>
      <c r="F4958"/>
      <c r="H4958"/>
    </row>
    <row r="4959" spans="1:8" ht="15">
      <c r="A4959"/>
      <c r="B4959"/>
      <c r="D4959"/>
      <c r="E4959"/>
      <c r="F4959"/>
      <c r="H4959"/>
    </row>
    <row r="4960" spans="1:8" ht="15">
      <c r="A4960"/>
      <c r="B4960"/>
      <c r="D4960"/>
      <c r="E4960"/>
      <c r="F4960"/>
      <c r="H4960"/>
    </row>
    <row r="4961" spans="1:8" ht="15">
      <c r="A4961"/>
      <c r="B4961"/>
      <c r="D4961"/>
      <c r="E4961"/>
      <c r="F4961"/>
      <c r="H4961"/>
    </row>
    <row r="4962" spans="1:8" ht="15">
      <c r="A4962"/>
      <c r="B4962"/>
      <c r="D4962"/>
      <c r="E4962"/>
      <c r="F4962"/>
      <c r="H4962"/>
    </row>
    <row r="4963" spans="1:8" ht="15">
      <c r="A4963"/>
      <c r="B4963"/>
      <c r="D4963"/>
      <c r="E4963"/>
      <c r="F4963"/>
      <c r="H4963"/>
    </row>
    <row r="4964" spans="1:8" ht="15">
      <c r="A4964"/>
      <c r="B4964"/>
      <c r="D4964"/>
      <c r="E4964"/>
      <c r="F4964"/>
      <c r="H4964"/>
    </row>
    <row r="4965" spans="1:8" ht="15">
      <c r="A4965"/>
      <c r="B4965"/>
      <c r="D4965"/>
      <c r="E4965"/>
      <c r="F4965"/>
      <c r="H4965"/>
    </row>
    <row r="4966" spans="1:8" ht="15">
      <c r="A4966"/>
      <c r="B4966"/>
      <c r="D4966"/>
      <c r="E4966"/>
      <c r="F4966"/>
      <c r="H4966"/>
    </row>
    <row r="4967" spans="1:8" ht="15">
      <c r="A4967"/>
      <c r="B4967"/>
      <c r="D4967"/>
      <c r="E4967"/>
      <c r="F4967"/>
      <c r="H4967"/>
    </row>
    <row r="4968" spans="1:8" ht="15">
      <c r="A4968"/>
      <c r="B4968"/>
      <c r="D4968"/>
      <c r="E4968"/>
      <c r="F4968"/>
      <c r="H4968"/>
    </row>
    <row r="4969" spans="1:8" ht="15">
      <c r="A4969"/>
      <c r="B4969"/>
      <c r="D4969"/>
      <c r="E4969"/>
      <c r="F4969"/>
      <c r="H4969"/>
    </row>
    <row r="4970" spans="1:8" ht="15">
      <c r="A4970"/>
      <c r="B4970"/>
      <c r="D4970"/>
      <c r="E4970"/>
      <c r="F4970"/>
      <c r="H4970"/>
    </row>
    <row r="4971" spans="1:8" ht="15">
      <c r="A4971"/>
      <c r="B4971"/>
      <c r="D4971"/>
      <c r="E4971"/>
      <c r="F4971"/>
      <c r="H4971"/>
    </row>
    <row r="4972" spans="1:8" ht="15">
      <c r="A4972"/>
      <c r="B4972"/>
      <c r="D4972"/>
      <c r="E4972"/>
      <c r="F4972"/>
      <c r="H4972"/>
    </row>
    <row r="4973" spans="1:8" ht="15">
      <c r="A4973"/>
      <c r="B4973"/>
      <c r="D4973"/>
      <c r="E4973"/>
      <c r="F4973"/>
      <c r="H4973"/>
    </row>
    <row r="4974" spans="1:8" ht="15">
      <c r="A4974"/>
      <c r="B4974"/>
      <c r="D4974"/>
      <c r="E4974"/>
      <c r="F4974"/>
      <c r="H4974"/>
    </row>
    <row r="4975" spans="1:8" ht="15">
      <c r="A4975"/>
      <c r="B4975"/>
      <c r="D4975"/>
      <c r="E4975"/>
      <c r="F4975"/>
      <c r="H4975"/>
    </row>
    <row r="4976" spans="1:8" ht="15">
      <c r="A4976"/>
      <c r="B4976"/>
      <c r="D4976"/>
      <c r="E4976"/>
      <c r="F4976"/>
      <c r="H4976"/>
    </row>
    <row r="4977" spans="1:8" ht="15">
      <c r="A4977"/>
      <c r="B4977"/>
      <c r="D4977"/>
      <c r="E4977"/>
      <c r="F4977"/>
      <c r="H4977"/>
    </row>
    <row r="4978" spans="1:8" ht="15">
      <c r="A4978"/>
      <c r="B4978"/>
      <c r="D4978"/>
      <c r="E4978"/>
      <c r="F4978"/>
      <c r="H4978"/>
    </row>
    <row r="4979" spans="1:8" ht="15">
      <c r="A4979"/>
      <c r="B4979"/>
      <c r="D4979"/>
      <c r="E4979"/>
      <c r="F4979"/>
      <c r="H4979"/>
    </row>
    <row r="4980" spans="1:8" ht="15">
      <c r="A4980"/>
      <c r="B4980"/>
      <c r="D4980"/>
      <c r="E4980"/>
      <c r="F4980"/>
      <c r="H4980"/>
    </row>
    <row r="4981" spans="1:8" ht="15">
      <c r="A4981"/>
      <c r="B4981"/>
      <c r="D4981"/>
      <c r="E4981"/>
      <c r="F4981"/>
      <c r="H4981"/>
    </row>
    <row r="4982" spans="1:8" ht="15">
      <c r="A4982"/>
      <c r="B4982"/>
      <c r="D4982"/>
      <c r="E4982"/>
      <c r="F4982"/>
      <c r="H4982"/>
    </row>
    <row r="4983" spans="1:8" ht="15">
      <c r="A4983"/>
      <c r="B4983"/>
      <c r="D4983"/>
      <c r="E4983"/>
      <c r="F4983"/>
      <c r="H4983"/>
    </row>
    <row r="4984" spans="1:8" ht="15">
      <c r="A4984"/>
      <c r="B4984"/>
      <c r="D4984"/>
      <c r="E4984"/>
      <c r="F4984"/>
      <c r="H4984"/>
    </row>
    <row r="4985" spans="1:8" ht="15">
      <c r="A4985"/>
      <c r="B4985"/>
      <c r="D4985"/>
      <c r="E4985"/>
      <c r="F4985"/>
      <c r="H4985"/>
    </row>
    <row r="4986" spans="1:8" ht="15">
      <c r="A4986"/>
      <c r="B4986"/>
      <c r="D4986"/>
      <c r="E4986"/>
      <c r="F4986"/>
      <c r="H4986"/>
    </row>
    <row r="4987" spans="1:8" ht="15">
      <c r="A4987"/>
      <c r="B4987"/>
      <c r="D4987"/>
      <c r="E4987"/>
      <c r="F4987"/>
      <c r="H4987"/>
    </row>
    <row r="4988" spans="1:8" ht="15">
      <c r="A4988"/>
      <c r="B4988"/>
      <c r="D4988"/>
      <c r="E4988"/>
      <c r="F4988"/>
      <c r="H4988"/>
    </row>
    <row r="4989" spans="1:8" ht="15">
      <c r="A4989"/>
      <c r="B4989"/>
      <c r="D4989"/>
      <c r="E4989"/>
      <c r="F4989"/>
      <c r="H4989"/>
    </row>
    <row r="4990" spans="1:8" ht="15">
      <c r="A4990"/>
      <c r="B4990"/>
      <c r="D4990"/>
      <c r="E4990"/>
      <c r="F4990"/>
      <c r="H4990"/>
    </row>
    <row r="4991" spans="1:8" ht="15">
      <c r="A4991"/>
      <c r="B4991"/>
      <c r="D4991"/>
      <c r="E4991"/>
      <c r="F4991"/>
      <c r="H4991"/>
    </row>
    <row r="4992" spans="1:8" ht="15">
      <c r="A4992"/>
      <c r="B4992"/>
      <c r="D4992"/>
      <c r="E4992"/>
      <c r="F4992"/>
      <c r="H4992"/>
    </row>
    <row r="4993" spans="1:8" ht="15">
      <c r="A4993"/>
      <c r="B4993"/>
      <c r="D4993"/>
      <c r="E4993"/>
      <c r="F4993"/>
      <c r="H4993"/>
    </row>
    <row r="4994" spans="1:8" ht="15">
      <c r="A4994"/>
      <c r="B4994"/>
      <c r="D4994"/>
      <c r="E4994"/>
      <c r="F4994"/>
      <c r="H4994"/>
    </row>
    <row r="4995" spans="1:8" ht="15">
      <c r="A4995"/>
      <c r="B4995"/>
      <c r="D4995"/>
      <c r="E4995"/>
      <c r="F4995"/>
      <c r="H4995"/>
    </row>
    <row r="4996" spans="1:8" ht="15">
      <c r="A4996"/>
      <c r="B4996"/>
      <c r="D4996"/>
      <c r="E4996"/>
      <c r="F4996"/>
      <c r="H4996"/>
    </row>
    <row r="4997" spans="1:8" ht="15">
      <c r="A4997"/>
      <c r="B4997"/>
      <c r="D4997"/>
      <c r="E4997"/>
      <c r="F4997"/>
      <c r="H4997"/>
    </row>
    <row r="4998" spans="1:8" ht="15">
      <c r="A4998"/>
      <c r="B4998"/>
      <c r="D4998"/>
      <c r="E4998"/>
      <c r="F4998"/>
      <c r="H4998"/>
    </row>
    <row r="4999" spans="1:8" ht="15">
      <c r="A4999"/>
      <c r="B4999"/>
      <c r="D4999"/>
      <c r="E4999"/>
      <c r="F4999"/>
      <c r="H4999"/>
    </row>
    <row r="5000" spans="1:8" ht="15">
      <c r="A5000"/>
      <c r="B5000"/>
      <c r="D5000"/>
      <c r="E5000"/>
      <c r="F5000"/>
      <c r="H5000"/>
    </row>
    <row r="5001" spans="1:8" ht="15">
      <c r="A5001"/>
      <c r="B5001"/>
      <c r="D5001"/>
      <c r="E5001"/>
      <c r="F5001"/>
      <c r="H5001"/>
    </row>
    <row r="5002" spans="1:8" ht="15">
      <c r="A5002"/>
      <c r="B5002"/>
      <c r="D5002"/>
      <c r="E5002"/>
      <c r="F5002"/>
      <c r="H5002"/>
    </row>
    <row r="5003" spans="1:8" ht="15">
      <c r="A5003"/>
      <c r="B5003"/>
      <c r="D5003"/>
      <c r="E5003"/>
      <c r="F5003"/>
      <c r="H5003"/>
    </row>
    <row r="5004" spans="1:8" ht="15">
      <c r="A5004"/>
      <c r="B5004"/>
      <c r="D5004"/>
      <c r="E5004"/>
      <c r="F5004"/>
      <c r="H5004"/>
    </row>
    <row r="5005" spans="1:8" ht="15">
      <c r="A5005"/>
      <c r="B5005"/>
      <c r="D5005"/>
      <c r="E5005"/>
      <c r="F5005"/>
      <c r="H5005"/>
    </row>
    <row r="5006" spans="1:8" ht="15">
      <c r="A5006"/>
      <c r="B5006"/>
      <c r="D5006"/>
      <c r="E5006"/>
      <c r="F5006"/>
      <c r="H5006"/>
    </row>
    <row r="5007" spans="1:8" ht="15">
      <c r="A5007"/>
      <c r="B5007"/>
      <c r="D5007"/>
      <c r="E5007"/>
      <c r="F5007"/>
      <c r="H5007"/>
    </row>
    <row r="5008" spans="1:8" ht="15">
      <c r="A5008"/>
      <c r="B5008"/>
      <c r="D5008"/>
      <c r="E5008"/>
      <c r="F5008"/>
      <c r="H5008"/>
    </row>
    <row r="5009" spans="1:8" ht="15">
      <c r="A5009"/>
      <c r="B5009"/>
      <c r="D5009"/>
      <c r="E5009"/>
      <c r="F5009"/>
      <c r="H5009"/>
    </row>
    <row r="5010" spans="1:8" ht="15">
      <c r="A5010"/>
      <c r="B5010"/>
      <c r="D5010"/>
      <c r="E5010"/>
      <c r="F5010"/>
      <c r="H5010"/>
    </row>
    <row r="5011" spans="1:8" ht="15">
      <c r="A5011"/>
      <c r="B5011"/>
      <c r="D5011"/>
      <c r="E5011"/>
      <c r="F5011"/>
      <c r="H5011"/>
    </row>
    <row r="5012" spans="1:8" ht="15">
      <c r="A5012"/>
      <c r="B5012"/>
      <c r="D5012"/>
      <c r="E5012"/>
      <c r="F5012"/>
      <c r="H5012"/>
    </row>
    <row r="5013" spans="1:8" ht="15">
      <c r="A5013"/>
      <c r="B5013"/>
      <c r="D5013"/>
      <c r="E5013"/>
      <c r="F5013"/>
      <c r="H5013"/>
    </row>
    <row r="5014" spans="1:8" ht="15">
      <c r="A5014"/>
      <c r="B5014"/>
      <c r="D5014"/>
      <c r="E5014"/>
      <c r="F5014"/>
      <c r="H5014"/>
    </row>
    <row r="5015" spans="1:8" ht="15">
      <c r="A5015"/>
      <c r="B5015"/>
      <c r="D5015"/>
      <c r="E5015"/>
      <c r="F5015"/>
      <c r="H5015"/>
    </row>
    <row r="5016" spans="1:8" ht="15">
      <c r="A5016"/>
      <c r="B5016"/>
      <c r="D5016"/>
      <c r="E5016"/>
      <c r="F5016"/>
      <c r="H5016"/>
    </row>
    <row r="5017" spans="1:8" ht="15">
      <c r="A5017"/>
      <c r="B5017"/>
      <c r="D5017"/>
      <c r="E5017"/>
      <c r="F5017"/>
      <c r="H5017"/>
    </row>
    <row r="5018" spans="1:8" ht="15">
      <c r="A5018"/>
      <c r="B5018"/>
      <c r="D5018"/>
      <c r="E5018"/>
      <c r="F5018"/>
      <c r="H5018"/>
    </row>
    <row r="5019" spans="1:8" ht="15">
      <c r="A5019"/>
      <c r="B5019"/>
      <c r="D5019"/>
      <c r="E5019"/>
      <c r="F5019"/>
      <c r="H5019"/>
    </row>
    <row r="5020" spans="1:8" ht="15">
      <c r="A5020"/>
      <c r="B5020"/>
      <c r="D5020"/>
      <c r="E5020"/>
      <c r="F5020"/>
      <c r="H5020"/>
    </row>
    <row r="5021" spans="1:8" ht="15">
      <c r="A5021"/>
      <c r="B5021"/>
      <c r="D5021"/>
      <c r="E5021"/>
      <c r="F5021"/>
      <c r="H5021"/>
    </row>
    <row r="5022" spans="1:8" ht="15">
      <c r="A5022"/>
      <c r="B5022"/>
      <c r="D5022"/>
      <c r="E5022"/>
      <c r="F5022"/>
      <c r="H5022"/>
    </row>
    <row r="5023" spans="1:8" ht="15">
      <c r="A5023"/>
      <c r="B5023"/>
      <c r="D5023"/>
      <c r="E5023"/>
      <c r="F5023"/>
      <c r="H5023"/>
    </row>
    <row r="5024" spans="1:8" ht="15">
      <c r="A5024"/>
      <c r="B5024"/>
      <c r="D5024"/>
      <c r="E5024"/>
      <c r="F5024"/>
      <c r="H5024"/>
    </row>
    <row r="5025" spans="1:8" ht="15">
      <c r="A5025"/>
      <c r="B5025"/>
      <c r="D5025"/>
      <c r="E5025"/>
      <c r="F5025"/>
      <c r="H5025"/>
    </row>
    <row r="5026" spans="1:8" ht="15">
      <c r="A5026"/>
      <c r="B5026"/>
      <c r="D5026"/>
      <c r="E5026"/>
      <c r="F5026"/>
      <c r="H5026"/>
    </row>
    <row r="5027" spans="1:8" ht="15">
      <c r="A5027"/>
      <c r="B5027"/>
      <c r="D5027"/>
      <c r="E5027"/>
      <c r="F5027"/>
      <c r="H5027"/>
    </row>
    <row r="5028" spans="1:8" ht="15">
      <c r="A5028"/>
      <c r="B5028"/>
      <c r="D5028"/>
      <c r="E5028"/>
      <c r="F5028"/>
      <c r="H5028"/>
    </row>
    <row r="5029" spans="1:8" ht="15">
      <c r="A5029"/>
      <c r="B5029"/>
      <c r="D5029"/>
      <c r="E5029"/>
      <c r="F5029"/>
      <c r="H5029"/>
    </row>
    <row r="5030" spans="1:8" ht="15">
      <c r="A5030"/>
      <c r="B5030"/>
      <c r="D5030"/>
      <c r="E5030"/>
      <c r="F5030"/>
      <c r="H5030"/>
    </row>
    <row r="5031" spans="1:8" ht="15">
      <c r="A5031"/>
      <c r="B5031"/>
      <c r="D5031"/>
      <c r="E5031"/>
      <c r="F5031"/>
      <c r="H5031"/>
    </row>
    <row r="5032" spans="1:8" ht="15">
      <c r="A5032"/>
      <c r="B5032"/>
      <c r="D5032"/>
      <c r="E5032"/>
      <c r="F5032"/>
      <c r="H5032"/>
    </row>
    <row r="5033" spans="1:8" ht="15">
      <c r="A5033"/>
      <c r="B5033"/>
      <c r="D5033"/>
      <c r="E5033"/>
      <c r="F5033"/>
      <c r="H5033"/>
    </row>
    <row r="5034" spans="1:8" ht="15">
      <c r="A5034"/>
      <c r="B5034"/>
      <c r="D5034"/>
      <c r="E5034"/>
      <c r="F5034"/>
      <c r="H5034"/>
    </row>
    <row r="5035" spans="1:8" ht="15">
      <c r="A5035"/>
      <c r="B5035"/>
      <c r="D5035"/>
      <c r="E5035"/>
      <c r="F5035"/>
      <c r="H5035"/>
    </row>
    <row r="5036" spans="1:8" ht="15">
      <c r="A5036"/>
      <c r="B5036"/>
      <c r="D5036"/>
      <c r="E5036"/>
      <c r="F5036"/>
      <c r="H5036"/>
    </row>
    <row r="5037" spans="1:8" ht="15">
      <c r="A5037"/>
      <c r="B5037"/>
      <c r="D5037"/>
      <c r="E5037"/>
      <c r="F5037"/>
      <c r="H5037"/>
    </row>
    <row r="5038" spans="1:8" ht="15">
      <c r="A5038"/>
      <c r="B5038"/>
      <c r="D5038"/>
      <c r="E5038"/>
      <c r="F5038"/>
      <c r="H5038"/>
    </row>
    <row r="5039" spans="1:8" ht="15">
      <c r="A5039"/>
      <c r="B5039"/>
      <c r="D5039"/>
      <c r="E5039"/>
      <c r="F5039"/>
      <c r="H5039"/>
    </row>
    <row r="5040" spans="1:8" ht="15">
      <c r="A5040"/>
      <c r="B5040"/>
      <c r="D5040"/>
      <c r="E5040"/>
      <c r="F5040"/>
      <c r="H5040"/>
    </row>
    <row r="5041" spans="1:8" ht="15">
      <c r="A5041"/>
      <c r="B5041"/>
      <c r="D5041"/>
      <c r="E5041"/>
      <c r="F5041"/>
      <c r="H5041"/>
    </row>
    <row r="5042" spans="1:8" ht="15">
      <c r="A5042"/>
      <c r="B5042"/>
      <c r="D5042"/>
      <c r="E5042"/>
      <c r="F5042"/>
      <c r="H5042"/>
    </row>
    <row r="5043" spans="1:8" ht="15">
      <c r="A5043"/>
      <c r="B5043"/>
      <c r="D5043"/>
      <c r="E5043"/>
      <c r="F5043"/>
      <c r="H5043"/>
    </row>
    <row r="5044" spans="1:8" ht="15">
      <c r="A5044"/>
      <c r="B5044"/>
      <c r="D5044"/>
      <c r="E5044"/>
      <c r="F5044"/>
      <c r="H5044"/>
    </row>
    <row r="5045" spans="1:8" ht="15">
      <c r="A5045"/>
      <c r="B5045"/>
      <c r="D5045"/>
      <c r="E5045"/>
      <c r="F5045"/>
      <c r="H5045"/>
    </row>
    <row r="5046" spans="1:8" ht="15">
      <c r="A5046"/>
      <c r="B5046"/>
      <c r="D5046"/>
      <c r="E5046"/>
      <c r="F5046"/>
      <c r="H5046"/>
    </row>
    <row r="5047" spans="1:8" ht="15">
      <c r="A5047"/>
      <c r="B5047"/>
      <c r="D5047"/>
      <c r="E5047"/>
      <c r="F5047"/>
      <c r="H5047"/>
    </row>
    <row r="5048" spans="1:8" ht="15">
      <c r="A5048"/>
      <c r="B5048"/>
      <c r="D5048"/>
      <c r="E5048"/>
      <c r="F5048"/>
      <c r="H5048"/>
    </row>
    <row r="5049" spans="1:8" ht="15">
      <c r="A5049"/>
      <c r="B5049"/>
      <c r="D5049"/>
      <c r="E5049"/>
      <c r="F5049"/>
      <c r="H5049"/>
    </row>
    <row r="5050" spans="1:8" ht="15">
      <c r="A5050"/>
      <c r="B5050"/>
      <c r="D5050"/>
      <c r="E5050"/>
      <c r="F5050"/>
      <c r="H5050"/>
    </row>
    <row r="5051" spans="1:8" ht="15">
      <c r="A5051"/>
      <c r="B5051"/>
      <c r="D5051"/>
      <c r="E5051"/>
      <c r="F5051"/>
      <c r="H5051"/>
    </row>
    <row r="5052" spans="1:8" ht="15">
      <c r="A5052"/>
      <c r="B5052"/>
      <c r="D5052"/>
      <c r="E5052"/>
      <c r="F5052"/>
      <c r="H5052"/>
    </row>
    <row r="5053" spans="1:8" ht="15">
      <c r="A5053"/>
      <c r="B5053"/>
      <c r="D5053"/>
      <c r="E5053"/>
      <c r="F5053"/>
      <c r="H5053"/>
    </row>
    <row r="5054" spans="1:8" ht="15">
      <c r="A5054"/>
      <c r="B5054"/>
      <c r="D5054"/>
      <c r="E5054"/>
      <c r="F5054"/>
      <c r="H5054"/>
    </row>
    <row r="5055" spans="1:8" ht="15">
      <c r="A5055"/>
      <c r="B5055"/>
      <c r="D5055"/>
      <c r="E5055"/>
      <c r="F5055"/>
      <c r="H5055"/>
    </row>
    <row r="5056" spans="1:8" ht="15">
      <c r="A5056"/>
      <c r="B5056"/>
      <c r="D5056"/>
      <c r="E5056"/>
      <c r="F5056"/>
      <c r="H5056"/>
    </row>
    <row r="5057" spans="1:8" ht="15">
      <c r="A5057"/>
      <c r="B5057"/>
      <c r="D5057"/>
      <c r="E5057"/>
      <c r="F5057"/>
      <c r="H5057"/>
    </row>
    <row r="5058" spans="1:8" ht="15">
      <c r="A5058"/>
      <c r="B5058"/>
      <c r="D5058"/>
      <c r="E5058"/>
      <c r="F5058"/>
      <c r="H5058"/>
    </row>
    <row r="5059" spans="1:8" ht="15">
      <c r="A5059"/>
      <c r="B5059"/>
      <c r="D5059"/>
      <c r="E5059"/>
      <c r="F5059"/>
      <c r="H5059"/>
    </row>
    <row r="5060" spans="1:8" ht="15">
      <c r="A5060"/>
      <c r="B5060"/>
      <c r="D5060"/>
      <c r="E5060"/>
      <c r="F5060"/>
      <c r="H5060"/>
    </row>
    <row r="5061" spans="1:8" ht="15">
      <c r="A5061"/>
      <c r="B5061"/>
      <c r="D5061"/>
      <c r="E5061"/>
      <c r="F5061"/>
      <c r="H5061"/>
    </row>
    <row r="5062" spans="1:8" ht="15">
      <c r="A5062"/>
      <c r="B5062"/>
      <c r="D5062"/>
      <c r="E5062"/>
      <c r="F5062"/>
      <c r="H5062"/>
    </row>
    <row r="5063" spans="1:8" ht="15">
      <c r="A5063"/>
      <c r="B5063"/>
      <c r="D5063"/>
      <c r="E5063"/>
      <c r="F5063"/>
      <c r="H5063"/>
    </row>
    <row r="5064" spans="1:8" ht="15">
      <c r="A5064"/>
      <c r="B5064"/>
      <c r="D5064"/>
      <c r="E5064"/>
      <c r="F5064"/>
      <c r="H5064"/>
    </row>
    <row r="5065" spans="1:8" ht="15">
      <c r="A5065"/>
      <c r="B5065"/>
      <c r="D5065"/>
      <c r="E5065"/>
      <c r="F5065"/>
      <c r="H5065"/>
    </row>
    <row r="5066" spans="1:8" ht="15">
      <c r="A5066"/>
      <c r="B5066"/>
      <c r="D5066"/>
      <c r="E5066"/>
      <c r="F5066"/>
      <c r="H5066"/>
    </row>
    <row r="5067" spans="1:8" ht="15">
      <c r="A5067"/>
      <c r="B5067"/>
      <c r="D5067"/>
      <c r="E5067"/>
      <c r="F5067"/>
      <c r="H5067"/>
    </row>
    <row r="5068" spans="1:8" ht="15">
      <c r="A5068"/>
      <c r="B5068"/>
      <c r="D5068"/>
      <c r="E5068"/>
      <c r="F5068"/>
      <c r="H5068"/>
    </row>
    <row r="5069" spans="1:8" ht="15">
      <c r="A5069"/>
      <c r="B5069"/>
      <c r="D5069"/>
      <c r="E5069"/>
      <c r="F5069"/>
      <c r="H5069"/>
    </row>
    <row r="5070" spans="1:8" ht="15">
      <c r="A5070"/>
      <c r="B5070"/>
      <c r="D5070"/>
      <c r="E5070"/>
      <c r="F5070"/>
      <c r="H5070"/>
    </row>
    <row r="5071" spans="1:8" ht="15">
      <c r="A5071"/>
      <c r="B5071"/>
      <c r="D5071"/>
      <c r="E5071"/>
      <c r="F5071"/>
      <c r="H5071"/>
    </row>
    <row r="5072" spans="1:8" ht="15">
      <c r="A5072"/>
      <c r="B5072"/>
      <c r="D5072"/>
      <c r="E5072"/>
      <c r="F5072"/>
      <c r="H5072"/>
    </row>
    <row r="5073" spans="1:8" ht="15">
      <c r="A5073"/>
      <c r="B5073"/>
      <c r="D5073"/>
      <c r="E5073"/>
      <c r="F5073"/>
      <c r="H5073"/>
    </row>
    <row r="5074" spans="1:8" ht="15">
      <c r="A5074"/>
      <c r="B5074"/>
      <c r="D5074"/>
      <c r="E5074"/>
      <c r="F5074"/>
      <c r="H5074"/>
    </row>
    <row r="5075" spans="1:8" ht="15">
      <c r="A5075"/>
      <c r="B5075"/>
      <c r="D5075"/>
      <c r="E5075"/>
      <c r="F5075"/>
      <c r="H5075"/>
    </row>
    <row r="5076" spans="1:8" ht="15">
      <c r="A5076"/>
      <c r="B5076"/>
      <c r="D5076"/>
      <c r="E5076"/>
      <c r="F5076"/>
      <c r="H5076"/>
    </row>
    <row r="5077" spans="1:8" ht="15">
      <c r="A5077"/>
      <c r="B5077"/>
      <c r="D5077"/>
      <c r="E5077"/>
      <c r="F5077"/>
      <c r="H5077"/>
    </row>
    <row r="5078" spans="1:8" ht="15">
      <c r="A5078"/>
      <c r="B5078"/>
      <c r="D5078"/>
      <c r="E5078"/>
      <c r="F5078"/>
      <c r="H5078"/>
    </row>
    <row r="5079" spans="1:8" ht="15">
      <c r="A5079"/>
      <c r="B5079"/>
      <c r="D5079"/>
      <c r="E5079"/>
      <c r="F5079"/>
      <c r="H5079"/>
    </row>
    <row r="5080" spans="1:8" ht="15">
      <c r="A5080"/>
      <c r="B5080"/>
      <c r="D5080"/>
      <c r="E5080"/>
      <c r="F5080"/>
      <c r="H5080"/>
    </row>
    <row r="5081" spans="1:8" ht="15">
      <c r="A5081"/>
      <c r="B5081"/>
      <c r="D5081"/>
      <c r="E5081"/>
      <c r="F5081"/>
      <c r="H5081"/>
    </row>
    <row r="5082" spans="1:8" ht="15">
      <c r="A5082"/>
      <c r="B5082"/>
      <c r="D5082"/>
      <c r="E5082"/>
      <c r="F5082"/>
      <c r="H5082"/>
    </row>
    <row r="5083" spans="1:8" ht="15">
      <c r="A5083"/>
      <c r="B5083"/>
      <c r="D5083"/>
      <c r="E5083"/>
      <c r="F5083"/>
      <c r="H5083"/>
    </row>
    <row r="5084" spans="1:8" ht="15">
      <c r="A5084"/>
      <c r="B5084"/>
      <c r="D5084"/>
      <c r="E5084"/>
      <c r="F5084"/>
      <c r="H5084"/>
    </row>
    <row r="5085" spans="1:8" ht="15">
      <c r="A5085"/>
      <c r="B5085"/>
      <c r="D5085"/>
      <c r="E5085"/>
      <c r="F5085"/>
      <c r="H5085"/>
    </row>
    <row r="5086" spans="1:8" ht="15">
      <c r="A5086"/>
      <c r="B5086"/>
      <c r="D5086"/>
      <c r="E5086"/>
      <c r="F5086"/>
      <c r="H5086"/>
    </row>
    <row r="5087" spans="1:8" ht="15">
      <c r="A5087"/>
      <c r="B5087"/>
      <c r="D5087"/>
      <c r="E5087"/>
      <c r="F5087"/>
      <c r="H5087"/>
    </row>
    <row r="5088" spans="1:8" ht="15">
      <c r="A5088"/>
      <c r="B5088"/>
      <c r="D5088"/>
      <c r="E5088"/>
      <c r="F5088"/>
      <c r="H5088"/>
    </row>
    <row r="5089" spans="1:8" ht="15">
      <c r="A5089"/>
      <c r="B5089"/>
      <c r="D5089"/>
      <c r="E5089"/>
      <c r="F5089"/>
      <c r="H5089"/>
    </row>
    <row r="5090" spans="1:8" ht="15">
      <c r="A5090"/>
      <c r="B5090"/>
      <c r="D5090"/>
      <c r="E5090"/>
      <c r="F5090"/>
      <c r="H5090"/>
    </row>
    <row r="5091" spans="1:8" ht="15">
      <c r="A5091"/>
      <c r="B5091"/>
      <c r="D5091"/>
      <c r="E5091"/>
      <c r="F5091"/>
      <c r="H5091"/>
    </row>
    <row r="5092" spans="1:8" ht="15">
      <c r="A5092"/>
      <c r="B5092"/>
      <c r="D5092"/>
      <c r="E5092"/>
      <c r="F5092"/>
      <c r="H5092"/>
    </row>
    <row r="5093" spans="1:8" ht="15">
      <c r="A5093"/>
      <c r="B5093"/>
      <c r="D5093"/>
      <c r="E5093"/>
      <c r="F5093"/>
      <c r="H5093"/>
    </row>
    <row r="5094" spans="1:8" ht="15">
      <c r="A5094"/>
      <c r="B5094"/>
      <c r="D5094"/>
      <c r="E5094"/>
      <c r="F5094"/>
      <c r="H5094"/>
    </row>
    <row r="5095" spans="1:8" ht="15">
      <c r="A5095"/>
      <c r="B5095"/>
      <c r="D5095"/>
      <c r="E5095"/>
      <c r="F5095"/>
      <c r="H5095"/>
    </row>
    <row r="5096" spans="1:8" ht="15">
      <c r="A5096"/>
      <c r="B5096"/>
      <c r="D5096"/>
      <c r="E5096"/>
      <c r="F5096"/>
      <c r="H5096"/>
    </row>
    <row r="5097" spans="1:8" ht="15">
      <c r="A5097"/>
      <c r="B5097"/>
      <c r="D5097"/>
      <c r="E5097"/>
      <c r="F5097"/>
      <c r="H5097"/>
    </row>
    <row r="5098" spans="1:8" ht="15">
      <c r="A5098"/>
      <c r="B5098"/>
      <c r="D5098"/>
      <c r="E5098"/>
      <c r="F5098"/>
      <c r="H5098"/>
    </row>
    <row r="5099" spans="1:8" ht="15">
      <c r="A5099"/>
      <c r="B5099"/>
      <c r="D5099"/>
      <c r="E5099"/>
      <c r="F5099"/>
      <c r="H5099"/>
    </row>
    <row r="5100" spans="1:8" ht="15">
      <c r="A5100"/>
      <c r="B5100"/>
      <c r="D5100"/>
      <c r="E5100"/>
      <c r="F5100"/>
      <c r="H5100"/>
    </row>
    <row r="5101" spans="1:8" ht="15">
      <c r="A5101"/>
      <c r="B5101"/>
      <c r="D5101"/>
      <c r="E5101"/>
      <c r="F5101"/>
      <c r="H5101"/>
    </row>
    <row r="5102" spans="1:8" ht="15">
      <c r="A5102"/>
      <c r="B5102"/>
      <c r="D5102"/>
      <c r="E5102"/>
      <c r="F5102"/>
      <c r="H5102"/>
    </row>
    <row r="5103" spans="1:8" ht="15">
      <c r="A5103"/>
      <c r="B5103"/>
      <c r="D5103"/>
      <c r="E5103"/>
      <c r="F5103"/>
      <c r="H5103"/>
    </row>
    <row r="5104" spans="1:8" ht="15">
      <c r="A5104"/>
      <c r="B5104"/>
      <c r="D5104"/>
      <c r="E5104"/>
      <c r="F5104"/>
      <c r="H5104"/>
    </row>
    <row r="5105" spans="1:8" ht="15">
      <c r="A5105"/>
      <c r="B5105"/>
      <c r="D5105"/>
      <c r="E5105"/>
      <c r="F5105"/>
      <c r="H5105"/>
    </row>
    <row r="5106" spans="1:8" ht="15">
      <c r="A5106"/>
      <c r="B5106"/>
      <c r="D5106"/>
      <c r="E5106"/>
      <c r="F5106"/>
      <c r="H5106"/>
    </row>
    <row r="5107" spans="1:8" ht="15">
      <c r="A5107"/>
      <c r="B5107"/>
      <c r="D5107"/>
      <c r="E5107"/>
      <c r="F5107"/>
      <c r="H5107"/>
    </row>
    <row r="5108" spans="1:8" ht="15">
      <c r="A5108"/>
      <c r="B5108"/>
      <c r="D5108"/>
      <c r="E5108"/>
      <c r="F5108"/>
      <c r="H5108"/>
    </row>
    <row r="5109" spans="1:8" ht="15">
      <c r="A5109"/>
      <c r="B5109"/>
      <c r="D5109"/>
      <c r="E5109"/>
      <c r="F5109"/>
      <c r="H5109"/>
    </row>
    <row r="5110" spans="1:8" ht="15">
      <c r="A5110"/>
      <c r="B5110"/>
      <c r="D5110"/>
      <c r="E5110"/>
      <c r="F5110"/>
      <c r="H5110"/>
    </row>
    <row r="5111" spans="1:8" ht="15">
      <c r="A5111"/>
      <c r="B5111"/>
      <c r="D5111"/>
      <c r="E5111"/>
      <c r="F5111"/>
      <c r="H5111"/>
    </row>
    <row r="5112" spans="1:8" ht="15">
      <c r="A5112"/>
      <c r="B5112"/>
      <c r="D5112"/>
      <c r="E5112"/>
      <c r="F5112"/>
      <c r="H5112"/>
    </row>
    <row r="5113" spans="1:8" ht="15">
      <c r="A5113"/>
      <c r="B5113"/>
      <c r="D5113"/>
      <c r="E5113"/>
      <c r="F5113"/>
      <c r="H5113"/>
    </row>
    <row r="5114" spans="1:8" ht="15">
      <c r="A5114"/>
      <c r="B5114"/>
      <c r="D5114"/>
      <c r="E5114"/>
      <c r="F5114"/>
      <c r="H5114"/>
    </row>
    <row r="5115" spans="1:8" ht="15">
      <c r="A5115"/>
      <c r="B5115"/>
      <c r="D5115"/>
      <c r="E5115"/>
      <c r="F5115"/>
      <c r="H5115"/>
    </row>
    <row r="5116" spans="1:8" ht="15">
      <c r="A5116"/>
      <c r="B5116"/>
      <c r="D5116"/>
      <c r="E5116"/>
      <c r="F5116"/>
      <c r="H5116"/>
    </row>
    <row r="5117" spans="1:8" ht="15">
      <c r="A5117"/>
      <c r="B5117"/>
      <c r="D5117"/>
      <c r="E5117"/>
      <c r="F5117"/>
      <c r="H5117"/>
    </row>
    <row r="5118" spans="1:8" ht="15">
      <c r="A5118"/>
      <c r="B5118"/>
      <c r="D5118"/>
      <c r="E5118"/>
      <c r="F5118"/>
      <c r="H5118"/>
    </row>
    <row r="5119" spans="1:8" ht="15">
      <c r="A5119"/>
      <c r="B5119"/>
      <c r="D5119"/>
      <c r="E5119"/>
      <c r="F5119"/>
      <c r="H5119"/>
    </row>
    <row r="5120" spans="1:8" ht="15">
      <c r="A5120"/>
      <c r="B5120"/>
      <c r="D5120"/>
      <c r="E5120"/>
      <c r="F5120"/>
      <c r="H5120"/>
    </row>
    <row r="5121" spans="1:8" ht="15">
      <c r="A5121"/>
      <c r="B5121"/>
      <c r="D5121"/>
      <c r="E5121"/>
      <c r="F5121"/>
      <c r="H5121"/>
    </row>
    <row r="5122" spans="1:8" ht="15">
      <c r="A5122"/>
      <c r="B5122"/>
      <c r="D5122"/>
      <c r="E5122"/>
      <c r="F5122"/>
      <c r="H5122"/>
    </row>
    <row r="5123" spans="1:8" ht="15">
      <c r="A5123"/>
      <c r="B5123"/>
      <c r="D5123"/>
      <c r="E5123"/>
      <c r="F5123"/>
      <c r="H5123"/>
    </row>
    <row r="5124" spans="1:8" ht="15">
      <c r="A5124"/>
      <c r="B5124"/>
      <c r="D5124"/>
      <c r="E5124"/>
      <c r="F5124"/>
      <c r="H5124"/>
    </row>
    <row r="5125" spans="1:8" ht="15">
      <c r="A5125"/>
      <c r="B5125"/>
      <c r="D5125"/>
      <c r="E5125"/>
      <c r="F5125"/>
      <c r="H5125"/>
    </row>
    <row r="5126" spans="1:8" ht="15">
      <c r="A5126"/>
      <c r="B5126"/>
      <c r="D5126"/>
      <c r="E5126"/>
      <c r="F5126"/>
      <c r="H5126"/>
    </row>
    <row r="5127" spans="1:8" ht="15">
      <c r="A5127"/>
      <c r="B5127"/>
      <c r="D5127"/>
      <c r="E5127"/>
      <c r="F5127"/>
      <c r="H5127"/>
    </row>
    <row r="5128" spans="1:8" ht="15">
      <c r="A5128"/>
      <c r="B5128"/>
      <c r="D5128"/>
      <c r="E5128"/>
      <c r="F5128"/>
      <c r="H5128"/>
    </row>
    <row r="5129" spans="1:8" ht="15">
      <c r="A5129"/>
      <c r="B5129"/>
      <c r="D5129"/>
      <c r="E5129"/>
      <c r="F5129"/>
      <c r="H5129"/>
    </row>
    <row r="5130" spans="1:8" ht="15">
      <c r="A5130"/>
      <c r="B5130"/>
      <c r="D5130"/>
      <c r="E5130"/>
      <c r="F5130"/>
      <c r="H5130"/>
    </row>
    <row r="5131" spans="1:8" ht="15">
      <c r="A5131"/>
      <c r="B5131"/>
      <c r="D5131"/>
      <c r="E5131"/>
      <c r="F5131"/>
      <c r="H5131"/>
    </row>
    <row r="5132" spans="1:8" ht="15">
      <c r="A5132"/>
      <c r="B5132"/>
      <c r="D5132"/>
      <c r="E5132"/>
      <c r="F5132"/>
      <c r="H5132"/>
    </row>
    <row r="5133" spans="1:8" ht="15">
      <c r="A5133"/>
      <c r="B5133"/>
      <c r="D5133"/>
      <c r="E5133"/>
      <c r="F5133"/>
      <c r="H5133"/>
    </row>
    <row r="5134" spans="1:8" ht="15">
      <c r="A5134"/>
      <c r="B5134"/>
      <c r="D5134"/>
      <c r="E5134"/>
      <c r="F5134"/>
      <c r="H5134"/>
    </row>
    <row r="5135" spans="1:8" ht="15">
      <c r="A5135"/>
      <c r="B5135"/>
      <c r="D5135"/>
      <c r="E5135"/>
      <c r="F5135"/>
      <c r="H5135"/>
    </row>
    <row r="5136" spans="1:8" ht="15">
      <c r="A5136"/>
      <c r="B5136"/>
      <c r="D5136"/>
      <c r="E5136"/>
      <c r="F5136"/>
      <c r="H5136"/>
    </row>
    <row r="5137" spans="1:8" ht="15">
      <c r="A5137"/>
      <c r="B5137"/>
      <c r="D5137"/>
      <c r="E5137"/>
      <c r="F5137"/>
      <c r="H5137"/>
    </row>
    <row r="5138" spans="1:8" ht="15">
      <c r="A5138"/>
      <c r="B5138"/>
      <c r="D5138"/>
      <c r="E5138"/>
      <c r="F5138"/>
      <c r="H5138"/>
    </row>
    <row r="5139" spans="1:8" ht="15">
      <c r="A5139"/>
      <c r="B5139"/>
      <c r="D5139"/>
      <c r="E5139"/>
      <c r="F5139"/>
      <c r="H5139"/>
    </row>
    <row r="5140" spans="1:8" ht="15">
      <c r="A5140"/>
      <c r="B5140"/>
      <c r="D5140"/>
      <c r="E5140"/>
      <c r="F5140"/>
      <c r="H5140"/>
    </row>
    <row r="5141" spans="1:8" ht="15">
      <c r="A5141"/>
      <c r="B5141"/>
      <c r="D5141"/>
      <c r="E5141"/>
      <c r="F5141"/>
      <c r="H5141"/>
    </row>
    <row r="5142" spans="1:8" ht="15">
      <c r="A5142"/>
      <c r="B5142"/>
      <c r="D5142"/>
      <c r="E5142"/>
      <c r="F5142"/>
      <c r="H5142"/>
    </row>
    <row r="5143" spans="1:8" ht="15">
      <c r="A5143"/>
      <c r="B5143"/>
      <c r="D5143"/>
      <c r="E5143"/>
      <c r="F5143"/>
      <c r="H5143"/>
    </row>
    <row r="5144" spans="1:8" ht="15">
      <c r="A5144"/>
      <c r="B5144"/>
      <c r="D5144"/>
      <c r="E5144"/>
      <c r="F5144"/>
      <c r="H5144"/>
    </row>
    <row r="5145" spans="1:8" ht="15">
      <c r="A5145"/>
      <c r="B5145"/>
      <c r="D5145"/>
      <c r="E5145"/>
      <c r="F5145"/>
      <c r="H5145"/>
    </row>
    <row r="5146" spans="1:8" ht="15">
      <c r="A5146"/>
      <c r="B5146"/>
      <c r="D5146"/>
      <c r="E5146"/>
      <c r="F5146"/>
      <c r="H5146"/>
    </row>
    <row r="5147" spans="1:8" ht="15">
      <c r="A5147"/>
      <c r="B5147"/>
      <c r="D5147"/>
      <c r="E5147"/>
      <c r="F5147"/>
      <c r="H5147"/>
    </row>
    <row r="5148" spans="1:8" ht="15">
      <c r="A5148"/>
      <c r="B5148"/>
      <c r="D5148"/>
      <c r="E5148"/>
      <c r="F5148"/>
      <c r="H5148"/>
    </row>
    <row r="5149" spans="1:8" ht="15">
      <c r="A5149"/>
      <c r="B5149"/>
      <c r="D5149"/>
      <c r="E5149"/>
      <c r="F5149"/>
      <c r="H5149"/>
    </row>
    <row r="5150" spans="1:8" ht="15">
      <c r="A5150"/>
      <c r="B5150"/>
      <c r="D5150"/>
      <c r="E5150"/>
      <c r="F5150"/>
      <c r="H5150"/>
    </row>
    <row r="5151" spans="1:8" ht="15">
      <c r="A5151"/>
      <c r="B5151"/>
      <c r="D5151"/>
      <c r="E5151"/>
      <c r="F5151"/>
      <c r="H5151"/>
    </row>
    <row r="5152" spans="1:8" ht="15">
      <c r="A5152"/>
      <c r="B5152"/>
      <c r="D5152"/>
      <c r="E5152"/>
      <c r="F5152"/>
      <c r="H5152"/>
    </row>
    <row r="5153" spans="1:8" ht="15">
      <c r="A5153"/>
      <c r="B5153"/>
      <c r="D5153"/>
      <c r="E5153"/>
      <c r="F5153"/>
      <c r="H5153"/>
    </row>
    <row r="5154" spans="1:8" ht="15">
      <c r="A5154"/>
      <c r="B5154"/>
      <c r="D5154"/>
      <c r="E5154"/>
      <c r="F5154"/>
      <c r="H5154"/>
    </row>
    <row r="5155" spans="1:8" ht="15">
      <c r="A5155"/>
      <c r="B5155"/>
      <c r="D5155"/>
      <c r="E5155"/>
      <c r="F5155"/>
      <c r="H5155"/>
    </row>
    <row r="5156" spans="1:8" ht="15">
      <c r="A5156"/>
      <c r="B5156"/>
      <c r="D5156"/>
      <c r="E5156"/>
      <c r="F5156"/>
      <c r="H5156"/>
    </row>
    <row r="5157" spans="1:8" ht="15">
      <c r="A5157"/>
      <c r="B5157"/>
      <c r="D5157"/>
      <c r="E5157"/>
      <c r="F5157"/>
      <c r="H5157"/>
    </row>
    <row r="5158" spans="1:8" ht="15">
      <c r="A5158"/>
      <c r="B5158"/>
      <c r="D5158"/>
      <c r="E5158"/>
      <c r="F5158"/>
      <c r="H5158"/>
    </row>
    <row r="5159" spans="1:8" ht="15">
      <c r="A5159"/>
      <c r="B5159"/>
      <c r="D5159"/>
      <c r="E5159"/>
      <c r="F5159"/>
      <c r="H5159"/>
    </row>
    <row r="5160" spans="1:8" ht="15">
      <c r="A5160"/>
      <c r="B5160"/>
      <c r="D5160"/>
      <c r="E5160"/>
      <c r="F5160"/>
      <c r="H5160"/>
    </row>
    <row r="5161" spans="1:8" ht="15">
      <c r="A5161"/>
      <c r="B5161"/>
      <c r="D5161"/>
      <c r="E5161"/>
      <c r="F5161"/>
      <c r="H5161"/>
    </row>
    <row r="5162" spans="1:8" ht="15">
      <c r="A5162"/>
      <c r="B5162"/>
      <c r="D5162"/>
      <c r="E5162"/>
      <c r="F5162"/>
      <c r="H5162"/>
    </row>
    <row r="5163" spans="1:8" ht="15">
      <c r="A5163"/>
      <c r="B5163"/>
      <c r="D5163"/>
      <c r="E5163"/>
      <c r="F5163"/>
      <c r="H5163"/>
    </row>
    <row r="5164" spans="1:8" ht="15">
      <c r="A5164"/>
      <c r="B5164"/>
      <c r="D5164"/>
      <c r="E5164"/>
      <c r="F5164"/>
      <c r="H5164"/>
    </row>
    <row r="5165" spans="1:8" ht="15">
      <c r="A5165"/>
      <c r="B5165"/>
      <c r="D5165"/>
      <c r="E5165"/>
      <c r="F5165"/>
      <c r="H5165"/>
    </row>
    <row r="5166" spans="1:8" ht="15">
      <c r="A5166"/>
      <c r="B5166"/>
      <c r="D5166"/>
      <c r="E5166"/>
      <c r="F5166"/>
      <c r="H5166"/>
    </row>
    <row r="5167" spans="1:8" ht="15">
      <c r="A5167"/>
      <c r="B5167"/>
      <c r="D5167"/>
      <c r="E5167"/>
      <c r="F5167"/>
      <c r="H5167"/>
    </row>
    <row r="5168" spans="1:8" ht="15">
      <c r="A5168"/>
      <c r="B5168"/>
      <c r="D5168"/>
      <c r="E5168"/>
      <c r="F5168"/>
      <c r="H5168"/>
    </row>
    <row r="5169" spans="1:8" ht="15">
      <c r="A5169"/>
      <c r="B5169"/>
      <c r="D5169"/>
      <c r="E5169"/>
      <c r="F5169"/>
      <c r="H5169"/>
    </row>
    <row r="5170" spans="1:8" ht="15">
      <c r="A5170"/>
      <c r="B5170"/>
      <c r="D5170"/>
      <c r="E5170"/>
      <c r="F5170"/>
      <c r="H5170"/>
    </row>
    <row r="5171" spans="1:8" ht="15">
      <c r="A5171"/>
      <c r="B5171"/>
      <c r="D5171"/>
      <c r="E5171"/>
      <c r="F5171"/>
      <c r="H5171"/>
    </row>
    <row r="5172" spans="1:8" ht="15">
      <c r="A5172"/>
      <c r="B5172"/>
      <c r="D5172"/>
      <c r="E5172"/>
      <c r="F5172"/>
      <c r="H5172"/>
    </row>
    <row r="5173" spans="1:8" ht="15">
      <c r="A5173"/>
      <c r="B5173"/>
      <c r="D5173"/>
      <c r="E5173"/>
      <c r="F5173"/>
      <c r="H5173"/>
    </row>
    <row r="5174" spans="1:8" ht="15">
      <c r="A5174"/>
      <c r="B5174"/>
      <c r="D5174"/>
      <c r="E5174"/>
      <c r="F5174"/>
      <c r="H5174"/>
    </row>
    <row r="5175" spans="1:8" ht="15">
      <c r="A5175"/>
      <c r="B5175"/>
      <c r="D5175"/>
      <c r="E5175"/>
      <c r="F5175"/>
      <c r="H5175"/>
    </row>
    <row r="5176" spans="1:8" ht="15">
      <c r="A5176"/>
      <c r="B5176"/>
      <c r="D5176"/>
      <c r="E5176"/>
      <c r="F5176"/>
      <c r="H5176"/>
    </row>
    <row r="5177" spans="1:8" ht="15">
      <c r="A5177"/>
      <c r="B5177"/>
      <c r="D5177"/>
      <c r="E5177"/>
      <c r="F5177"/>
      <c r="H5177"/>
    </row>
    <row r="5178" spans="1:8" ht="15">
      <c r="A5178"/>
      <c r="B5178"/>
      <c r="D5178"/>
      <c r="E5178"/>
      <c r="F5178"/>
      <c r="H5178"/>
    </row>
    <row r="5179" spans="1:8" ht="15">
      <c r="A5179"/>
      <c r="B5179"/>
      <c r="D5179"/>
      <c r="E5179"/>
      <c r="F5179"/>
      <c r="H5179"/>
    </row>
    <row r="5180" spans="1:8" ht="15">
      <c r="A5180"/>
      <c r="B5180"/>
      <c r="D5180"/>
      <c r="E5180"/>
      <c r="F5180"/>
      <c r="H5180"/>
    </row>
    <row r="5181" spans="1:8" ht="15">
      <c r="A5181"/>
      <c r="B5181"/>
      <c r="D5181"/>
      <c r="E5181"/>
      <c r="F5181"/>
      <c r="H5181"/>
    </row>
    <row r="5182" spans="1:8" ht="15">
      <c r="A5182"/>
      <c r="B5182"/>
      <c r="D5182"/>
      <c r="E5182"/>
      <c r="F5182"/>
      <c r="H5182"/>
    </row>
    <row r="5183" spans="1:8" ht="15">
      <c r="A5183"/>
      <c r="B5183"/>
      <c r="D5183"/>
      <c r="E5183"/>
      <c r="F5183"/>
      <c r="H5183"/>
    </row>
    <row r="5184" spans="1:8" ht="15">
      <c r="A5184"/>
      <c r="B5184"/>
      <c r="D5184"/>
      <c r="E5184"/>
      <c r="F5184"/>
      <c r="H5184"/>
    </row>
    <row r="5185" spans="1:8" ht="15">
      <c r="A5185"/>
      <c r="B5185"/>
      <c r="D5185"/>
      <c r="E5185"/>
      <c r="F5185"/>
      <c r="H5185"/>
    </row>
    <row r="5186" spans="1:8" ht="15">
      <c r="A5186"/>
      <c r="B5186"/>
      <c r="D5186"/>
      <c r="E5186"/>
      <c r="F5186"/>
      <c r="H5186"/>
    </row>
    <row r="5187" spans="1:8" ht="15">
      <c r="A5187"/>
      <c r="B5187"/>
      <c r="D5187"/>
      <c r="E5187"/>
      <c r="F5187"/>
      <c r="H5187"/>
    </row>
    <row r="5188" spans="1:8" ht="15">
      <c r="A5188"/>
      <c r="B5188"/>
      <c r="D5188"/>
      <c r="E5188"/>
      <c r="F5188"/>
      <c r="H5188"/>
    </row>
    <row r="5189" spans="1:8" ht="15">
      <c r="A5189"/>
      <c r="B5189"/>
      <c r="D5189"/>
      <c r="E5189"/>
      <c r="F5189"/>
      <c r="H5189"/>
    </row>
    <row r="5190" spans="1:8" ht="15">
      <c r="A5190"/>
      <c r="B5190"/>
      <c r="D5190"/>
      <c r="E5190"/>
      <c r="F5190"/>
      <c r="H5190"/>
    </row>
    <row r="5191" spans="1:8" ht="15">
      <c r="A5191"/>
      <c r="B5191"/>
      <c r="D5191"/>
      <c r="E5191"/>
      <c r="F5191"/>
      <c r="H5191"/>
    </row>
    <row r="5192" spans="1:8" ht="15">
      <c r="A5192"/>
      <c r="B5192"/>
      <c r="D5192"/>
      <c r="E5192"/>
      <c r="F5192"/>
      <c r="H5192"/>
    </row>
    <row r="5193" spans="1:8" ht="15">
      <c r="A5193"/>
      <c r="B5193"/>
      <c r="D5193"/>
      <c r="E5193"/>
      <c r="F5193"/>
      <c r="H5193"/>
    </row>
    <row r="5194" spans="1:8" ht="15">
      <c r="A5194"/>
      <c r="B5194"/>
      <c r="D5194"/>
      <c r="E5194"/>
      <c r="F5194"/>
      <c r="H5194"/>
    </row>
    <row r="5195" spans="1:8" ht="15">
      <c r="A5195"/>
      <c r="B5195"/>
      <c r="D5195"/>
      <c r="E5195"/>
      <c r="F5195"/>
      <c r="H5195"/>
    </row>
    <row r="5196" spans="1:8" ht="15">
      <c r="A5196"/>
      <c r="B5196"/>
      <c r="D5196"/>
      <c r="E5196"/>
      <c r="F5196"/>
      <c r="H5196"/>
    </row>
    <row r="5197" spans="1:8" ht="15">
      <c r="A5197"/>
      <c r="B5197"/>
      <c r="D5197"/>
      <c r="E5197"/>
      <c r="F5197"/>
      <c r="H5197"/>
    </row>
    <row r="5198" spans="1:8" ht="15">
      <c r="A5198"/>
      <c r="B5198"/>
      <c r="D5198"/>
      <c r="E5198"/>
      <c r="F5198"/>
      <c r="H5198"/>
    </row>
    <row r="5199" spans="1:8" ht="15">
      <c r="A5199"/>
      <c r="B5199"/>
      <c r="D5199"/>
      <c r="E5199"/>
      <c r="F5199"/>
      <c r="H5199"/>
    </row>
    <row r="5200" spans="1:8" ht="15">
      <c r="A5200"/>
      <c r="B5200"/>
      <c r="D5200"/>
      <c r="E5200"/>
      <c r="F5200"/>
      <c r="H5200"/>
    </row>
    <row r="5201" spans="1:8" ht="15">
      <c r="A5201"/>
      <c r="B5201"/>
      <c r="D5201"/>
      <c r="E5201"/>
      <c r="F5201"/>
      <c r="H5201"/>
    </row>
    <row r="5202" spans="1:8" ht="15">
      <c r="A5202"/>
      <c r="B5202"/>
      <c r="D5202"/>
      <c r="E5202"/>
      <c r="F5202"/>
      <c r="H5202"/>
    </row>
    <row r="5203" spans="1:8" ht="15">
      <c r="A5203"/>
      <c r="B5203"/>
      <c r="D5203"/>
      <c r="E5203"/>
      <c r="F5203"/>
      <c r="H5203"/>
    </row>
    <row r="5204" spans="1:8" ht="15">
      <c r="A5204"/>
      <c r="B5204"/>
      <c r="D5204"/>
      <c r="E5204"/>
      <c r="F5204"/>
      <c r="H5204"/>
    </row>
    <row r="5205" spans="1:8" ht="15">
      <c r="A5205"/>
      <c r="B5205"/>
      <c r="D5205"/>
      <c r="E5205"/>
      <c r="F5205"/>
      <c r="H5205"/>
    </row>
    <row r="5206" spans="1:8" ht="15">
      <c r="A5206"/>
      <c r="B5206"/>
      <c r="D5206"/>
      <c r="E5206"/>
      <c r="F5206"/>
      <c r="H5206"/>
    </row>
    <row r="5207" spans="1:8" ht="15">
      <c r="A5207"/>
      <c r="B5207"/>
      <c r="D5207"/>
      <c r="E5207"/>
      <c r="F5207"/>
      <c r="H5207"/>
    </row>
    <row r="5208" spans="1:8" ht="15">
      <c r="A5208"/>
      <c r="B5208"/>
      <c r="D5208"/>
      <c r="E5208"/>
      <c r="F5208"/>
      <c r="H5208"/>
    </row>
    <row r="5209" spans="1:8" ht="15">
      <c r="A5209"/>
      <c r="B5209"/>
      <c r="D5209"/>
      <c r="E5209"/>
      <c r="F5209"/>
      <c r="H5209"/>
    </row>
    <row r="5210" spans="1:8" ht="15">
      <c r="A5210"/>
      <c r="B5210"/>
      <c r="D5210"/>
      <c r="E5210"/>
      <c r="F5210"/>
      <c r="H5210"/>
    </row>
    <row r="5211" spans="1:8" ht="15">
      <c r="A5211"/>
      <c r="B5211"/>
      <c r="D5211"/>
      <c r="E5211"/>
      <c r="F5211"/>
      <c r="H5211"/>
    </row>
    <row r="5212" spans="1:8" ht="15">
      <c r="A5212"/>
      <c r="B5212"/>
      <c r="D5212"/>
      <c r="E5212"/>
      <c r="F5212"/>
      <c r="H5212"/>
    </row>
    <row r="5213" spans="1:8" ht="15">
      <c r="A5213"/>
      <c r="B5213"/>
      <c r="D5213"/>
      <c r="E5213"/>
      <c r="F5213"/>
      <c r="H5213"/>
    </row>
    <row r="5214" spans="1:8" ht="15">
      <c r="A5214"/>
      <c r="B5214"/>
      <c r="D5214"/>
      <c r="E5214"/>
      <c r="F5214"/>
      <c r="H5214"/>
    </row>
    <row r="5215" spans="1:8" ht="15">
      <c r="A5215"/>
      <c r="B5215"/>
      <c r="D5215"/>
      <c r="E5215"/>
      <c r="F5215"/>
      <c r="H5215"/>
    </row>
    <row r="5216" spans="1:8" ht="15">
      <c r="A5216"/>
      <c r="B5216"/>
      <c r="D5216"/>
      <c r="E5216"/>
      <c r="F5216"/>
      <c r="H5216"/>
    </row>
    <row r="5217" spans="1:8" ht="15">
      <c r="A5217"/>
      <c r="B5217"/>
      <c r="D5217"/>
      <c r="E5217"/>
      <c r="F5217"/>
      <c r="H5217"/>
    </row>
    <row r="5218" spans="1:8" ht="15">
      <c r="A5218"/>
      <c r="B5218"/>
      <c r="D5218"/>
      <c r="E5218"/>
      <c r="F5218"/>
      <c r="H5218"/>
    </row>
    <row r="5219" spans="1:8" ht="15">
      <c r="A5219"/>
      <c r="B5219"/>
      <c r="D5219"/>
      <c r="E5219"/>
      <c r="F5219"/>
      <c r="H5219"/>
    </row>
    <row r="5220" spans="1:8" ht="15">
      <c r="A5220"/>
      <c r="B5220"/>
      <c r="D5220"/>
      <c r="E5220"/>
      <c r="F5220"/>
      <c r="H5220"/>
    </row>
    <row r="5221" spans="1:8" ht="15">
      <c r="A5221"/>
      <c r="B5221"/>
      <c r="D5221"/>
      <c r="E5221"/>
      <c r="F5221"/>
      <c r="H5221"/>
    </row>
    <row r="5222" spans="1:8" ht="15">
      <c r="A5222"/>
      <c r="B5222"/>
      <c r="D5222"/>
      <c r="E5222"/>
      <c r="F5222"/>
      <c r="H5222"/>
    </row>
    <row r="5223" spans="1:8" ht="15">
      <c r="A5223"/>
      <c r="B5223"/>
      <c r="D5223"/>
      <c r="E5223"/>
      <c r="F5223"/>
      <c r="H5223"/>
    </row>
    <row r="5224" spans="1:8" ht="15">
      <c r="A5224"/>
      <c r="B5224"/>
      <c r="D5224"/>
      <c r="E5224"/>
      <c r="F5224"/>
      <c r="H5224"/>
    </row>
    <row r="5225" spans="1:8" ht="15">
      <c r="A5225"/>
      <c r="B5225"/>
      <c r="D5225"/>
      <c r="E5225"/>
      <c r="F5225"/>
      <c r="H5225"/>
    </row>
    <row r="5226" spans="1:8" ht="15">
      <c r="A5226"/>
      <c r="B5226"/>
      <c r="D5226"/>
      <c r="E5226"/>
      <c r="F5226"/>
      <c r="H5226"/>
    </row>
    <row r="5227" spans="1:8" ht="15">
      <c r="A5227"/>
      <c r="B5227"/>
      <c r="D5227"/>
      <c r="E5227"/>
      <c r="F5227"/>
      <c r="H5227"/>
    </row>
    <row r="5228" spans="1:8" ht="15">
      <c r="A5228"/>
      <c r="B5228"/>
      <c r="D5228"/>
      <c r="E5228"/>
      <c r="F5228"/>
      <c r="H5228"/>
    </row>
    <row r="5229" spans="1:8" ht="15">
      <c r="A5229"/>
      <c r="B5229"/>
      <c r="D5229"/>
      <c r="E5229"/>
      <c r="F5229"/>
      <c r="H5229"/>
    </row>
    <row r="5230" spans="1:8" ht="15">
      <c r="A5230"/>
      <c r="B5230"/>
      <c r="D5230"/>
      <c r="E5230"/>
      <c r="F5230"/>
      <c r="H5230"/>
    </row>
    <row r="5231" spans="1:8" ht="15">
      <c r="A5231"/>
      <c r="B5231"/>
      <c r="D5231"/>
      <c r="E5231"/>
      <c r="F5231"/>
      <c r="H5231"/>
    </row>
    <row r="5232" spans="1:8" ht="15">
      <c r="A5232"/>
      <c r="B5232"/>
      <c r="D5232"/>
      <c r="E5232"/>
      <c r="F5232"/>
      <c r="H5232"/>
    </row>
    <row r="5233" spans="1:8" ht="15">
      <c r="A5233"/>
      <c r="B5233"/>
      <c r="D5233"/>
      <c r="E5233"/>
      <c r="F5233"/>
      <c r="H5233"/>
    </row>
    <row r="5234" spans="1:8" ht="15">
      <c r="A5234"/>
      <c r="B5234"/>
      <c r="D5234"/>
      <c r="E5234"/>
      <c r="F5234"/>
      <c r="H5234"/>
    </row>
    <row r="5235" spans="1:8" ht="15">
      <c r="A5235"/>
      <c r="B5235"/>
      <c r="D5235"/>
      <c r="E5235"/>
      <c r="F5235"/>
      <c r="H5235"/>
    </row>
    <row r="5236" spans="1:8" ht="15">
      <c r="A5236"/>
      <c r="B5236"/>
      <c r="D5236"/>
      <c r="E5236"/>
      <c r="F5236"/>
      <c r="H5236"/>
    </row>
    <row r="5237" spans="1:8" ht="15">
      <c r="A5237"/>
      <c r="B5237"/>
      <c r="D5237"/>
      <c r="E5237"/>
      <c r="F5237"/>
      <c r="H5237"/>
    </row>
    <row r="5238" spans="1:8" ht="15">
      <c r="A5238"/>
      <c r="B5238"/>
      <c r="D5238"/>
      <c r="E5238"/>
      <c r="F5238"/>
      <c r="H5238"/>
    </row>
    <row r="5239" spans="1:8" ht="15">
      <c r="A5239"/>
      <c r="B5239"/>
      <c r="D5239"/>
      <c r="E5239"/>
      <c r="F5239"/>
      <c r="H5239"/>
    </row>
    <row r="5240" spans="1:8" ht="15">
      <c r="A5240"/>
      <c r="B5240"/>
      <c r="D5240"/>
      <c r="E5240"/>
      <c r="F5240"/>
      <c r="H5240"/>
    </row>
    <row r="5241" spans="1:8" ht="15">
      <c r="A5241"/>
      <c r="B5241"/>
      <c r="D5241"/>
      <c r="E5241"/>
      <c r="F5241"/>
      <c r="H5241"/>
    </row>
    <row r="5242" spans="1:8" ht="15">
      <c r="A5242"/>
      <c r="B5242"/>
      <c r="D5242"/>
      <c r="E5242"/>
      <c r="F5242"/>
      <c r="H5242"/>
    </row>
    <row r="5243" spans="1:8" ht="15">
      <c r="A5243"/>
      <c r="B5243"/>
      <c r="D5243"/>
      <c r="E5243"/>
      <c r="F5243"/>
      <c r="H5243"/>
    </row>
    <row r="5244" spans="1:8" ht="15">
      <c r="A5244"/>
      <c r="B5244"/>
      <c r="D5244"/>
      <c r="E5244"/>
      <c r="F5244"/>
      <c r="H5244"/>
    </row>
    <row r="5245" spans="1:8" ht="15">
      <c r="A5245"/>
      <c r="B5245"/>
      <c r="D5245"/>
      <c r="E5245"/>
      <c r="F5245"/>
      <c r="H5245"/>
    </row>
    <row r="5246" spans="1:8" ht="15">
      <c r="A5246"/>
      <c r="B5246"/>
      <c r="D5246"/>
      <c r="E5246"/>
      <c r="F5246"/>
      <c r="H5246"/>
    </row>
    <row r="5247" spans="1:8" ht="15">
      <c r="A5247"/>
      <c r="B5247"/>
      <c r="D5247"/>
      <c r="E5247"/>
      <c r="F5247"/>
      <c r="H5247"/>
    </row>
    <row r="5248" spans="1:8" ht="15">
      <c r="A5248"/>
      <c r="B5248"/>
      <c r="D5248"/>
      <c r="E5248"/>
      <c r="F5248"/>
      <c r="H5248"/>
    </row>
    <row r="5249" spans="1:8" ht="15">
      <c r="A5249"/>
      <c r="B5249"/>
      <c r="D5249"/>
      <c r="E5249"/>
      <c r="F5249"/>
      <c r="H5249"/>
    </row>
    <row r="5250" spans="1:8" ht="15">
      <c r="A5250"/>
      <c r="B5250"/>
      <c r="D5250"/>
      <c r="E5250"/>
      <c r="F5250"/>
      <c r="H5250"/>
    </row>
    <row r="5251" spans="1:8" ht="15">
      <c r="A5251"/>
      <c r="B5251"/>
      <c r="D5251"/>
      <c r="E5251"/>
      <c r="F5251"/>
      <c r="H5251"/>
    </row>
    <row r="5252" spans="1:8" ht="15">
      <c r="A5252"/>
      <c r="B5252"/>
      <c r="D5252"/>
      <c r="E5252"/>
      <c r="F5252"/>
      <c r="H5252"/>
    </row>
    <row r="5253" spans="1:8" ht="15">
      <c r="A5253"/>
      <c r="B5253"/>
      <c r="D5253"/>
      <c r="E5253"/>
      <c r="F5253"/>
      <c r="H5253"/>
    </row>
    <row r="5254" spans="1:8" ht="15">
      <c r="A5254"/>
      <c r="B5254"/>
      <c r="D5254"/>
      <c r="E5254"/>
      <c r="F5254"/>
      <c r="H5254"/>
    </row>
    <row r="5255" spans="1:8" ht="15">
      <c r="A5255"/>
      <c r="B5255"/>
      <c r="D5255"/>
      <c r="E5255"/>
      <c r="F5255"/>
      <c r="H5255"/>
    </row>
    <row r="5256" spans="1:8" ht="15">
      <c r="A5256"/>
      <c r="B5256"/>
      <c r="D5256"/>
      <c r="E5256"/>
      <c r="F5256"/>
      <c r="H5256"/>
    </row>
    <row r="5257" spans="1:8" ht="15">
      <c r="A5257"/>
      <c r="B5257"/>
      <c r="D5257"/>
      <c r="E5257"/>
      <c r="F5257"/>
      <c r="H5257"/>
    </row>
    <row r="5258" spans="1:8" ht="15">
      <c r="A5258"/>
      <c r="B5258"/>
      <c r="D5258"/>
      <c r="E5258"/>
      <c r="F5258"/>
      <c r="H5258"/>
    </row>
    <row r="5259" spans="1:8" ht="15">
      <c r="A5259"/>
      <c r="B5259"/>
      <c r="D5259"/>
      <c r="E5259"/>
      <c r="F5259"/>
      <c r="H5259"/>
    </row>
    <row r="5260" spans="1:8" ht="15">
      <c r="A5260"/>
      <c r="B5260"/>
      <c r="D5260"/>
      <c r="E5260"/>
      <c r="F5260"/>
      <c r="H5260"/>
    </row>
    <row r="5261" spans="1:8" ht="15">
      <c r="A5261"/>
      <c r="B5261"/>
      <c r="D5261"/>
      <c r="E5261"/>
      <c r="F5261"/>
      <c r="H5261"/>
    </row>
    <row r="5262" spans="1:8" ht="15">
      <c r="A5262"/>
      <c r="B5262"/>
      <c r="D5262"/>
      <c r="E5262"/>
      <c r="F5262"/>
      <c r="H5262"/>
    </row>
    <row r="5263" spans="1:8" ht="15">
      <c r="A5263"/>
      <c r="B5263"/>
      <c r="D5263"/>
      <c r="E5263"/>
      <c r="F5263"/>
      <c r="H5263"/>
    </row>
    <row r="5264" spans="1:8" ht="15">
      <c r="A5264"/>
      <c r="B5264"/>
      <c r="D5264"/>
      <c r="E5264"/>
      <c r="F5264"/>
      <c r="H5264"/>
    </row>
    <row r="5265" spans="1:8" ht="15">
      <c r="A5265"/>
      <c r="B5265"/>
      <c r="D5265"/>
      <c r="E5265"/>
      <c r="F5265"/>
      <c r="H5265"/>
    </row>
    <row r="5266" spans="1:8" ht="15">
      <c r="A5266"/>
      <c r="B5266"/>
      <c r="D5266"/>
      <c r="E5266"/>
      <c r="F5266"/>
      <c r="H5266"/>
    </row>
    <row r="5267" spans="1:8" ht="15">
      <c r="A5267"/>
      <c r="B5267"/>
      <c r="D5267"/>
      <c r="E5267"/>
      <c r="F5267"/>
      <c r="H5267"/>
    </row>
    <row r="5268" spans="1:8" ht="15">
      <c r="A5268"/>
      <c r="B5268"/>
      <c r="D5268"/>
      <c r="E5268"/>
      <c r="F5268"/>
      <c r="H5268"/>
    </row>
    <row r="5269" spans="1:8" ht="15">
      <c r="A5269"/>
      <c r="B5269"/>
      <c r="D5269"/>
      <c r="E5269"/>
      <c r="F5269"/>
      <c r="H5269"/>
    </row>
    <row r="5270" spans="1:8" ht="15">
      <c r="A5270"/>
      <c r="B5270"/>
      <c r="D5270"/>
      <c r="E5270"/>
      <c r="F5270"/>
      <c r="H5270"/>
    </row>
    <row r="5271" spans="1:8" ht="15">
      <c r="A5271"/>
      <c r="B5271"/>
      <c r="D5271"/>
      <c r="E5271"/>
      <c r="F5271"/>
      <c r="H5271"/>
    </row>
    <row r="5272" spans="1:8" ht="15">
      <c r="A5272"/>
      <c r="B5272"/>
      <c r="D5272"/>
      <c r="E5272"/>
      <c r="F5272"/>
      <c r="H5272"/>
    </row>
    <row r="5273" spans="1:8" ht="15">
      <c r="A5273"/>
      <c r="B5273"/>
      <c r="D5273"/>
      <c r="E5273"/>
      <c r="F5273"/>
      <c r="H5273"/>
    </row>
    <row r="5274" spans="1:8" ht="15">
      <c r="A5274"/>
      <c r="B5274"/>
      <c r="D5274"/>
      <c r="E5274"/>
      <c r="F5274"/>
      <c r="H5274"/>
    </row>
    <row r="5275" spans="1:8" ht="15">
      <c r="A5275"/>
      <c r="B5275"/>
      <c r="D5275"/>
      <c r="E5275"/>
      <c r="F5275"/>
      <c r="H5275"/>
    </row>
    <row r="5276" spans="1:8" ht="15">
      <c r="A5276"/>
      <c r="B5276"/>
      <c r="D5276"/>
      <c r="E5276"/>
      <c r="F5276"/>
      <c r="H5276"/>
    </row>
    <row r="5277" spans="1:8" ht="15">
      <c r="A5277"/>
      <c r="B5277"/>
      <c r="D5277"/>
      <c r="E5277"/>
      <c r="F5277"/>
      <c r="H5277"/>
    </row>
    <row r="5278" spans="1:8" ht="15">
      <c r="A5278"/>
      <c r="B5278"/>
      <c r="D5278"/>
      <c r="E5278"/>
      <c r="F5278"/>
      <c r="H5278"/>
    </row>
    <row r="5279" spans="1:8" ht="15">
      <c r="A5279"/>
      <c r="B5279"/>
      <c r="D5279"/>
      <c r="E5279"/>
      <c r="F5279"/>
      <c r="H5279"/>
    </row>
    <row r="5280" spans="1:8" ht="15">
      <c r="A5280"/>
      <c r="B5280"/>
      <c r="D5280"/>
      <c r="E5280"/>
      <c r="F5280"/>
      <c r="H5280"/>
    </row>
    <row r="5281" spans="1:8" ht="15">
      <c r="A5281"/>
      <c r="B5281"/>
      <c r="D5281"/>
      <c r="E5281"/>
      <c r="F5281"/>
      <c r="H5281"/>
    </row>
    <row r="5282" spans="1:8" ht="15">
      <c r="A5282"/>
      <c r="B5282"/>
      <c r="D5282"/>
      <c r="E5282"/>
      <c r="F5282"/>
      <c r="H5282"/>
    </row>
    <row r="5283" spans="1:8" ht="15">
      <c r="A5283"/>
      <c r="B5283"/>
      <c r="D5283"/>
      <c r="E5283"/>
      <c r="F5283"/>
      <c r="H5283"/>
    </row>
    <row r="5284" spans="1:8" ht="15">
      <c r="A5284"/>
      <c r="B5284"/>
      <c r="D5284"/>
      <c r="E5284"/>
      <c r="F5284"/>
      <c r="H5284"/>
    </row>
    <row r="5285" spans="1:8" ht="15">
      <c r="A5285"/>
      <c r="B5285"/>
      <c r="D5285"/>
      <c r="E5285"/>
      <c r="F5285"/>
      <c r="H5285"/>
    </row>
    <row r="5286" spans="1:8" ht="15">
      <c r="A5286"/>
      <c r="B5286"/>
      <c r="D5286"/>
      <c r="E5286"/>
      <c r="F5286"/>
      <c r="H5286"/>
    </row>
    <row r="5287" spans="1:8" ht="15">
      <c r="A5287"/>
      <c r="B5287"/>
      <c r="D5287"/>
      <c r="E5287"/>
      <c r="F5287"/>
      <c r="H5287"/>
    </row>
    <row r="5288" spans="1:8" ht="15">
      <c r="A5288"/>
      <c r="B5288"/>
      <c r="D5288"/>
      <c r="E5288"/>
      <c r="F5288"/>
      <c r="H5288"/>
    </row>
    <row r="5289" spans="1:8" ht="15">
      <c r="A5289"/>
      <c r="B5289"/>
      <c r="D5289"/>
      <c r="E5289"/>
      <c r="F5289"/>
      <c r="H5289"/>
    </row>
    <row r="5290" spans="1:8" ht="15">
      <c r="A5290"/>
      <c r="B5290"/>
      <c r="D5290"/>
      <c r="E5290"/>
      <c r="F5290"/>
      <c r="H5290"/>
    </row>
    <row r="5291" spans="1:8" ht="15">
      <c r="A5291"/>
      <c r="B5291"/>
      <c r="D5291"/>
      <c r="E5291"/>
      <c r="F5291"/>
      <c r="H5291"/>
    </row>
    <row r="5292" spans="1:8" ht="15">
      <c r="A5292"/>
      <c r="B5292"/>
      <c r="D5292"/>
      <c r="E5292"/>
      <c r="F5292"/>
      <c r="H5292"/>
    </row>
    <row r="5293" spans="1:8" ht="15">
      <c r="A5293"/>
      <c r="B5293"/>
      <c r="D5293"/>
      <c r="E5293"/>
      <c r="F5293"/>
      <c r="H5293"/>
    </row>
    <row r="5294" spans="1:8" ht="15">
      <c r="A5294"/>
      <c r="B5294"/>
      <c r="D5294"/>
      <c r="E5294"/>
      <c r="F5294"/>
      <c r="H5294"/>
    </row>
    <row r="5295" spans="1:8" ht="15">
      <c r="A5295"/>
      <c r="B5295"/>
      <c r="D5295"/>
      <c r="E5295"/>
      <c r="F5295"/>
      <c r="H5295"/>
    </row>
    <row r="5296" spans="1:8" ht="15">
      <c r="A5296"/>
      <c r="B5296"/>
      <c r="D5296"/>
      <c r="E5296"/>
      <c r="F5296"/>
      <c r="H5296"/>
    </row>
    <row r="5297" spans="1:8" ht="15">
      <c r="A5297"/>
      <c r="B5297"/>
      <c r="D5297"/>
      <c r="E5297"/>
      <c r="F5297"/>
      <c r="H5297"/>
    </row>
    <row r="5298" spans="1:8" ht="15">
      <c r="A5298"/>
      <c r="B5298"/>
      <c r="D5298"/>
      <c r="E5298"/>
      <c r="F5298"/>
      <c r="H5298"/>
    </row>
    <row r="5299" spans="1:8" ht="15">
      <c r="A5299"/>
      <c r="B5299"/>
      <c r="D5299"/>
      <c r="E5299"/>
      <c r="F5299"/>
      <c r="H5299"/>
    </row>
    <row r="5300" spans="1:8" ht="15">
      <c r="A5300"/>
      <c r="B5300"/>
      <c r="D5300"/>
      <c r="E5300"/>
      <c r="F5300"/>
      <c r="H5300"/>
    </row>
    <row r="5301" spans="1:8" ht="15">
      <c r="A5301"/>
      <c r="B5301"/>
      <c r="D5301"/>
      <c r="E5301"/>
      <c r="F5301"/>
      <c r="H5301"/>
    </row>
    <row r="5302" spans="1:8" ht="15">
      <c r="A5302"/>
      <c r="B5302"/>
      <c r="D5302"/>
      <c r="E5302"/>
      <c r="F5302"/>
      <c r="H5302"/>
    </row>
    <row r="5303" spans="1:8" ht="15">
      <c r="A5303"/>
      <c r="B5303"/>
      <c r="D5303"/>
      <c r="E5303"/>
      <c r="F5303"/>
      <c r="H5303"/>
    </row>
    <row r="5304" spans="1:8" ht="15">
      <c r="A5304"/>
      <c r="B5304"/>
      <c r="D5304"/>
      <c r="E5304"/>
      <c r="F5304"/>
      <c r="H5304"/>
    </row>
    <row r="5305" spans="1:8" ht="15">
      <c r="A5305"/>
      <c r="B5305"/>
      <c r="D5305"/>
      <c r="E5305"/>
      <c r="F5305"/>
      <c r="H5305"/>
    </row>
    <row r="5306" spans="1:8" ht="15">
      <c r="A5306"/>
      <c r="B5306"/>
      <c r="D5306"/>
      <c r="E5306"/>
      <c r="F5306"/>
      <c r="H5306"/>
    </row>
    <row r="5307" spans="1:8" ht="15">
      <c r="A5307"/>
      <c r="B5307"/>
      <c r="D5307"/>
      <c r="E5307"/>
      <c r="F5307"/>
      <c r="H5307"/>
    </row>
    <row r="5308" spans="1:8" ht="15">
      <c r="A5308"/>
      <c r="B5308"/>
      <c r="D5308"/>
      <c r="E5308"/>
      <c r="F5308"/>
      <c r="H5308"/>
    </row>
    <row r="5309" spans="1:8" ht="15">
      <c r="A5309"/>
      <c r="B5309"/>
      <c r="D5309"/>
      <c r="E5309"/>
      <c r="F5309"/>
      <c r="H5309"/>
    </row>
    <row r="5310" spans="1:8" ht="15">
      <c r="A5310"/>
      <c r="B5310"/>
      <c r="D5310"/>
      <c r="E5310"/>
      <c r="F5310"/>
      <c r="H5310"/>
    </row>
    <row r="5311" spans="1:8" ht="15">
      <c r="A5311"/>
      <c r="B5311"/>
      <c r="D5311"/>
      <c r="E5311"/>
      <c r="F5311"/>
      <c r="H5311"/>
    </row>
    <row r="5312" spans="1:8" ht="15">
      <c r="A5312"/>
      <c r="B5312"/>
      <c r="D5312"/>
      <c r="E5312"/>
      <c r="F5312"/>
      <c r="H5312"/>
    </row>
    <row r="5313" spans="1:8" ht="15">
      <c r="A5313"/>
      <c r="B5313"/>
      <c r="D5313"/>
      <c r="E5313"/>
      <c r="F5313"/>
      <c r="H5313"/>
    </row>
    <row r="5314" spans="1:8" ht="15">
      <c r="A5314"/>
      <c r="B5314"/>
      <c r="D5314"/>
      <c r="E5314"/>
      <c r="F5314"/>
      <c r="H5314"/>
    </row>
    <row r="5315" spans="1:8" ht="15">
      <c r="A5315"/>
      <c r="B5315"/>
      <c r="D5315"/>
      <c r="E5315"/>
      <c r="F5315"/>
      <c r="H5315"/>
    </row>
    <row r="5316" spans="1:8" ht="15">
      <c r="A5316"/>
      <c r="B5316"/>
      <c r="D5316"/>
      <c r="E5316"/>
      <c r="F5316"/>
      <c r="H5316"/>
    </row>
    <row r="5317" spans="1:8" ht="15">
      <c r="A5317"/>
      <c r="B5317"/>
      <c r="D5317"/>
      <c r="E5317"/>
      <c r="F5317"/>
      <c r="H5317"/>
    </row>
    <row r="5318" spans="1:8" ht="15">
      <c r="A5318"/>
      <c r="B5318"/>
      <c r="D5318"/>
      <c r="E5318"/>
      <c r="F5318"/>
      <c r="H5318"/>
    </row>
    <row r="5319" spans="1:8" ht="15">
      <c r="A5319"/>
      <c r="B5319"/>
      <c r="D5319"/>
      <c r="E5319"/>
      <c r="F5319"/>
      <c r="H5319"/>
    </row>
    <row r="5320" spans="1:8" ht="15">
      <c r="A5320"/>
      <c r="B5320"/>
      <c r="D5320"/>
      <c r="E5320"/>
      <c r="F5320"/>
      <c r="H5320"/>
    </row>
    <row r="5321" spans="1:8" ht="15">
      <c r="A5321"/>
      <c r="B5321"/>
      <c r="D5321"/>
      <c r="E5321"/>
      <c r="F5321"/>
      <c r="H5321"/>
    </row>
    <row r="5322" spans="1:8" ht="15">
      <c r="A5322"/>
      <c r="B5322"/>
      <c r="D5322"/>
      <c r="E5322"/>
      <c r="F5322"/>
      <c r="H5322"/>
    </row>
    <row r="5323" spans="1:8" ht="15">
      <c r="A5323"/>
      <c r="B5323"/>
      <c r="D5323"/>
      <c r="E5323"/>
      <c r="F5323"/>
      <c r="H5323"/>
    </row>
    <row r="5324" spans="1:8" ht="15">
      <c r="A5324"/>
      <c r="B5324"/>
      <c r="D5324"/>
      <c r="E5324"/>
      <c r="F5324"/>
      <c r="H5324"/>
    </row>
    <row r="5325" spans="1:8" ht="15">
      <c r="A5325"/>
      <c r="B5325"/>
      <c r="D5325"/>
      <c r="E5325"/>
      <c r="F5325"/>
      <c r="H5325"/>
    </row>
    <row r="5326" spans="1:8" ht="15">
      <c r="A5326"/>
      <c r="B5326"/>
      <c r="D5326"/>
      <c r="E5326"/>
      <c r="F5326"/>
      <c r="H5326"/>
    </row>
    <row r="5327" spans="1:8" ht="15">
      <c r="A5327"/>
      <c r="B5327"/>
      <c r="D5327"/>
      <c r="E5327"/>
      <c r="F5327"/>
      <c r="H5327"/>
    </row>
    <row r="5328" spans="1:8" ht="15">
      <c r="A5328"/>
      <c r="B5328"/>
      <c r="D5328"/>
      <c r="E5328"/>
      <c r="F5328"/>
      <c r="H5328"/>
    </row>
    <row r="5329" spans="1:8" ht="15">
      <c r="A5329"/>
      <c r="B5329"/>
      <c r="D5329"/>
      <c r="E5329"/>
      <c r="F5329"/>
      <c r="H5329"/>
    </row>
    <row r="5330" spans="1:8" ht="15">
      <c r="A5330"/>
      <c r="B5330"/>
      <c r="D5330"/>
      <c r="E5330"/>
      <c r="F5330"/>
      <c r="H5330"/>
    </row>
    <row r="5331" spans="1:8" ht="15">
      <c r="A5331"/>
      <c r="B5331"/>
      <c r="D5331"/>
      <c r="E5331"/>
      <c r="F5331"/>
      <c r="H5331"/>
    </row>
    <row r="5332" spans="1:8" ht="15">
      <c r="A5332"/>
      <c r="B5332"/>
      <c r="D5332"/>
      <c r="E5332"/>
      <c r="F5332"/>
      <c r="H5332"/>
    </row>
    <row r="5333" spans="1:8" ht="15">
      <c r="A5333"/>
      <c r="B5333"/>
      <c r="D5333"/>
      <c r="E5333"/>
      <c r="F5333"/>
      <c r="H5333"/>
    </row>
    <row r="5334" spans="1:8" ht="15">
      <c r="A5334"/>
      <c r="B5334"/>
      <c r="D5334"/>
      <c r="E5334"/>
      <c r="F5334"/>
      <c r="H5334"/>
    </row>
    <row r="5335" spans="1:8" ht="15">
      <c r="A5335"/>
      <c r="B5335"/>
      <c r="D5335"/>
      <c r="E5335"/>
      <c r="F5335"/>
      <c r="H5335"/>
    </row>
    <row r="5336" spans="1:8" ht="15">
      <c r="A5336"/>
      <c r="B5336"/>
      <c r="D5336"/>
      <c r="E5336"/>
      <c r="F5336"/>
      <c r="H5336"/>
    </row>
    <row r="5337" spans="1:8" ht="15">
      <c r="A5337"/>
      <c r="B5337"/>
      <c r="D5337"/>
      <c r="E5337"/>
      <c r="F5337"/>
      <c r="H5337"/>
    </row>
    <row r="5338" spans="1:8" ht="15">
      <c r="A5338"/>
      <c r="B5338"/>
      <c r="D5338"/>
      <c r="E5338"/>
      <c r="F5338"/>
      <c r="H5338"/>
    </row>
    <row r="5339" spans="1:8" ht="15">
      <c r="A5339"/>
      <c r="B5339"/>
      <c r="D5339"/>
      <c r="E5339"/>
      <c r="F5339"/>
      <c r="H5339"/>
    </row>
    <row r="5340" spans="1:8" ht="15">
      <c r="A5340"/>
      <c r="B5340"/>
      <c r="D5340"/>
      <c r="E5340"/>
      <c r="F5340"/>
      <c r="H5340"/>
    </row>
    <row r="5341" spans="1:8" ht="15">
      <c r="A5341"/>
      <c r="B5341"/>
      <c r="D5341"/>
      <c r="E5341"/>
      <c r="F5341"/>
      <c r="H5341"/>
    </row>
    <row r="5342" spans="1:8" ht="15">
      <c r="A5342"/>
      <c r="B5342"/>
      <c r="D5342"/>
      <c r="E5342"/>
      <c r="F5342"/>
      <c r="H5342"/>
    </row>
    <row r="5343" spans="1:8" ht="15">
      <c r="A5343"/>
      <c r="B5343"/>
      <c r="D5343"/>
      <c r="E5343"/>
      <c r="F5343"/>
      <c r="H5343"/>
    </row>
    <row r="5344" spans="1:8" ht="15">
      <c r="A5344"/>
      <c r="B5344"/>
      <c r="D5344"/>
      <c r="E5344"/>
      <c r="F5344"/>
      <c r="H5344"/>
    </row>
    <row r="5345" spans="1:8" ht="15">
      <c r="A5345"/>
      <c r="B5345"/>
      <c r="D5345"/>
      <c r="E5345"/>
      <c r="F5345"/>
      <c r="H5345"/>
    </row>
    <row r="5346" spans="1:8" ht="15">
      <c r="A5346"/>
      <c r="B5346"/>
      <c r="D5346"/>
      <c r="E5346"/>
      <c r="F5346"/>
      <c r="H5346"/>
    </row>
    <row r="5347" spans="1:8" ht="15">
      <c r="A5347"/>
      <c r="B5347"/>
      <c r="D5347"/>
      <c r="E5347"/>
      <c r="F5347"/>
      <c r="H5347"/>
    </row>
    <row r="5348" spans="1:8" ht="15">
      <c r="A5348"/>
      <c r="B5348"/>
      <c r="D5348"/>
      <c r="E5348"/>
      <c r="F5348"/>
      <c r="H5348"/>
    </row>
    <row r="5349" spans="1:8" ht="15">
      <c r="A5349"/>
      <c r="B5349"/>
      <c r="D5349"/>
      <c r="E5349"/>
      <c r="F5349"/>
      <c r="H5349"/>
    </row>
    <row r="5350" spans="1:8" ht="15">
      <c r="A5350"/>
      <c r="B5350"/>
      <c r="D5350"/>
      <c r="E5350"/>
      <c r="F5350"/>
      <c r="H5350"/>
    </row>
    <row r="5351" spans="1:8" ht="15">
      <c r="A5351"/>
      <c r="B5351"/>
      <c r="D5351"/>
      <c r="E5351"/>
      <c r="F5351"/>
      <c r="H5351"/>
    </row>
    <row r="5352" spans="1:8" ht="15">
      <c r="A5352"/>
      <c r="B5352"/>
      <c r="D5352"/>
      <c r="E5352"/>
      <c r="F5352"/>
      <c r="H5352"/>
    </row>
    <row r="5353" spans="1:8" ht="15">
      <c r="A5353"/>
      <c r="B5353"/>
      <c r="D5353"/>
      <c r="E5353"/>
      <c r="F5353"/>
      <c r="H5353"/>
    </row>
    <row r="5354" spans="1:8" ht="15">
      <c r="A5354"/>
      <c r="B5354"/>
      <c r="D5354"/>
      <c r="E5354"/>
      <c r="F5354"/>
      <c r="H5354"/>
    </row>
    <row r="5355" spans="1:8" ht="15">
      <c r="A5355"/>
      <c r="B5355"/>
      <c r="D5355"/>
      <c r="E5355"/>
      <c r="F5355"/>
      <c r="H5355"/>
    </row>
    <row r="5356" spans="1:8" ht="15">
      <c r="A5356"/>
      <c r="B5356"/>
      <c r="D5356"/>
      <c r="E5356"/>
      <c r="F5356"/>
      <c r="H5356"/>
    </row>
    <row r="5357" spans="1:8" ht="15">
      <c r="A5357"/>
      <c r="B5357"/>
      <c r="D5357"/>
      <c r="E5357"/>
      <c r="F5357"/>
      <c r="H5357"/>
    </row>
    <row r="5358" spans="1:8" ht="15">
      <c r="A5358"/>
      <c r="B5358"/>
      <c r="D5358"/>
      <c r="E5358"/>
      <c r="F5358"/>
      <c r="H5358"/>
    </row>
    <row r="5359" spans="1:8" ht="15">
      <c r="A5359"/>
      <c r="B5359"/>
      <c r="D5359"/>
      <c r="E5359"/>
      <c r="F5359"/>
      <c r="H5359"/>
    </row>
    <row r="5360" spans="1:8" ht="15">
      <c r="A5360"/>
      <c r="B5360"/>
      <c r="D5360"/>
      <c r="E5360"/>
      <c r="F5360"/>
      <c r="H5360"/>
    </row>
    <row r="5361" spans="1:8" ht="15">
      <c r="A5361"/>
      <c r="B5361"/>
      <c r="D5361"/>
      <c r="E5361"/>
      <c r="F5361"/>
      <c r="H5361"/>
    </row>
    <row r="5362" spans="1:8" ht="15">
      <c r="A5362"/>
      <c r="B5362"/>
      <c r="D5362"/>
      <c r="E5362"/>
      <c r="F5362"/>
      <c r="H5362"/>
    </row>
    <row r="5363" spans="1:8" ht="15">
      <c r="A5363"/>
      <c r="B5363"/>
      <c r="D5363"/>
      <c r="E5363"/>
      <c r="F5363"/>
      <c r="H5363"/>
    </row>
    <row r="5364" spans="1:8" ht="15">
      <c r="A5364"/>
      <c r="B5364"/>
      <c r="D5364"/>
      <c r="E5364"/>
      <c r="F5364"/>
      <c r="H5364"/>
    </row>
    <row r="5365" spans="1:8" ht="15">
      <c r="A5365"/>
      <c r="B5365"/>
      <c r="D5365"/>
      <c r="E5365"/>
      <c r="F5365"/>
      <c r="H5365"/>
    </row>
    <row r="5366" spans="1:8" ht="15">
      <c r="A5366"/>
      <c r="B5366"/>
      <c r="D5366"/>
      <c r="E5366"/>
      <c r="F5366"/>
      <c r="H5366"/>
    </row>
    <row r="5367" spans="1:8" ht="15">
      <c r="A5367"/>
      <c r="B5367"/>
      <c r="D5367"/>
      <c r="E5367"/>
      <c r="F5367"/>
      <c r="H5367"/>
    </row>
    <row r="5368" spans="1:8" ht="15">
      <c r="A5368"/>
      <c r="B5368"/>
      <c r="D5368"/>
      <c r="E5368"/>
      <c r="F5368"/>
      <c r="H5368"/>
    </row>
    <row r="5369" spans="1:8" ht="15">
      <c r="A5369"/>
      <c r="B5369"/>
      <c r="D5369"/>
      <c r="E5369"/>
      <c r="F5369"/>
      <c r="H5369"/>
    </row>
    <row r="5370" spans="1:8" ht="15">
      <c r="A5370"/>
      <c r="B5370"/>
      <c r="D5370"/>
      <c r="E5370"/>
      <c r="F5370"/>
      <c r="H5370"/>
    </row>
    <row r="5371" spans="1:8" ht="15">
      <c r="A5371"/>
      <c r="B5371"/>
      <c r="D5371"/>
      <c r="E5371"/>
      <c r="F5371"/>
      <c r="H5371"/>
    </row>
    <row r="5372" spans="1:8" ht="15">
      <c r="A5372"/>
      <c r="B5372"/>
      <c r="D5372"/>
      <c r="E5372"/>
      <c r="F5372"/>
      <c r="H5372"/>
    </row>
    <row r="5373" spans="1:8" ht="15">
      <c r="A5373"/>
      <c r="B5373"/>
      <c r="D5373"/>
      <c r="E5373"/>
      <c r="F5373"/>
      <c r="H5373"/>
    </row>
    <row r="5374" spans="1:8" ht="15">
      <c r="A5374"/>
      <c r="B5374"/>
      <c r="D5374"/>
      <c r="E5374"/>
      <c r="F5374"/>
      <c r="H5374"/>
    </row>
    <row r="5375" spans="1:8" ht="15">
      <c r="A5375"/>
      <c r="B5375"/>
      <c r="D5375"/>
      <c r="E5375"/>
      <c r="F5375"/>
      <c r="H5375"/>
    </row>
    <row r="5376" spans="1:8" ht="15">
      <c r="A5376"/>
      <c r="B5376"/>
      <c r="D5376"/>
      <c r="E5376"/>
      <c r="F5376"/>
      <c r="H5376"/>
    </row>
    <row r="5377" spans="1:8" ht="15">
      <c r="A5377"/>
      <c r="B5377"/>
      <c r="D5377"/>
      <c r="E5377"/>
      <c r="F5377"/>
      <c r="H5377"/>
    </row>
    <row r="5378" spans="1:8" ht="15">
      <c r="A5378"/>
      <c r="B5378"/>
      <c r="D5378"/>
      <c r="E5378"/>
      <c r="F5378"/>
      <c r="H5378"/>
    </row>
    <row r="5379" spans="1:8" ht="15">
      <c r="A5379"/>
      <c r="B5379"/>
      <c r="D5379"/>
      <c r="E5379"/>
      <c r="F5379"/>
      <c r="H5379"/>
    </row>
    <row r="5380" spans="1:8" ht="15">
      <c r="A5380"/>
      <c r="B5380"/>
      <c r="D5380"/>
      <c r="E5380"/>
      <c r="F5380"/>
      <c r="H5380"/>
    </row>
    <row r="5381" spans="1:8" ht="15">
      <c r="A5381"/>
      <c r="B5381"/>
      <c r="D5381"/>
      <c r="E5381"/>
      <c r="F5381"/>
      <c r="H5381"/>
    </row>
    <row r="5382" spans="1:8" ht="15">
      <c r="A5382"/>
      <c r="B5382"/>
      <c r="D5382"/>
      <c r="E5382"/>
      <c r="F5382"/>
      <c r="H5382"/>
    </row>
    <row r="5383" spans="1:8" ht="15">
      <c r="A5383"/>
      <c r="B5383"/>
      <c r="D5383"/>
      <c r="E5383"/>
      <c r="F5383"/>
      <c r="H5383"/>
    </row>
    <row r="5384" spans="1:8" ht="15">
      <c r="A5384"/>
      <c r="B5384"/>
      <c r="D5384"/>
      <c r="E5384"/>
      <c r="F5384"/>
      <c r="H5384"/>
    </row>
    <row r="5385" spans="1:8" ht="15">
      <c r="A5385"/>
      <c r="B5385"/>
      <c r="D5385"/>
      <c r="E5385"/>
      <c r="F5385"/>
      <c r="H5385"/>
    </row>
    <row r="5386" spans="1:8" ht="15">
      <c r="A5386"/>
      <c r="B5386"/>
      <c r="D5386"/>
      <c r="E5386"/>
      <c r="F5386"/>
      <c r="H5386"/>
    </row>
    <row r="5387" spans="1:8" ht="15">
      <c r="A5387"/>
      <c r="B5387"/>
      <c r="D5387"/>
      <c r="E5387"/>
      <c r="F5387"/>
      <c r="H5387"/>
    </row>
    <row r="5388" spans="1:8" ht="15">
      <c r="A5388"/>
      <c r="B5388"/>
      <c r="D5388"/>
      <c r="E5388"/>
      <c r="F5388"/>
      <c r="H5388"/>
    </row>
    <row r="5389" spans="1:8" ht="15">
      <c r="A5389"/>
      <c r="B5389"/>
      <c r="D5389"/>
      <c r="E5389"/>
      <c r="F5389"/>
      <c r="H5389"/>
    </row>
    <row r="5390" spans="1:8" ht="15">
      <c r="A5390"/>
      <c r="B5390"/>
      <c r="D5390"/>
      <c r="E5390"/>
      <c r="F5390"/>
      <c r="H5390"/>
    </row>
    <row r="5391" spans="1:8" ht="15">
      <c r="A5391"/>
      <c r="B5391"/>
      <c r="D5391"/>
      <c r="E5391"/>
      <c r="F5391"/>
      <c r="H5391"/>
    </row>
    <row r="5392" spans="1:8" ht="15">
      <c r="A5392"/>
      <c r="B5392"/>
      <c r="D5392"/>
      <c r="E5392"/>
      <c r="F5392"/>
      <c r="H5392"/>
    </row>
    <row r="5393" spans="1:8" ht="15">
      <c r="A5393"/>
      <c r="B5393"/>
      <c r="D5393"/>
      <c r="E5393"/>
      <c r="F5393"/>
      <c r="H5393"/>
    </row>
    <row r="5394" spans="1:8" ht="15">
      <c r="A5394"/>
      <c r="B5394"/>
      <c r="D5394"/>
      <c r="E5394"/>
      <c r="F5394"/>
      <c r="H5394"/>
    </row>
    <row r="5395" spans="1:8" ht="15">
      <c r="A5395"/>
      <c r="B5395"/>
      <c r="D5395"/>
      <c r="E5395"/>
      <c r="F5395"/>
      <c r="H5395"/>
    </row>
    <row r="5396" spans="1:8" ht="15">
      <c r="A5396"/>
      <c r="B5396"/>
      <c r="D5396"/>
      <c r="E5396"/>
      <c r="F5396"/>
      <c r="H5396"/>
    </row>
    <row r="5397" spans="1:8" ht="15">
      <c r="A5397"/>
      <c r="B5397"/>
      <c r="D5397"/>
      <c r="E5397"/>
      <c r="F5397"/>
      <c r="H5397"/>
    </row>
    <row r="5398" spans="1:8" ht="15">
      <c r="A5398"/>
      <c r="B5398"/>
      <c r="D5398"/>
      <c r="E5398"/>
      <c r="F5398"/>
      <c r="H5398"/>
    </row>
    <row r="5399" spans="1:8" ht="15">
      <c r="A5399"/>
      <c r="B5399"/>
      <c r="D5399"/>
      <c r="E5399"/>
      <c r="F5399"/>
      <c r="H5399"/>
    </row>
    <row r="5400" spans="1:8" ht="15">
      <c r="A5400"/>
      <c r="B5400"/>
      <c r="D5400"/>
      <c r="E5400"/>
      <c r="F5400"/>
      <c r="H5400"/>
    </row>
    <row r="5401" spans="1:8" ht="15">
      <c r="A5401"/>
      <c r="B5401"/>
      <c r="D5401"/>
      <c r="E5401"/>
      <c r="F5401"/>
      <c r="H5401"/>
    </row>
    <row r="5402" spans="1:8" ht="15">
      <c r="A5402"/>
      <c r="B5402"/>
      <c r="D5402"/>
      <c r="E5402"/>
      <c r="F5402"/>
      <c r="H5402"/>
    </row>
    <row r="5403" spans="1:8" ht="15">
      <c r="A5403"/>
      <c r="B5403"/>
      <c r="D5403"/>
      <c r="E5403"/>
      <c r="F5403"/>
      <c r="H5403"/>
    </row>
    <row r="5404" spans="1:8" ht="15">
      <c r="A5404"/>
      <c r="B5404"/>
      <c r="D5404"/>
      <c r="E5404"/>
      <c r="F5404"/>
      <c r="H5404"/>
    </row>
    <row r="5405" spans="1:8" ht="15">
      <c r="A5405"/>
      <c r="B5405"/>
      <c r="D5405"/>
      <c r="E5405"/>
      <c r="F5405"/>
      <c r="H5405"/>
    </row>
    <row r="5406" spans="1:8" ht="15">
      <c r="A5406"/>
      <c r="B5406"/>
      <c r="D5406"/>
      <c r="E5406"/>
      <c r="F5406"/>
      <c r="H5406"/>
    </row>
    <row r="5407" spans="1:8" ht="15">
      <c r="A5407"/>
      <c r="B5407"/>
      <c r="D5407"/>
      <c r="E5407"/>
      <c r="F5407"/>
      <c r="H5407"/>
    </row>
    <row r="5408" spans="1:8" ht="15">
      <c r="A5408"/>
      <c r="B5408"/>
      <c r="D5408"/>
      <c r="E5408"/>
      <c r="F5408"/>
      <c r="H5408"/>
    </row>
    <row r="5409" spans="1:8" ht="15">
      <c r="A5409"/>
      <c r="B5409"/>
      <c r="D5409"/>
      <c r="E5409"/>
      <c r="F5409"/>
      <c r="H5409"/>
    </row>
    <row r="5410" spans="1:8" ht="15">
      <c r="A5410"/>
      <c r="B5410"/>
      <c r="D5410"/>
      <c r="E5410"/>
      <c r="F5410"/>
      <c r="H5410"/>
    </row>
    <row r="5411" spans="1:8" ht="15">
      <c r="A5411"/>
      <c r="B5411"/>
      <c r="D5411"/>
      <c r="E5411"/>
      <c r="F5411"/>
      <c r="H5411"/>
    </row>
    <row r="5412" spans="1:8" ht="15">
      <c r="A5412"/>
      <c r="B5412"/>
      <c r="D5412"/>
      <c r="E5412"/>
      <c r="F5412"/>
      <c r="H5412"/>
    </row>
    <row r="5413" spans="1:8" ht="15">
      <c r="A5413"/>
      <c r="B5413"/>
      <c r="D5413"/>
      <c r="E5413"/>
      <c r="F5413"/>
      <c r="H5413"/>
    </row>
    <row r="5414" spans="1:8" ht="15">
      <c r="A5414"/>
      <c r="B5414"/>
      <c r="D5414"/>
      <c r="E5414"/>
      <c r="F5414"/>
      <c r="H5414"/>
    </row>
    <row r="5415" spans="1:8" ht="15">
      <c r="A5415"/>
      <c r="B5415"/>
      <c r="D5415"/>
      <c r="E5415"/>
      <c r="F5415"/>
      <c r="H5415"/>
    </row>
    <row r="5416" spans="1:8" ht="15">
      <c r="A5416"/>
      <c r="B5416"/>
      <c r="D5416"/>
      <c r="E5416"/>
      <c r="F5416"/>
      <c r="H5416"/>
    </row>
    <row r="5417" spans="1:8" ht="15">
      <c r="A5417"/>
      <c r="B5417"/>
      <c r="D5417"/>
      <c r="E5417"/>
      <c r="F5417"/>
      <c r="H5417"/>
    </row>
    <row r="5418" spans="1:8" ht="15">
      <c r="A5418"/>
      <c r="B5418"/>
      <c r="D5418"/>
      <c r="E5418"/>
      <c r="F5418"/>
      <c r="H5418"/>
    </row>
    <row r="5419" spans="1:8" ht="15">
      <c r="A5419"/>
      <c r="B5419"/>
      <c r="D5419"/>
      <c r="E5419"/>
      <c r="F5419"/>
      <c r="H5419"/>
    </row>
    <row r="5420" spans="1:8" ht="15">
      <c r="A5420"/>
      <c r="B5420"/>
      <c r="D5420"/>
      <c r="E5420"/>
      <c r="F5420"/>
      <c r="H5420"/>
    </row>
    <row r="5421" spans="1:8" ht="15">
      <c r="A5421"/>
      <c r="B5421"/>
      <c r="D5421"/>
      <c r="E5421"/>
      <c r="F5421"/>
      <c r="H5421"/>
    </row>
    <row r="5422" spans="1:8" ht="15">
      <c r="A5422"/>
      <c r="B5422"/>
      <c r="D5422"/>
      <c r="E5422"/>
      <c r="F5422"/>
      <c r="H5422"/>
    </row>
    <row r="5423" spans="1:8" ht="15">
      <c r="A5423"/>
      <c r="B5423"/>
      <c r="D5423"/>
      <c r="E5423"/>
      <c r="F5423"/>
      <c r="H5423"/>
    </row>
    <row r="5424" spans="1:8" ht="15">
      <c r="A5424"/>
      <c r="B5424"/>
      <c r="D5424"/>
      <c r="E5424"/>
      <c r="F5424"/>
      <c r="H5424"/>
    </row>
    <row r="5425" spans="1:8" ht="15">
      <c r="A5425"/>
      <c r="B5425"/>
      <c r="D5425"/>
      <c r="E5425"/>
      <c r="F5425"/>
      <c r="H5425"/>
    </row>
    <row r="5426" spans="1:8" ht="15">
      <c r="A5426"/>
      <c r="B5426"/>
      <c r="D5426"/>
      <c r="E5426"/>
      <c r="F5426"/>
      <c r="H5426"/>
    </row>
    <row r="5427" spans="1:8" ht="15">
      <c r="A5427"/>
      <c r="B5427"/>
      <c r="D5427"/>
      <c r="E5427"/>
      <c r="F5427"/>
      <c r="H5427"/>
    </row>
    <row r="5428" spans="1:8" ht="15">
      <c r="A5428"/>
      <c r="B5428"/>
      <c r="D5428"/>
      <c r="E5428"/>
      <c r="F5428"/>
      <c r="H5428"/>
    </row>
    <row r="5429" spans="1:8" ht="15">
      <c r="A5429"/>
      <c r="B5429"/>
      <c r="D5429"/>
      <c r="E5429"/>
      <c r="F5429"/>
      <c r="H5429"/>
    </row>
    <row r="5430" spans="1:8" ht="15">
      <c r="A5430"/>
      <c r="B5430"/>
      <c r="D5430"/>
      <c r="E5430"/>
      <c r="F5430"/>
      <c r="H5430"/>
    </row>
    <row r="5431" spans="1:8" ht="15">
      <c r="A5431"/>
      <c r="B5431"/>
      <c r="D5431"/>
      <c r="E5431"/>
      <c r="F5431"/>
      <c r="H5431"/>
    </row>
    <row r="5432" spans="1:8" ht="15">
      <c r="A5432"/>
      <c r="B5432"/>
      <c r="D5432"/>
      <c r="E5432"/>
      <c r="F5432"/>
      <c r="H5432"/>
    </row>
    <row r="5433" spans="1:8" ht="15">
      <c r="A5433"/>
      <c r="B5433"/>
      <c r="D5433"/>
      <c r="E5433"/>
      <c r="F5433"/>
      <c r="H5433"/>
    </row>
    <row r="5434" spans="1:8" ht="15">
      <c r="A5434"/>
      <c r="B5434"/>
      <c r="D5434"/>
      <c r="E5434"/>
      <c r="F5434"/>
      <c r="H5434"/>
    </row>
    <row r="5435" spans="1:8" ht="15">
      <c r="A5435"/>
      <c r="B5435"/>
      <c r="D5435"/>
      <c r="E5435"/>
      <c r="F5435"/>
      <c r="H5435"/>
    </row>
    <row r="5436" spans="1:8" ht="15">
      <c r="A5436"/>
      <c r="B5436"/>
      <c r="D5436"/>
      <c r="E5436"/>
      <c r="F5436"/>
      <c r="H5436"/>
    </row>
    <row r="5437" spans="1:8" ht="15">
      <c r="A5437"/>
      <c r="B5437"/>
      <c r="D5437"/>
      <c r="E5437"/>
      <c r="F5437"/>
      <c r="H5437"/>
    </row>
    <row r="5438" spans="1:8" ht="15">
      <c r="A5438"/>
      <c r="B5438"/>
      <c r="D5438"/>
      <c r="E5438"/>
      <c r="F5438"/>
      <c r="H5438"/>
    </row>
    <row r="5439" spans="1:8" ht="15">
      <c r="A5439"/>
      <c r="B5439"/>
      <c r="D5439"/>
      <c r="E5439"/>
      <c r="F5439"/>
      <c r="H5439"/>
    </row>
    <row r="5440" spans="1:8" ht="15">
      <c r="A5440"/>
      <c r="B5440"/>
      <c r="D5440"/>
      <c r="E5440"/>
      <c r="F5440"/>
      <c r="H5440"/>
    </row>
    <row r="5441" spans="1:8" ht="15">
      <c r="A5441"/>
      <c r="B5441"/>
      <c r="D5441"/>
      <c r="E5441"/>
      <c r="F5441"/>
      <c r="H5441"/>
    </row>
    <row r="5442" spans="1:8" ht="15">
      <c r="A5442"/>
      <c r="B5442"/>
      <c r="D5442"/>
      <c r="E5442"/>
      <c r="F5442"/>
      <c r="H5442"/>
    </row>
    <row r="5443" spans="1:8" ht="15">
      <c r="A5443"/>
      <c r="B5443"/>
      <c r="D5443"/>
      <c r="E5443"/>
      <c r="F5443"/>
      <c r="H5443"/>
    </row>
    <row r="5444" spans="1:8" ht="15">
      <c r="A5444"/>
      <c r="B5444"/>
      <c r="D5444"/>
      <c r="E5444"/>
      <c r="F5444"/>
      <c r="H5444"/>
    </row>
    <row r="5445" spans="1:8" ht="15">
      <c r="A5445"/>
      <c r="B5445"/>
      <c r="D5445"/>
      <c r="E5445"/>
      <c r="F5445"/>
      <c r="H5445"/>
    </row>
    <row r="5446" spans="1:8" ht="15">
      <c r="A5446"/>
      <c r="B5446"/>
      <c r="D5446"/>
      <c r="E5446"/>
      <c r="F5446"/>
      <c r="H5446"/>
    </row>
    <row r="5447" spans="1:8" ht="15">
      <c r="A5447"/>
      <c r="B5447"/>
      <c r="D5447"/>
      <c r="E5447"/>
      <c r="F5447"/>
      <c r="H5447"/>
    </row>
    <row r="5448" spans="1:8" ht="15">
      <c r="A5448"/>
      <c r="B5448"/>
      <c r="D5448"/>
      <c r="E5448"/>
      <c r="F5448"/>
      <c r="H5448"/>
    </row>
    <row r="5449" spans="1:8" ht="15">
      <c r="A5449"/>
      <c r="B5449"/>
      <c r="D5449"/>
      <c r="E5449"/>
      <c r="F5449"/>
      <c r="H5449"/>
    </row>
    <row r="5450" spans="1:8" ht="15">
      <c r="A5450"/>
      <c r="B5450"/>
      <c r="D5450"/>
      <c r="E5450"/>
      <c r="F5450"/>
      <c r="H5450"/>
    </row>
    <row r="5451" spans="1:8" ht="15">
      <c r="A5451"/>
      <c r="B5451"/>
      <c r="D5451"/>
      <c r="E5451"/>
      <c r="F5451"/>
      <c r="H5451"/>
    </row>
    <row r="5452" spans="1:8" ht="15">
      <c r="A5452"/>
      <c r="B5452"/>
      <c r="D5452"/>
      <c r="E5452"/>
      <c r="F5452"/>
      <c r="H5452"/>
    </row>
    <row r="5453" spans="1:8" ht="15">
      <c r="A5453"/>
      <c r="B5453"/>
      <c r="D5453"/>
      <c r="E5453"/>
      <c r="F5453"/>
      <c r="H5453"/>
    </row>
    <row r="5454" spans="1:8" ht="15">
      <c r="A5454"/>
      <c r="B5454"/>
      <c r="D5454"/>
      <c r="E5454"/>
      <c r="F5454"/>
      <c r="H5454"/>
    </row>
    <row r="5455" spans="1:8" ht="15">
      <c r="A5455"/>
      <c r="B5455"/>
      <c r="D5455"/>
      <c r="E5455"/>
      <c r="F5455"/>
      <c r="H5455"/>
    </row>
    <row r="5456" spans="1:8" ht="15">
      <c r="A5456"/>
      <c r="B5456"/>
      <c r="D5456"/>
      <c r="E5456"/>
      <c r="F5456"/>
      <c r="H5456"/>
    </row>
    <row r="5457" spans="1:8" ht="15">
      <c r="A5457"/>
      <c r="B5457"/>
      <c r="D5457"/>
      <c r="E5457"/>
      <c r="F5457"/>
      <c r="H5457"/>
    </row>
    <row r="5458" spans="1:8" ht="15">
      <c r="A5458"/>
      <c r="B5458"/>
      <c r="D5458"/>
      <c r="E5458"/>
      <c r="F5458"/>
      <c r="H5458"/>
    </row>
    <row r="5459" spans="1:8" ht="15">
      <c r="A5459"/>
      <c r="B5459"/>
      <c r="D5459"/>
      <c r="E5459"/>
      <c r="F5459"/>
      <c r="H5459"/>
    </row>
    <row r="5460" spans="1:8" ht="15">
      <c r="A5460"/>
      <c r="B5460"/>
      <c r="D5460"/>
      <c r="E5460"/>
      <c r="F5460"/>
      <c r="H5460"/>
    </row>
    <row r="5461" spans="1:8" ht="15">
      <c r="A5461"/>
      <c r="B5461"/>
      <c r="D5461"/>
      <c r="E5461"/>
      <c r="F5461"/>
      <c r="H5461"/>
    </row>
    <row r="5462" spans="1:8" ht="15">
      <c r="A5462"/>
      <c r="B5462"/>
      <c r="D5462"/>
      <c r="E5462"/>
      <c r="F5462"/>
      <c r="H5462"/>
    </row>
    <row r="5463" spans="1:8" ht="15">
      <c r="A5463"/>
      <c r="B5463"/>
      <c r="D5463"/>
      <c r="E5463"/>
      <c r="F5463"/>
      <c r="H5463"/>
    </row>
    <row r="5464" spans="1:8" ht="15">
      <c r="A5464"/>
      <c r="B5464"/>
      <c r="D5464"/>
      <c r="E5464"/>
      <c r="F5464"/>
      <c r="H5464"/>
    </row>
    <row r="5465" spans="1:8" ht="15">
      <c r="A5465"/>
      <c r="B5465"/>
      <c r="D5465"/>
      <c r="E5465"/>
      <c r="F5465"/>
      <c r="H5465"/>
    </row>
    <row r="5466" spans="1:8" ht="15">
      <c r="A5466"/>
      <c r="B5466"/>
      <c r="D5466"/>
      <c r="E5466"/>
      <c r="F5466"/>
      <c r="H5466"/>
    </row>
    <row r="5467" spans="1:8" ht="15">
      <c r="A5467"/>
      <c r="B5467"/>
      <c r="D5467"/>
      <c r="E5467"/>
      <c r="F5467"/>
      <c r="H5467"/>
    </row>
    <row r="5468" spans="1:8" ht="15">
      <c r="A5468"/>
      <c r="B5468"/>
      <c r="D5468"/>
      <c r="E5468"/>
      <c r="F5468"/>
      <c r="H5468"/>
    </row>
    <row r="5469" spans="1:8" ht="15">
      <c r="A5469"/>
      <c r="B5469"/>
      <c r="D5469"/>
      <c r="E5469"/>
      <c r="F5469"/>
      <c r="H5469"/>
    </row>
    <row r="5470" spans="1:8" ht="15">
      <c r="A5470"/>
      <c r="B5470"/>
      <c r="D5470"/>
      <c r="E5470"/>
      <c r="F5470"/>
      <c r="H5470"/>
    </row>
    <row r="5471" spans="1:8" ht="15">
      <c r="A5471"/>
      <c r="B5471"/>
      <c r="D5471"/>
      <c r="E5471"/>
      <c r="F5471"/>
      <c r="H5471"/>
    </row>
    <row r="5472" spans="1:8" ht="15">
      <c r="A5472"/>
      <c r="B5472"/>
      <c r="D5472"/>
      <c r="E5472"/>
      <c r="F5472"/>
      <c r="H5472"/>
    </row>
    <row r="5473" spans="1:8" ht="15">
      <c r="A5473"/>
      <c r="B5473"/>
      <c r="D5473"/>
      <c r="E5473"/>
      <c r="F5473"/>
      <c r="H5473"/>
    </row>
    <row r="5474" spans="1:8" ht="15">
      <c r="A5474"/>
      <c r="B5474"/>
      <c r="D5474"/>
      <c r="E5474"/>
      <c r="F5474"/>
      <c r="H5474"/>
    </row>
    <row r="5475" spans="1:8" ht="15">
      <c r="A5475"/>
      <c r="B5475"/>
      <c r="D5475"/>
      <c r="E5475"/>
      <c r="F5475"/>
      <c r="H5475"/>
    </row>
    <row r="5476" spans="1:8" ht="15">
      <c r="A5476"/>
      <c r="B5476"/>
      <c r="D5476"/>
      <c r="E5476"/>
      <c r="F5476"/>
      <c r="H5476"/>
    </row>
    <row r="5477" spans="1:8" ht="15">
      <c r="A5477"/>
      <c r="B5477"/>
      <c r="D5477"/>
      <c r="E5477"/>
      <c r="F5477"/>
      <c r="H5477"/>
    </row>
    <row r="5478" spans="1:8" ht="15">
      <c r="A5478"/>
      <c r="B5478"/>
      <c r="D5478"/>
      <c r="E5478"/>
      <c r="F5478"/>
      <c r="H5478"/>
    </row>
    <row r="5479" spans="1:8" ht="15">
      <c r="A5479"/>
      <c r="B5479"/>
      <c r="D5479"/>
      <c r="E5479"/>
      <c r="F5479"/>
      <c r="H5479"/>
    </row>
    <row r="5480" spans="1:8" ht="15">
      <c r="A5480"/>
      <c r="B5480"/>
      <c r="D5480"/>
      <c r="E5480"/>
      <c r="F5480"/>
      <c r="H5480"/>
    </row>
    <row r="5481" spans="1:8" ht="15">
      <c r="A5481"/>
      <c r="B5481"/>
      <c r="D5481"/>
      <c r="E5481"/>
      <c r="F5481"/>
      <c r="H5481"/>
    </row>
    <row r="5482" spans="1:8" ht="15">
      <c r="A5482"/>
      <c r="B5482"/>
      <c r="D5482"/>
      <c r="E5482"/>
      <c r="F5482"/>
      <c r="H5482"/>
    </row>
    <row r="5483" spans="1:8" ht="15">
      <c r="A5483"/>
      <c r="B5483"/>
      <c r="D5483"/>
      <c r="E5483"/>
      <c r="F5483"/>
      <c r="H5483"/>
    </row>
    <row r="5484" spans="1:8" ht="15">
      <c r="A5484"/>
      <c r="B5484"/>
      <c r="D5484"/>
      <c r="E5484"/>
      <c r="F5484"/>
      <c r="H5484"/>
    </row>
    <row r="5485" spans="1:8" ht="15">
      <c r="A5485"/>
      <c r="B5485"/>
      <c r="D5485"/>
      <c r="E5485"/>
      <c r="F5485"/>
      <c r="H5485"/>
    </row>
    <row r="5486" spans="1:8" ht="15">
      <c r="A5486"/>
      <c r="B5486"/>
      <c r="D5486"/>
      <c r="E5486"/>
      <c r="F5486"/>
      <c r="H5486"/>
    </row>
    <row r="5487" spans="1:8" ht="15">
      <c r="A5487"/>
      <c r="B5487"/>
      <c r="D5487"/>
      <c r="E5487"/>
      <c r="F5487"/>
      <c r="H5487"/>
    </row>
    <row r="5488" spans="1:8" ht="15">
      <c r="A5488"/>
      <c r="B5488"/>
      <c r="D5488"/>
      <c r="E5488"/>
      <c r="F5488"/>
      <c r="H5488"/>
    </row>
    <row r="5489" spans="1:8" ht="15">
      <c r="A5489"/>
      <c r="B5489"/>
      <c r="D5489"/>
      <c r="E5489"/>
      <c r="F5489"/>
      <c r="H5489"/>
    </row>
    <row r="5490" spans="1:8" ht="15">
      <c r="A5490"/>
      <c r="B5490"/>
      <c r="D5490"/>
      <c r="E5490"/>
      <c r="F5490"/>
      <c r="H5490"/>
    </row>
    <row r="5491" spans="1:8" ht="15">
      <c r="A5491"/>
      <c r="B5491"/>
      <c r="D5491"/>
      <c r="E5491"/>
      <c r="F5491"/>
      <c r="H5491"/>
    </row>
    <row r="5492" spans="1:8" ht="15">
      <c r="A5492"/>
      <c r="B5492"/>
      <c r="D5492"/>
      <c r="E5492"/>
      <c r="F5492"/>
      <c r="H5492"/>
    </row>
    <row r="5493" spans="1:8" ht="15">
      <c r="A5493"/>
      <c r="B5493"/>
      <c r="D5493"/>
      <c r="E5493"/>
      <c r="F5493"/>
      <c r="H5493"/>
    </row>
    <row r="5494" spans="1:8" ht="15">
      <c r="A5494"/>
      <c r="B5494"/>
      <c r="D5494"/>
      <c r="E5494"/>
      <c r="F5494"/>
      <c r="H5494"/>
    </row>
    <row r="5495" spans="1:8" ht="15">
      <c r="A5495"/>
      <c r="B5495"/>
      <c r="D5495"/>
      <c r="E5495"/>
      <c r="F5495"/>
      <c r="H5495"/>
    </row>
    <row r="5496" spans="1:8" ht="15">
      <c r="A5496"/>
      <c r="B5496"/>
      <c r="D5496"/>
      <c r="E5496"/>
      <c r="F5496"/>
      <c r="H5496"/>
    </row>
    <row r="5497" spans="1:8" ht="15">
      <c r="A5497"/>
      <c r="B5497"/>
      <c r="D5497"/>
      <c r="E5497"/>
      <c r="F5497"/>
      <c r="H5497"/>
    </row>
    <row r="5498" spans="1:8" ht="15">
      <c r="A5498"/>
      <c r="B5498"/>
      <c r="D5498"/>
      <c r="E5498"/>
      <c r="F5498"/>
      <c r="H5498"/>
    </row>
    <row r="5499" spans="1:8" ht="15">
      <c r="A5499"/>
      <c r="B5499"/>
      <c r="D5499"/>
      <c r="E5499"/>
      <c r="F5499"/>
      <c r="H5499"/>
    </row>
    <row r="5500" spans="1:8" ht="15">
      <c r="A5500"/>
      <c r="B5500"/>
      <c r="D5500"/>
      <c r="E5500"/>
      <c r="F5500"/>
      <c r="H5500"/>
    </row>
    <row r="5501" spans="1:8" ht="15">
      <c r="A5501"/>
      <c r="B5501"/>
      <c r="D5501"/>
      <c r="E5501"/>
      <c r="F5501"/>
      <c r="H5501"/>
    </row>
    <row r="5502" spans="1:8" ht="15">
      <c r="A5502"/>
      <c r="B5502"/>
      <c r="D5502"/>
      <c r="E5502"/>
      <c r="F5502"/>
      <c r="H5502"/>
    </row>
    <row r="5503" spans="1:8" ht="15">
      <c r="A5503"/>
      <c r="B5503"/>
      <c r="D5503"/>
      <c r="E5503"/>
      <c r="F5503"/>
      <c r="H5503"/>
    </row>
    <row r="5504" spans="1:8" ht="15">
      <c r="A5504"/>
      <c r="B5504"/>
      <c r="D5504"/>
      <c r="E5504"/>
      <c r="F5504"/>
      <c r="H5504"/>
    </row>
    <row r="5505" spans="1:8" ht="15">
      <c r="A5505"/>
      <c r="B5505"/>
      <c r="D5505"/>
      <c r="E5505"/>
      <c r="F5505"/>
      <c r="H5505"/>
    </row>
    <row r="5506" spans="1:8" ht="15">
      <c r="A5506"/>
      <c r="B5506"/>
      <c r="D5506"/>
      <c r="E5506"/>
      <c r="F5506"/>
      <c r="H5506"/>
    </row>
    <row r="5507" spans="1:8" ht="15">
      <c r="A5507"/>
      <c r="B5507"/>
      <c r="D5507"/>
      <c r="E5507"/>
      <c r="F5507"/>
      <c r="H5507"/>
    </row>
    <row r="5508" spans="1:8" ht="15">
      <c r="A5508"/>
      <c r="B5508"/>
      <c r="D5508"/>
      <c r="E5508"/>
      <c r="F5508"/>
      <c r="H5508"/>
    </row>
    <row r="5509" spans="1:8" ht="15">
      <c r="A5509"/>
      <c r="B5509"/>
      <c r="D5509"/>
      <c r="E5509"/>
      <c r="F5509"/>
      <c r="H5509"/>
    </row>
    <row r="5510" spans="1:8" ht="15">
      <c r="A5510"/>
      <c r="B5510"/>
      <c r="D5510"/>
      <c r="E5510"/>
      <c r="F5510"/>
      <c r="H5510"/>
    </row>
    <row r="5511" spans="1:8" ht="15">
      <c r="A5511"/>
      <c r="B5511"/>
      <c r="D5511"/>
      <c r="E5511"/>
      <c r="F5511"/>
      <c r="H5511"/>
    </row>
    <row r="5512" spans="1:8" ht="15">
      <c r="A5512"/>
      <c r="B5512"/>
      <c r="D5512"/>
      <c r="E5512"/>
      <c r="F5512"/>
      <c r="H5512"/>
    </row>
    <row r="5513" spans="1:8" ht="15">
      <c r="A5513"/>
      <c r="B5513"/>
      <c r="D5513"/>
      <c r="E5513"/>
      <c r="F5513"/>
      <c r="H5513"/>
    </row>
    <row r="5514" spans="1:8" ht="15">
      <c r="A5514"/>
      <c r="B5514"/>
      <c r="D5514"/>
      <c r="E5514"/>
      <c r="F5514"/>
      <c r="H5514"/>
    </row>
    <row r="5515" spans="1:8" ht="15">
      <c r="A5515"/>
      <c r="B5515"/>
      <c r="D5515"/>
      <c r="E5515"/>
      <c r="F5515"/>
      <c r="H5515"/>
    </row>
    <row r="5516" spans="1:8" ht="15">
      <c r="A5516"/>
      <c r="B5516"/>
      <c r="D5516"/>
      <c r="E5516"/>
      <c r="F5516"/>
      <c r="H5516"/>
    </row>
    <row r="5517" spans="1:8" ht="15">
      <c r="A5517"/>
      <c r="B5517"/>
      <c r="D5517"/>
      <c r="E5517"/>
      <c r="F5517"/>
      <c r="H5517"/>
    </row>
    <row r="5518" spans="1:8" ht="15">
      <c r="A5518"/>
      <c r="B5518"/>
      <c r="D5518"/>
      <c r="E5518"/>
      <c r="F5518"/>
      <c r="H5518"/>
    </row>
    <row r="5519" spans="1:8" ht="15">
      <c r="A5519"/>
      <c r="B5519"/>
      <c r="D5519"/>
      <c r="E5519"/>
      <c r="F5519"/>
      <c r="H5519"/>
    </row>
    <row r="5520" spans="1:8" ht="15">
      <c r="A5520"/>
      <c r="B5520"/>
      <c r="D5520"/>
      <c r="E5520"/>
      <c r="F5520"/>
      <c r="H5520"/>
    </row>
    <row r="5521" spans="1:8" ht="15">
      <c r="A5521"/>
      <c r="B5521"/>
      <c r="D5521"/>
      <c r="E5521"/>
      <c r="F5521"/>
      <c r="H5521"/>
    </row>
    <row r="5522" spans="1:8" ht="15">
      <c r="A5522"/>
      <c r="B5522"/>
      <c r="D5522"/>
      <c r="E5522"/>
      <c r="F5522"/>
      <c r="H5522"/>
    </row>
    <row r="5523" spans="1:8" ht="15">
      <c r="A5523"/>
      <c r="B5523"/>
      <c r="D5523"/>
      <c r="E5523"/>
      <c r="F5523"/>
      <c r="H5523"/>
    </row>
    <row r="5524" spans="1:8" ht="15">
      <c r="A5524"/>
      <c r="B5524"/>
      <c r="D5524"/>
      <c r="E5524"/>
      <c r="F5524"/>
      <c r="H5524"/>
    </row>
    <row r="5525" spans="1:8" ht="15">
      <c r="A5525"/>
      <c r="B5525"/>
      <c r="D5525"/>
      <c r="E5525"/>
      <c r="F5525"/>
      <c r="H5525"/>
    </row>
    <row r="5526" spans="1:8" ht="15">
      <c r="A5526"/>
      <c r="B5526"/>
      <c r="D5526"/>
      <c r="E5526"/>
      <c r="F5526"/>
      <c r="H5526"/>
    </row>
    <row r="5527" spans="1:8" ht="15">
      <c r="A5527"/>
      <c r="B5527"/>
      <c r="D5527"/>
      <c r="E5527"/>
      <c r="F5527"/>
      <c r="H5527"/>
    </row>
    <row r="5528" spans="1:8" ht="15">
      <c r="A5528"/>
      <c r="B5528"/>
      <c r="D5528"/>
      <c r="E5528"/>
      <c r="F5528"/>
      <c r="H5528"/>
    </row>
    <row r="5529" spans="1:8" ht="15">
      <c r="A5529"/>
      <c r="B5529"/>
      <c r="D5529"/>
      <c r="E5529"/>
      <c r="F5529"/>
      <c r="H5529"/>
    </row>
    <row r="5530" spans="1:8" ht="15">
      <c r="A5530"/>
      <c r="B5530"/>
      <c r="D5530"/>
      <c r="E5530"/>
      <c r="F5530"/>
      <c r="H5530"/>
    </row>
    <row r="5531" spans="1:8" ht="15">
      <c r="A5531"/>
      <c r="B5531"/>
      <c r="D5531"/>
      <c r="E5531"/>
      <c r="F5531"/>
      <c r="H5531"/>
    </row>
    <row r="5532" spans="1:8" ht="15">
      <c r="A5532"/>
      <c r="B5532"/>
      <c r="D5532"/>
      <c r="E5532"/>
      <c r="F5532"/>
      <c r="H5532"/>
    </row>
    <row r="5533" spans="1:8" ht="15">
      <c r="A5533"/>
      <c r="B5533"/>
      <c r="D5533"/>
      <c r="E5533"/>
      <c r="F5533"/>
      <c r="H5533"/>
    </row>
    <row r="5534" spans="1:8" ht="15">
      <c r="A5534"/>
      <c r="B5534"/>
      <c r="D5534"/>
      <c r="E5534"/>
      <c r="F5534"/>
      <c r="H5534"/>
    </row>
    <row r="5535" spans="1:8" ht="15">
      <c r="A5535"/>
      <c r="B5535"/>
      <c r="D5535"/>
      <c r="E5535"/>
      <c r="F5535"/>
      <c r="H5535"/>
    </row>
    <row r="5536" spans="1:8" ht="15">
      <c r="A5536"/>
      <c r="B5536"/>
      <c r="D5536"/>
      <c r="E5536"/>
      <c r="F5536"/>
      <c r="H5536"/>
    </row>
    <row r="5537" spans="1:8" ht="15">
      <c r="A5537"/>
      <c r="B5537"/>
      <c r="D5537"/>
      <c r="E5537"/>
      <c r="F5537"/>
      <c r="H5537"/>
    </row>
    <row r="5538" spans="1:8" ht="15">
      <c r="A5538"/>
      <c r="B5538"/>
      <c r="D5538"/>
      <c r="E5538"/>
      <c r="F5538"/>
      <c r="H5538"/>
    </row>
    <row r="5539" spans="1:8" ht="15">
      <c r="A5539"/>
      <c r="B5539"/>
      <c r="D5539"/>
      <c r="E5539"/>
      <c r="F5539"/>
      <c r="H5539"/>
    </row>
    <row r="5540" spans="1:8" ht="15">
      <c r="A5540"/>
      <c r="B5540"/>
      <c r="D5540"/>
      <c r="E5540"/>
      <c r="F5540"/>
      <c r="H5540"/>
    </row>
    <row r="5541" spans="1:8" ht="15">
      <c r="A5541"/>
      <c r="B5541"/>
      <c r="D5541"/>
      <c r="E5541"/>
      <c r="F5541"/>
      <c r="H5541"/>
    </row>
    <row r="5542" spans="1:8" ht="15">
      <c r="A5542"/>
      <c r="B5542"/>
      <c r="D5542"/>
      <c r="E5542"/>
      <c r="F5542"/>
      <c r="H5542"/>
    </row>
    <row r="5543" spans="1:8" ht="15">
      <c r="A5543"/>
      <c r="B5543"/>
      <c r="D5543"/>
      <c r="E5543"/>
      <c r="F5543"/>
      <c r="H5543"/>
    </row>
    <row r="5544" spans="1:8" ht="15">
      <c r="A5544"/>
      <c r="B5544"/>
      <c r="D5544"/>
      <c r="E5544"/>
      <c r="F5544"/>
      <c r="H5544"/>
    </row>
    <row r="5545" spans="1:8" ht="15">
      <c r="A5545"/>
      <c r="B5545"/>
      <c r="D5545"/>
      <c r="E5545"/>
      <c r="F5545"/>
      <c r="H5545"/>
    </row>
    <row r="5546" spans="1:8" ht="15">
      <c r="A5546"/>
      <c r="B5546"/>
      <c r="D5546"/>
      <c r="E5546"/>
      <c r="F5546"/>
      <c r="H5546"/>
    </row>
    <row r="5547" spans="1:8" ht="15">
      <c r="A5547"/>
      <c r="B5547"/>
      <c r="D5547"/>
      <c r="E5547"/>
      <c r="F5547"/>
      <c r="H5547"/>
    </row>
    <row r="5548" spans="1:8" ht="15">
      <c r="A5548"/>
      <c r="B5548"/>
      <c r="D5548"/>
      <c r="E5548"/>
      <c r="F5548"/>
      <c r="H5548"/>
    </row>
    <row r="5549" spans="1:8" ht="15">
      <c r="A5549"/>
      <c r="B5549"/>
      <c r="D5549"/>
      <c r="E5549"/>
      <c r="F5549"/>
      <c r="H5549"/>
    </row>
    <row r="5550" spans="1:8" ht="15">
      <c r="A5550"/>
      <c r="B5550"/>
      <c r="D5550"/>
      <c r="E5550"/>
      <c r="F5550"/>
      <c r="H5550"/>
    </row>
    <row r="5551" spans="1:8" ht="15">
      <c r="A5551"/>
      <c r="B5551"/>
      <c r="D5551"/>
      <c r="E5551"/>
      <c r="F5551"/>
      <c r="H5551"/>
    </row>
    <row r="5552" spans="1:8" ht="15">
      <c r="A5552"/>
      <c r="B5552"/>
      <c r="D5552"/>
      <c r="E5552"/>
      <c r="F5552"/>
      <c r="H5552"/>
    </row>
    <row r="5553" spans="1:8" ht="15">
      <c r="A5553"/>
      <c r="B5553"/>
      <c r="D5553"/>
      <c r="E5553"/>
      <c r="F5553"/>
      <c r="H5553"/>
    </row>
    <row r="5554" spans="1:8" ht="15">
      <c r="A5554"/>
      <c r="B5554"/>
      <c r="D5554"/>
      <c r="E5554"/>
      <c r="F5554"/>
      <c r="H5554"/>
    </row>
    <row r="5555" spans="1:8" ht="15">
      <c r="A5555"/>
      <c r="B5555"/>
      <c r="D5555"/>
      <c r="E5555"/>
      <c r="F5555"/>
      <c r="H5555"/>
    </row>
    <row r="5556" spans="1:8" ht="15">
      <c r="A5556"/>
      <c r="B5556"/>
      <c r="D5556"/>
      <c r="E5556"/>
      <c r="F5556"/>
      <c r="H5556"/>
    </row>
    <row r="5557" spans="1:8" ht="15">
      <c r="A5557"/>
      <c r="B5557"/>
      <c r="D5557"/>
      <c r="E5557"/>
      <c r="F5557"/>
      <c r="H5557"/>
    </row>
    <row r="5558" spans="1:8" ht="15">
      <c r="A5558"/>
      <c r="B5558"/>
      <c r="D5558"/>
      <c r="E5558"/>
      <c r="F5558"/>
      <c r="H5558"/>
    </row>
    <row r="5559" spans="1:8" ht="15">
      <c r="A5559"/>
      <c r="B5559"/>
      <c r="D5559"/>
      <c r="E5559"/>
      <c r="F5559"/>
      <c r="H5559"/>
    </row>
    <row r="5560" spans="1:8" ht="15">
      <c r="A5560"/>
      <c r="B5560"/>
      <c r="D5560"/>
      <c r="E5560"/>
      <c r="F5560"/>
      <c r="H5560"/>
    </row>
    <row r="5561" spans="1:8" ht="15">
      <c r="A5561"/>
      <c r="B5561"/>
      <c r="D5561"/>
      <c r="E5561"/>
      <c r="F5561"/>
      <c r="H5561"/>
    </row>
    <row r="5562" spans="1:8" ht="15">
      <c r="A5562"/>
      <c r="B5562"/>
      <c r="D5562"/>
      <c r="E5562"/>
      <c r="F5562"/>
      <c r="H5562"/>
    </row>
    <row r="5563" spans="1:8" ht="15">
      <c r="A5563"/>
      <c r="B5563"/>
      <c r="D5563"/>
      <c r="E5563"/>
      <c r="F5563"/>
      <c r="H5563"/>
    </row>
    <row r="5564" spans="1:8" ht="15">
      <c r="A5564"/>
      <c r="B5564"/>
      <c r="D5564"/>
      <c r="E5564"/>
      <c r="F5564"/>
      <c r="H5564"/>
    </row>
    <row r="5565" spans="1:8" ht="15">
      <c r="A5565"/>
      <c r="B5565"/>
      <c r="D5565"/>
      <c r="E5565"/>
      <c r="F5565"/>
      <c r="H5565"/>
    </row>
    <row r="5566" spans="1:8" ht="15">
      <c r="A5566"/>
      <c r="B5566"/>
      <c r="D5566"/>
      <c r="E5566"/>
      <c r="F5566"/>
      <c r="H5566"/>
    </row>
    <row r="5567" spans="1:8" ht="15">
      <c r="A5567"/>
      <c r="B5567"/>
      <c r="D5567"/>
      <c r="E5567"/>
      <c r="F5567"/>
      <c r="H5567"/>
    </row>
    <row r="5568" spans="1:8" ht="15">
      <c r="A5568"/>
      <c r="B5568"/>
      <c r="D5568"/>
      <c r="E5568"/>
      <c r="F5568"/>
      <c r="H5568"/>
    </row>
    <row r="5569" spans="1:8" ht="15">
      <c r="A5569"/>
      <c r="B5569"/>
      <c r="D5569"/>
      <c r="E5569"/>
      <c r="F5569"/>
      <c r="H5569"/>
    </row>
    <row r="5570" spans="1:8" ht="15">
      <c r="A5570"/>
      <c r="B5570"/>
      <c r="D5570"/>
      <c r="E5570"/>
      <c r="F5570"/>
      <c r="H5570"/>
    </row>
    <row r="5571" spans="1:8" ht="15">
      <c r="A5571"/>
      <c r="B5571"/>
      <c r="D5571"/>
      <c r="E5571"/>
      <c r="F5571"/>
      <c r="H5571"/>
    </row>
    <row r="5572" spans="1:8" ht="15">
      <c r="A5572"/>
      <c r="B5572"/>
      <c r="D5572"/>
      <c r="E5572"/>
      <c r="F5572"/>
      <c r="H5572"/>
    </row>
    <row r="5573" spans="1:8" ht="15">
      <c r="A5573"/>
      <c r="B5573"/>
      <c r="D5573"/>
      <c r="E5573"/>
      <c r="F5573"/>
      <c r="H5573"/>
    </row>
    <row r="5574" spans="1:8" ht="15">
      <c r="A5574"/>
      <c r="B5574"/>
      <c r="D5574"/>
      <c r="E5574"/>
      <c r="F5574"/>
      <c r="H5574"/>
    </row>
    <row r="5575" spans="1:8" ht="15">
      <c r="A5575"/>
      <c r="B5575"/>
      <c r="D5575"/>
      <c r="E5575"/>
      <c r="F5575"/>
      <c r="H5575"/>
    </row>
    <row r="5576" spans="1:8" ht="15">
      <c r="A5576"/>
      <c r="B5576"/>
      <c r="D5576"/>
      <c r="E5576"/>
      <c r="F5576"/>
      <c r="H5576"/>
    </row>
    <row r="5577" spans="1:8" ht="15">
      <c r="A5577"/>
      <c r="B5577"/>
      <c r="D5577"/>
      <c r="E5577"/>
      <c r="F5577"/>
      <c r="H5577"/>
    </row>
    <row r="5578" spans="1:8" ht="15">
      <c r="A5578"/>
      <c r="B5578"/>
      <c r="D5578"/>
      <c r="E5578"/>
      <c r="F5578"/>
      <c r="H5578"/>
    </row>
    <row r="5579" spans="1:8" ht="15">
      <c r="A5579"/>
      <c r="B5579"/>
      <c r="D5579"/>
      <c r="E5579"/>
      <c r="F5579"/>
      <c r="H5579"/>
    </row>
    <row r="5580" spans="1:8" ht="15">
      <c r="A5580"/>
      <c r="B5580"/>
      <c r="D5580"/>
      <c r="E5580"/>
      <c r="F5580"/>
      <c r="H5580"/>
    </row>
    <row r="5581" spans="1:8" ht="15">
      <c r="A5581"/>
      <c r="B5581"/>
      <c r="D5581"/>
      <c r="E5581"/>
      <c r="F5581"/>
      <c r="H5581"/>
    </row>
    <row r="5582" spans="1:8" ht="15">
      <c r="A5582"/>
      <c r="B5582"/>
      <c r="D5582"/>
      <c r="E5582"/>
      <c r="F5582"/>
      <c r="H5582"/>
    </row>
    <row r="5583" spans="1:8" ht="15">
      <c r="A5583"/>
      <c r="B5583"/>
      <c r="D5583"/>
      <c r="E5583"/>
      <c r="F5583"/>
      <c r="H5583"/>
    </row>
    <row r="5584" spans="1:8" ht="15">
      <c r="A5584"/>
      <c r="B5584"/>
      <c r="D5584"/>
      <c r="E5584"/>
      <c r="F5584"/>
      <c r="H5584"/>
    </row>
    <row r="5585" spans="1:8" ht="15">
      <c r="A5585"/>
      <c r="B5585"/>
      <c r="D5585"/>
      <c r="E5585"/>
      <c r="F5585"/>
      <c r="H5585"/>
    </row>
    <row r="5586" spans="1:8" ht="15">
      <c r="A5586"/>
      <c r="B5586"/>
      <c r="D5586"/>
      <c r="E5586"/>
      <c r="F5586"/>
      <c r="H5586"/>
    </row>
    <row r="5587" spans="1:8" ht="15">
      <c r="A5587"/>
      <c r="B5587"/>
      <c r="D5587"/>
      <c r="E5587"/>
      <c r="F5587"/>
      <c r="H5587"/>
    </row>
    <row r="5588" spans="1:8" ht="15">
      <c r="A5588"/>
      <c r="B5588"/>
      <c r="D5588"/>
      <c r="E5588"/>
      <c r="F5588"/>
      <c r="H5588"/>
    </row>
    <row r="5589" spans="1:8" ht="15">
      <c r="A5589"/>
      <c r="B5589"/>
      <c r="D5589"/>
      <c r="E5589"/>
      <c r="F5589"/>
      <c r="H5589"/>
    </row>
    <row r="5590" spans="1:8" ht="15">
      <c r="A5590"/>
      <c r="B5590"/>
      <c r="D5590"/>
      <c r="E5590"/>
      <c r="F5590"/>
      <c r="H5590"/>
    </row>
    <row r="5591" spans="1:8" ht="15">
      <c r="A5591"/>
      <c r="B5591"/>
      <c r="D5591"/>
      <c r="E5591"/>
      <c r="F5591"/>
      <c r="H5591"/>
    </row>
    <row r="5592" spans="1:8" ht="15">
      <c r="A5592"/>
      <c r="B5592"/>
      <c r="D5592"/>
      <c r="E5592"/>
      <c r="F5592"/>
      <c r="H5592"/>
    </row>
    <row r="5593" spans="1:8" ht="15">
      <c r="A5593"/>
      <c r="B5593"/>
      <c r="D5593"/>
      <c r="E5593"/>
      <c r="F5593"/>
      <c r="H5593"/>
    </row>
    <row r="5594" spans="1:8" ht="15">
      <c r="A5594"/>
      <c r="B5594"/>
      <c r="D5594"/>
      <c r="E5594"/>
      <c r="F5594"/>
      <c r="H5594"/>
    </row>
    <row r="5595" spans="1:8" ht="15">
      <c r="A5595"/>
      <c r="B5595"/>
      <c r="D5595"/>
      <c r="E5595"/>
      <c r="F5595"/>
      <c r="H5595"/>
    </row>
    <row r="5596" spans="1:8" ht="15">
      <c r="A5596"/>
      <c r="B5596"/>
      <c r="D5596"/>
      <c r="E5596"/>
      <c r="F5596"/>
      <c r="H5596"/>
    </row>
    <row r="5597" spans="1:8" ht="15">
      <c r="A5597"/>
      <c r="B5597"/>
      <c r="D5597"/>
      <c r="E5597"/>
      <c r="F5597"/>
      <c r="H5597"/>
    </row>
    <row r="5598" spans="1:8" ht="15">
      <c r="A5598"/>
      <c r="B5598"/>
      <c r="D5598"/>
      <c r="E5598"/>
      <c r="F5598"/>
      <c r="H5598"/>
    </row>
    <row r="5599" spans="1:8" ht="15">
      <c r="A5599"/>
      <c r="B5599"/>
      <c r="D5599"/>
      <c r="E5599"/>
      <c r="F5599"/>
      <c r="H5599"/>
    </row>
    <row r="5600" spans="1:8" ht="15">
      <c r="A5600"/>
      <c r="B5600"/>
      <c r="D5600"/>
      <c r="E5600"/>
      <c r="F5600"/>
      <c r="H5600"/>
    </row>
    <row r="5601" spans="1:8" ht="15">
      <c r="A5601"/>
      <c r="B5601"/>
      <c r="D5601"/>
      <c r="E5601"/>
      <c r="F5601"/>
      <c r="H5601"/>
    </row>
    <row r="5602" spans="1:8" ht="15">
      <c r="A5602"/>
      <c r="B5602"/>
      <c r="D5602"/>
      <c r="E5602"/>
      <c r="F5602"/>
      <c r="H5602"/>
    </row>
    <row r="5603" spans="1:8" ht="15">
      <c r="A5603"/>
      <c r="B5603"/>
      <c r="D5603"/>
      <c r="E5603"/>
      <c r="F5603"/>
      <c r="H5603"/>
    </row>
    <row r="5604" spans="1:8" ht="15">
      <c r="A5604"/>
      <c r="B5604"/>
      <c r="D5604"/>
      <c r="E5604"/>
      <c r="F5604"/>
      <c r="H5604"/>
    </row>
    <row r="5605" spans="1:8" ht="15">
      <c r="A5605"/>
      <c r="B5605"/>
      <c r="D5605"/>
      <c r="E5605"/>
      <c r="F5605"/>
      <c r="H5605"/>
    </row>
    <row r="5606" spans="1:8" ht="15">
      <c r="A5606"/>
      <c r="B5606"/>
      <c r="D5606"/>
      <c r="E5606"/>
      <c r="F5606"/>
      <c r="H5606"/>
    </row>
    <row r="5607" spans="1:8" ht="15">
      <c r="A5607"/>
      <c r="B5607"/>
      <c r="D5607"/>
      <c r="E5607"/>
      <c r="F5607"/>
      <c r="H5607"/>
    </row>
    <row r="5608" spans="1:8" ht="15">
      <c r="A5608"/>
      <c r="B5608"/>
      <c r="D5608"/>
      <c r="E5608"/>
      <c r="F5608"/>
      <c r="H5608"/>
    </row>
    <row r="5609" spans="1:8" ht="15">
      <c r="A5609"/>
      <c r="B5609"/>
      <c r="D5609"/>
      <c r="E5609"/>
      <c r="F5609"/>
      <c r="H5609"/>
    </row>
    <row r="5610" spans="1:8" ht="15">
      <c r="A5610"/>
      <c r="B5610"/>
      <c r="D5610"/>
      <c r="E5610"/>
      <c r="F5610"/>
      <c r="H5610"/>
    </row>
    <row r="5611" spans="1:8" ht="15">
      <c r="A5611"/>
      <c r="B5611"/>
      <c r="D5611"/>
      <c r="E5611"/>
      <c r="F5611"/>
      <c r="H5611"/>
    </row>
    <row r="5612" spans="1:8" ht="15">
      <c r="A5612"/>
      <c r="B5612"/>
      <c r="D5612"/>
      <c r="E5612"/>
      <c r="F5612"/>
      <c r="H5612"/>
    </row>
    <row r="5613" spans="1:8" ht="15">
      <c r="A5613"/>
      <c r="B5613"/>
      <c r="D5613"/>
      <c r="E5613"/>
      <c r="F5613"/>
      <c r="H5613"/>
    </row>
    <row r="5614" spans="1:8" ht="15">
      <c r="A5614"/>
      <c r="B5614"/>
      <c r="D5614"/>
      <c r="E5614"/>
      <c r="F5614"/>
      <c r="H5614"/>
    </row>
    <row r="5615" spans="1:8" ht="15">
      <c r="A5615"/>
      <c r="B5615"/>
      <c r="D5615"/>
      <c r="E5615"/>
      <c r="F5615"/>
      <c r="H5615"/>
    </row>
    <row r="5616" spans="1:8" ht="15">
      <c r="A5616"/>
      <c r="B5616"/>
      <c r="D5616"/>
      <c r="E5616"/>
      <c r="F5616"/>
      <c r="H5616"/>
    </row>
    <row r="5617" spans="1:8" ht="15">
      <c r="A5617"/>
      <c r="B5617"/>
      <c r="D5617"/>
      <c r="E5617"/>
      <c r="F5617"/>
      <c r="H5617"/>
    </row>
    <row r="5618" spans="1:8" ht="15">
      <c r="A5618"/>
      <c r="B5618"/>
      <c r="D5618"/>
      <c r="E5618"/>
      <c r="F5618"/>
      <c r="H5618"/>
    </row>
    <row r="5619" spans="1:8" ht="15">
      <c r="A5619"/>
      <c r="B5619"/>
      <c r="D5619"/>
      <c r="E5619"/>
      <c r="F5619"/>
      <c r="H5619"/>
    </row>
    <row r="5620" spans="1:8" ht="15">
      <c r="A5620"/>
      <c r="B5620"/>
      <c r="D5620"/>
      <c r="E5620"/>
      <c r="F5620"/>
      <c r="H5620"/>
    </row>
    <row r="5621" spans="1:8" ht="15">
      <c r="A5621"/>
      <c r="B5621"/>
      <c r="D5621"/>
      <c r="E5621"/>
      <c r="F5621"/>
      <c r="H5621"/>
    </row>
    <row r="5622" spans="1:8" ht="15">
      <c r="A5622"/>
      <c r="B5622"/>
      <c r="D5622"/>
      <c r="E5622"/>
      <c r="F5622"/>
      <c r="H5622"/>
    </row>
    <row r="5623" spans="1:8" ht="15">
      <c r="A5623"/>
      <c r="B5623"/>
      <c r="D5623"/>
      <c r="E5623"/>
      <c r="F5623"/>
      <c r="H5623"/>
    </row>
    <row r="5624" spans="1:8" ht="15">
      <c r="A5624"/>
      <c r="B5624"/>
      <c r="D5624"/>
      <c r="E5624"/>
      <c r="F5624"/>
      <c r="H5624"/>
    </row>
    <row r="5625" spans="1:8" ht="15">
      <c r="A5625"/>
      <c r="B5625"/>
      <c r="D5625"/>
      <c r="E5625"/>
      <c r="F5625"/>
      <c r="H5625"/>
    </row>
    <row r="5626" spans="1:8" ht="15">
      <c r="A5626"/>
      <c r="B5626"/>
      <c r="D5626"/>
      <c r="E5626"/>
      <c r="F5626"/>
      <c r="H5626"/>
    </row>
    <row r="5627" spans="1:8" ht="15">
      <c r="A5627"/>
      <c r="B5627"/>
      <c r="D5627"/>
      <c r="E5627"/>
      <c r="F5627"/>
      <c r="H5627"/>
    </row>
    <row r="5628" spans="1:8" ht="15">
      <c r="A5628"/>
      <c r="B5628"/>
      <c r="D5628"/>
      <c r="E5628"/>
      <c r="F5628"/>
      <c r="H5628"/>
    </row>
    <row r="5629" spans="1:8" ht="15">
      <c r="A5629"/>
      <c r="B5629"/>
      <c r="D5629"/>
      <c r="E5629"/>
      <c r="F5629"/>
      <c r="H5629"/>
    </row>
    <row r="5630" spans="1:8" ht="15">
      <c r="A5630"/>
      <c r="B5630"/>
      <c r="D5630"/>
      <c r="E5630"/>
      <c r="F5630"/>
      <c r="H5630"/>
    </row>
    <row r="5631" spans="1:8" ht="15">
      <c r="A5631"/>
      <c r="B5631"/>
      <c r="D5631"/>
      <c r="E5631"/>
      <c r="F5631"/>
      <c r="H5631"/>
    </row>
    <row r="5632" spans="1:8" ht="15">
      <c r="A5632"/>
      <c r="B5632"/>
      <c r="D5632"/>
      <c r="E5632"/>
      <c r="F5632"/>
      <c r="H5632"/>
    </row>
    <row r="5633" spans="1:8" ht="15">
      <c r="A5633"/>
      <c r="B5633"/>
      <c r="D5633"/>
      <c r="E5633"/>
      <c r="F5633"/>
      <c r="H5633"/>
    </row>
    <row r="5634" spans="1:8" ht="15">
      <c r="A5634"/>
      <c r="B5634"/>
      <c r="D5634"/>
      <c r="E5634"/>
      <c r="F5634"/>
      <c r="H5634"/>
    </row>
    <row r="5635" spans="1:8" ht="15">
      <c r="A5635"/>
      <c r="B5635"/>
      <c r="D5635"/>
      <c r="E5635"/>
      <c r="F5635"/>
      <c r="H5635"/>
    </row>
    <row r="5636" spans="1:8" ht="15">
      <c r="A5636"/>
      <c r="B5636"/>
      <c r="D5636"/>
      <c r="E5636"/>
      <c r="F5636"/>
      <c r="H5636"/>
    </row>
    <row r="5637" spans="1:8" ht="15">
      <c r="A5637"/>
      <c r="B5637"/>
      <c r="D5637"/>
      <c r="E5637"/>
      <c r="F5637"/>
      <c r="H5637"/>
    </row>
    <row r="5638" spans="1:8" ht="15">
      <c r="A5638"/>
      <c r="B5638"/>
      <c r="D5638"/>
      <c r="E5638"/>
      <c r="F5638"/>
      <c r="H5638"/>
    </row>
    <row r="5639" spans="1:8" ht="15">
      <c r="A5639"/>
      <c r="B5639"/>
      <c r="D5639"/>
      <c r="E5639"/>
      <c r="F5639"/>
      <c r="H5639"/>
    </row>
    <row r="5640" spans="1:8" ht="15">
      <c r="A5640"/>
      <c r="B5640"/>
      <c r="D5640"/>
      <c r="E5640"/>
      <c r="F5640"/>
      <c r="H5640"/>
    </row>
    <row r="5641" spans="1:8" ht="15">
      <c r="A5641"/>
      <c r="B5641"/>
      <c r="D5641"/>
      <c r="E5641"/>
      <c r="F5641"/>
      <c r="H5641"/>
    </row>
    <row r="5642" spans="1:8" ht="15">
      <c r="A5642"/>
      <c r="B5642"/>
      <c r="D5642"/>
      <c r="E5642"/>
      <c r="F5642"/>
      <c r="H5642"/>
    </row>
    <row r="5643" spans="1:8" ht="15">
      <c r="A5643"/>
      <c r="B5643"/>
      <c r="D5643"/>
      <c r="E5643"/>
      <c r="F5643"/>
      <c r="H5643"/>
    </row>
    <row r="5644" spans="1:8" ht="15">
      <c r="A5644"/>
      <c r="B5644"/>
      <c r="D5644"/>
      <c r="E5644"/>
      <c r="F5644"/>
      <c r="H5644"/>
    </row>
    <row r="5645" spans="1:8" ht="15">
      <c r="A5645"/>
      <c r="B5645"/>
      <c r="D5645"/>
      <c r="E5645"/>
      <c r="F5645"/>
      <c r="H5645"/>
    </row>
    <row r="5646" spans="1:8" ht="15">
      <c r="A5646"/>
      <c r="B5646"/>
      <c r="D5646"/>
      <c r="E5646"/>
      <c r="F5646"/>
      <c r="H5646"/>
    </row>
    <row r="5647" spans="1:8" ht="15">
      <c r="A5647"/>
      <c r="B5647"/>
      <c r="D5647"/>
      <c r="E5647"/>
      <c r="F5647"/>
      <c r="H5647"/>
    </row>
    <row r="5648" spans="1:8" ht="15">
      <c r="A5648"/>
      <c r="B5648"/>
      <c r="D5648"/>
      <c r="E5648"/>
      <c r="F5648"/>
      <c r="H5648"/>
    </row>
    <row r="5649" spans="1:8" ht="15">
      <c r="A5649"/>
      <c r="B5649"/>
      <c r="D5649"/>
      <c r="E5649"/>
      <c r="F5649"/>
      <c r="H5649"/>
    </row>
    <row r="5650" spans="1:8" ht="15">
      <c r="A5650"/>
      <c r="B5650"/>
      <c r="D5650"/>
      <c r="E5650"/>
      <c r="F5650"/>
      <c r="H5650"/>
    </row>
    <row r="5651" spans="1:8" ht="15">
      <c r="A5651"/>
      <c r="B5651"/>
      <c r="D5651"/>
      <c r="E5651"/>
      <c r="F5651"/>
      <c r="H5651"/>
    </row>
    <row r="5652" spans="1:8" ht="15">
      <c r="A5652"/>
      <c r="B5652"/>
      <c r="D5652"/>
      <c r="E5652"/>
      <c r="F5652"/>
      <c r="H5652"/>
    </row>
    <row r="5653" spans="1:8" ht="15">
      <c r="A5653"/>
      <c r="B5653"/>
      <c r="D5653"/>
      <c r="E5653"/>
      <c r="F5653"/>
      <c r="H5653"/>
    </row>
    <row r="5654" spans="1:8" ht="15">
      <c r="A5654"/>
      <c r="B5654"/>
      <c r="D5654"/>
      <c r="E5654"/>
      <c r="F5654"/>
      <c r="H5654"/>
    </row>
    <row r="5655" spans="1:8" ht="15">
      <c r="A5655"/>
      <c r="B5655"/>
      <c r="D5655"/>
      <c r="E5655"/>
      <c r="F5655"/>
      <c r="H5655"/>
    </row>
    <row r="5656" spans="1:8" ht="15">
      <c r="A5656"/>
      <c r="B5656"/>
      <c r="D5656"/>
      <c r="E5656"/>
      <c r="F5656"/>
      <c r="H5656"/>
    </row>
    <row r="5657" spans="1:8" ht="15">
      <c r="A5657"/>
      <c r="B5657"/>
      <c r="D5657"/>
      <c r="E5657"/>
      <c r="F5657"/>
      <c r="H5657"/>
    </row>
    <row r="5658" spans="1:8" ht="15">
      <c r="A5658"/>
      <c r="B5658"/>
      <c r="D5658"/>
      <c r="E5658"/>
      <c r="F5658"/>
      <c r="H5658"/>
    </row>
    <row r="5659" spans="1:8" ht="15">
      <c r="A5659"/>
      <c r="B5659"/>
      <c r="D5659"/>
      <c r="E5659"/>
      <c r="F5659"/>
      <c r="H5659"/>
    </row>
    <row r="5660" spans="1:8" ht="15">
      <c r="A5660"/>
      <c r="B5660"/>
      <c r="D5660"/>
      <c r="E5660"/>
      <c r="F5660"/>
      <c r="H5660"/>
    </row>
    <row r="5661" spans="1:8" ht="15">
      <c r="A5661"/>
      <c r="B5661"/>
      <c r="D5661"/>
      <c r="E5661"/>
      <c r="F5661"/>
      <c r="H5661"/>
    </row>
    <row r="5662" spans="1:8" ht="15">
      <c r="A5662"/>
      <c r="B5662"/>
      <c r="D5662"/>
      <c r="E5662"/>
      <c r="F5662"/>
      <c r="H5662"/>
    </row>
    <row r="5663" spans="1:8" ht="15">
      <c r="A5663"/>
      <c r="B5663"/>
      <c r="D5663"/>
      <c r="E5663"/>
      <c r="F5663"/>
      <c r="H5663"/>
    </row>
    <row r="5664" spans="1:8" ht="15">
      <c r="A5664"/>
      <c r="B5664"/>
      <c r="D5664"/>
      <c r="E5664"/>
      <c r="F5664"/>
      <c r="H5664"/>
    </row>
    <row r="5665" spans="1:8" ht="15">
      <c r="A5665"/>
      <c r="B5665"/>
      <c r="D5665"/>
      <c r="E5665"/>
      <c r="F5665"/>
      <c r="H5665"/>
    </row>
    <row r="5666" spans="1:8" ht="15">
      <c r="A5666"/>
      <c r="B5666"/>
      <c r="D5666"/>
      <c r="E5666"/>
      <c r="F5666"/>
      <c r="H5666"/>
    </row>
    <row r="5667" spans="1:8" ht="15">
      <c r="A5667"/>
      <c r="B5667"/>
      <c r="D5667"/>
      <c r="E5667"/>
      <c r="F5667"/>
      <c r="H5667"/>
    </row>
    <row r="5668" spans="1:8" ht="15">
      <c r="A5668"/>
      <c r="B5668"/>
      <c r="D5668"/>
      <c r="E5668"/>
      <c r="F5668"/>
      <c r="H5668"/>
    </row>
    <row r="5669" spans="1:8" ht="15">
      <c r="A5669"/>
      <c r="B5669"/>
      <c r="D5669"/>
      <c r="E5669"/>
      <c r="F5669"/>
      <c r="H5669"/>
    </row>
    <row r="5670" spans="1:8" ht="15">
      <c r="A5670"/>
      <c r="B5670"/>
      <c r="D5670"/>
      <c r="E5670"/>
      <c r="F5670"/>
      <c r="H5670"/>
    </row>
    <row r="5671" spans="1:8" ht="15">
      <c r="A5671"/>
      <c r="B5671"/>
      <c r="D5671"/>
      <c r="E5671"/>
      <c r="F5671"/>
      <c r="H5671"/>
    </row>
    <row r="5672" spans="1:8" ht="15">
      <c r="A5672"/>
      <c r="B5672"/>
      <c r="D5672"/>
      <c r="E5672"/>
      <c r="F5672"/>
      <c r="H5672"/>
    </row>
    <row r="5673" spans="1:8" ht="15">
      <c r="A5673"/>
      <c r="B5673"/>
      <c r="D5673"/>
      <c r="E5673"/>
      <c r="F5673"/>
      <c r="H5673"/>
    </row>
    <row r="5674" spans="1:8" ht="15">
      <c r="A5674"/>
      <c r="B5674"/>
      <c r="D5674"/>
      <c r="E5674"/>
      <c r="F5674"/>
      <c r="H5674"/>
    </row>
    <row r="5675" spans="1:8" ht="15">
      <c r="A5675"/>
      <c r="B5675"/>
      <c r="D5675"/>
      <c r="E5675"/>
      <c r="F5675"/>
      <c r="H5675"/>
    </row>
    <row r="5676" spans="1:8" ht="15">
      <c r="A5676"/>
      <c r="B5676"/>
      <c r="D5676"/>
      <c r="E5676"/>
      <c r="F5676"/>
      <c r="H5676"/>
    </row>
    <row r="5677" spans="1:8" ht="15">
      <c r="A5677"/>
      <c r="B5677"/>
      <c r="D5677"/>
      <c r="E5677"/>
      <c r="F5677"/>
      <c r="H5677"/>
    </row>
    <row r="5678" spans="1:8" ht="15">
      <c r="A5678"/>
      <c r="B5678"/>
      <c r="D5678"/>
      <c r="E5678"/>
      <c r="F5678"/>
      <c r="H5678"/>
    </row>
    <row r="5679" spans="1:8" ht="15">
      <c r="A5679"/>
      <c r="B5679"/>
      <c r="D5679"/>
      <c r="E5679"/>
      <c r="F5679"/>
      <c r="H5679"/>
    </row>
    <row r="5680" spans="1:8" ht="15">
      <c r="A5680"/>
      <c r="B5680"/>
      <c r="D5680"/>
      <c r="E5680"/>
      <c r="F5680"/>
      <c r="H5680"/>
    </row>
    <row r="5681" spans="1:8" ht="15">
      <c r="A5681"/>
      <c r="B5681"/>
      <c r="D5681"/>
      <c r="E5681"/>
      <c r="F5681"/>
      <c r="H5681"/>
    </row>
    <row r="5682" spans="1:8" ht="15">
      <c r="A5682"/>
      <c r="B5682"/>
      <c r="D5682"/>
      <c r="E5682"/>
      <c r="F5682"/>
      <c r="H5682"/>
    </row>
    <row r="5683" spans="1:8" ht="15">
      <c r="A5683"/>
      <c r="B5683"/>
      <c r="D5683"/>
      <c r="E5683"/>
      <c r="F5683"/>
      <c r="H5683"/>
    </row>
    <row r="5684" spans="1:8" ht="15">
      <c r="A5684"/>
      <c r="B5684"/>
      <c r="D5684"/>
      <c r="E5684"/>
      <c r="F5684"/>
      <c r="H5684"/>
    </row>
    <row r="5685" spans="1:8" ht="15">
      <c r="A5685"/>
      <c r="B5685"/>
      <c r="D5685"/>
      <c r="E5685"/>
      <c r="F5685"/>
      <c r="H5685"/>
    </row>
    <row r="5686" spans="1:8" ht="15">
      <c r="A5686"/>
      <c r="B5686"/>
      <c r="D5686"/>
      <c r="E5686"/>
      <c r="F5686"/>
      <c r="H5686"/>
    </row>
    <row r="5687" spans="1:8" ht="15">
      <c r="A5687"/>
      <c r="B5687"/>
      <c r="D5687"/>
      <c r="E5687"/>
      <c r="F5687"/>
      <c r="H5687"/>
    </row>
    <row r="5688" spans="1:8" ht="15">
      <c r="A5688"/>
      <c r="B5688"/>
      <c r="D5688"/>
      <c r="E5688"/>
      <c r="F5688"/>
      <c r="H5688"/>
    </row>
    <row r="5689" spans="1:8" ht="15">
      <c r="A5689"/>
      <c r="B5689"/>
      <c r="D5689"/>
      <c r="E5689"/>
      <c r="F5689"/>
      <c r="H5689"/>
    </row>
    <row r="5690" spans="1:8" ht="15">
      <c r="A5690"/>
      <c r="B5690"/>
      <c r="D5690"/>
      <c r="E5690"/>
      <c r="F5690"/>
      <c r="H5690"/>
    </row>
    <row r="5691" spans="1:8" ht="15">
      <c r="A5691"/>
      <c r="B5691"/>
      <c r="D5691"/>
      <c r="E5691"/>
      <c r="F5691"/>
      <c r="H5691"/>
    </row>
    <row r="5692" spans="1:8" ht="15">
      <c r="A5692"/>
      <c r="B5692"/>
      <c r="D5692"/>
      <c r="E5692"/>
      <c r="F5692"/>
      <c r="H5692"/>
    </row>
    <row r="5693" spans="1:8" ht="15">
      <c r="A5693"/>
      <c r="B5693"/>
      <c r="D5693"/>
      <c r="E5693"/>
      <c r="F5693"/>
      <c r="H5693"/>
    </row>
    <row r="5694" spans="1:8" ht="15">
      <c r="A5694"/>
      <c r="B5694"/>
      <c r="D5694"/>
      <c r="E5694"/>
      <c r="F5694"/>
      <c r="H5694"/>
    </row>
    <row r="5695" spans="1:8" ht="15">
      <c r="A5695"/>
      <c r="B5695"/>
      <c r="D5695"/>
      <c r="E5695"/>
      <c r="F5695"/>
      <c r="H5695"/>
    </row>
    <row r="5696" spans="1:8" ht="15">
      <c r="A5696"/>
      <c r="B5696"/>
      <c r="D5696"/>
      <c r="E5696"/>
      <c r="F5696"/>
      <c r="H5696"/>
    </row>
    <row r="5697" spans="1:8" ht="15">
      <c r="A5697"/>
      <c r="B5697"/>
      <c r="D5697"/>
      <c r="E5697"/>
      <c r="F5697"/>
      <c r="H5697"/>
    </row>
    <row r="5698" spans="1:8" ht="15">
      <c r="A5698"/>
      <c r="B5698"/>
      <c r="D5698"/>
      <c r="E5698"/>
      <c r="F5698"/>
      <c r="H5698"/>
    </row>
    <row r="5699" spans="1:8" ht="15">
      <c r="A5699"/>
      <c r="B5699"/>
      <c r="D5699"/>
      <c r="E5699"/>
      <c r="F5699"/>
      <c r="H5699"/>
    </row>
    <row r="5700" spans="1:8" ht="15">
      <c r="A5700"/>
      <c r="B5700"/>
      <c r="D5700"/>
      <c r="E5700"/>
      <c r="F5700"/>
      <c r="H5700"/>
    </row>
    <row r="5701" spans="1:8" ht="15">
      <c r="A5701"/>
      <c r="B5701"/>
      <c r="D5701"/>
      <c r="E5701"/>
      <c r="F5701"/>
      <c r="H5701"/>
    </row>
    <row r="5702" spans="1:8" ht="15">
      <c r="A5702"/>
      <c r="B5702"/>
      <c r="D5702"/>
      <c r="E5702"/>
      <c r="F5702"/>
      <c r="H5702"/>
    </row>
    <row r="5703" spans="1:8" ht="15">
      <c r="A5703"/>
      <c r="B5703"/>
      <c r="D5703"/>
      <c r="E5703"/>
      <c r="F5703"/>
      <c r="H5703"/>
    </row>
    <row r="5704" spans="1:8" ht="15">
      <c r="A5704"/>
      <c r="B5704"/>
      <c r="D5704"/>
      <c r="E5704"/>
      <c r="F5704"/>
      <c r="H5704"/>
    </row>
    <row r="5705" spans="1:8" ht="15">
      <c r="A5705"/>
      <c r="B5705"/>
      <c r="D5705"/>
      <c r="E5705"/>
      <c r="F5705"/>
      <c r="H5705"/>
    </row>
    <row r="5706" spans="1:8" ht="15">
      <c r="A5706"/>
      <c r="B5706"/>
      <c r="D5706"/>
      <c r="E5706"/>
      <c r="F5706"/>
      <c r="H5706"/>
    </row>
    <row r="5707" spans="1:8" ht="15">
      <c r="A5707"/>
      <c r="B5707"/>
      <c r="D5707"/>
      <c r="E5707"/>
      <c r="F5707"/>
      <c r="H5707"/>
    </row>
    <row r="5708" spans="1:8" ht="15">
      <c r="A5708"/>
      <c r="B5708"/>
      <c r="D5708"/>
      <c r="E5708"/>
      <c r="F5708"/>
      <c r="H5708"/>
    </row>
    <row r="5709" spans="1:8" ht="15">
      <c r="A5709"/>
      <c r="B5709"/>
      <c r="D5709"/>
      <c r="E5709"/>
      <c r="F5709"/>
      <c r="H5709"/>
    </row>
    <row r="5710" spans="1:8" ht="15">
      <c r="A5710"/>
      <c r="B5710"/>
      <c r="D5710"/>
      <c r="E5710"/>
      <c r="F5710"/>
      <c r="H5710"/>
    </row>
    <row r="5711" spans="1:8" ht="15">
      <c r="A5711"/>
      <c r="B5711"/>
      <c r="D5711"/>
      <c r="E5711"/>
      <c r="F5711"/>
      <c r="H5711"/>
    </row>
    <row r="5712" spans="1:8" ht="15">
      <c r="A5712"/>
      <c r="B5712"/>
      <c r="D5712"/>
      <c r="E5712"/>
      <c r="F5712"/>
      <c r="H5712"/>
    </row>
    <row r="5713" spans="1:8" ht="15">
      <c r="A5713"/>
      <c r="B5713"/>
      <c r="D5713"/>
      <c r="E5713"/>
      <c r="F5713"/>
      <c r="H5713"/>
    </row>
    <row r="5714" spans="1:8" ht="15">
      <c r="A5714"/>
      <c r="B5714"/>
      <c r="D5714"/>
      <c r="E5714"/>
      <c r="F5714"/>
      <c r="H5714"/>
    </row>
    <row r="5715" spans="1:8" ht="15">
      <c r="A5715"/>
      <c r="B5715"/>
      <c r="D5715"/>
      <c r="E5715"/>
      <c r="F5715"/>
      <c r="H5715"/>
    </row>
    <row r="5716" spans="1:8" ht="15">
      <c r="A5716"/>
      <c r="B5716"/>
      <c r="D5716"/>
      <c r="E5716"/>
      <c r="F5716"/>
      <c r="H5716"/>
    </row>
    <row r="5717" spans="1:8" ht="15">
      <c r="A5717"/>
      <c r="B5717"/>
      <c r="D5717"/>
      <c r="E5717"/>
      <c r="F5717"/>
      <c r="H5717"/>
    </row>
    <row r="5718" spans="1:8" ht="15">
      <c r="A5718"/>
      <c r="B5718"/>
      <c r="D5718"/>
      <c r="E5718"/>
      <c r="F5718"/>
      <c r="H5718"/>
    </row>
    <row r="5719" spans="1:8" ht="15">
      <c r="A5719"/>
      <c r="B5719"/>
      <c r="D5719"/>
      <c r="E5719"/>
      <c r="F5719"/>
      <c r="H5719"/>
    </row>
    <row r="5720" spans="1:8" ht="15">
      <c r="A5720"/>
      <c r="B5720"/>
      <c r="D5720"/>
      <c r="E5720"/>
      <c r="F5720"/>
      <c r="H5720"/>
    </row>
    <row r="5721" spans="1:8" ht="15">
      <c r="A5721"/>
      <c r="B5721"/>
      <c r="D5721"/>
      <c r="E5721"/>
      <c r="F5721"/>
      <c r="H5721"/>
    </row>
    <row r="5722" spans="1:8" ht="15">
      <c r="A5722"/>
      <c r="B5722"/>
      <c r="D5722"/>
      <c r="E5722"/>
      <c r="F5722"/>
      <c r="H5722"/>
    </row>
    <row r="5723" spans="1:8" ht="15">
      <c r="A5723"/>
      <c r="B5723"/>
      <c r="D5723"/>
      <c r="E5723"/>
      <c r="F5723"/>
      <c r="H5723"/>
    </row>
    <row r="5724" spans="1:8" ht="15">
      <c r="A5724"/>
      <c r="B5724"/>
      <c r="D5724"/>
      <c r="E5724"/>
      <c r="F5724"/>
      <c r="H5724"/>
    </row>
    <row r="5725" spans="1:8" ht="15">
      <c r="A5725"/>
      <c r="B5725"/>
      <c r="D5725"/>
      <c r="E5725"/>
      <c r="F5725"/>
      <c r="H5725"/>
    </row>
    <row r="5726" spans="1:8" ht="15">
      <c r="A5726"/>
      <c r="B5726"/>
      <c r="D5726"/>
      <c r="E5726"/>
      <c r="F5726"/>
      <c r="H5726"/>
    </row>
    <row r="5727" spans="1:8" ht="15">
      <c r="A5727"/>
      <c r="B5727"/>
      <c r="D5727"/>
      <c r="E5727"/>
      <c r="F5727"/>
      <c r="H5727"/>
    </row>
    <row r="5728" spans="1:8" ht="15">
      <c r="A5728"/>
      <c r="B5728"/>
      <c r="D5728"/>
      <c r="E5728"/>
      <c r="F5728"/>
      <c r="H5728"/>
    </row>
    <row r="5729" spans="1:8" ht="15">
      <c r="A5729"/>
      <c r="B5729"/>
      <c r="D5729"/>
      <c r="E5729"/>
      <c r="F5729"/>
      <c r="H5729"/>
    </row>
    <row r="5730" spans="1:8" ht="15">
      <c r="A5730"/>
      <c r="B5730"/>
      <c r="D5730"/>
      <c r="E5730"/>
      <c r="F5730"/>
      <c r="H5730"/>
    </row>
    <row r="5731" spans="1:8" ht="15">
      <c r="A5731"/>
      <c r="B5731"/>
      <c r="D5731"/>
      <c r="E5731"/>
      <c r="F5731"/>
      <c r="H5731"/>
    </row>
    <row r="5732" spans="1:8" ht="15">
      <c r="A5732"/>
      <c r="B5732"/>
      <c r="D5732"/>
      <c r="E5732"/>
      <c r="F5732"/>
      <c r="H5732"/>
    </row>
    <row r="5733" spans="1:8" ht="15">
      <c r="A5733"/>
      <c r="B5733"/>
      <c r="D5733"/>
      <c r="E5733"/>
      <c r="F5733"/>
      <c r="H5733"/>
    </row>
    <row r="5734" spans="1:8" ht="15">
      <c r="A5734"/>
      <c r="B5734"/>
      <c r="D5734"/>
      <c r="E5734"/>
      <c r="F5734"/>
      <c r="H5734"/>
    </row>
    <row r="5735" spans="1:8" ht="15">
      <c r="A5735"/>
      <c r="B5735"/>
      <c r="D5735"/>
      <c r="E5735"/>
      <c r="F5735"/>
      <c r="H5735"/>
    </row>
    <row r="5736" spans="1:8" ht="15">
      <c r="A5736"/>
      <c r="B5736"/>
      <c r="D5736"/>
      <c r="E5736"/>
      <c r="F5736"/>
      <c r="H5736"/>
    </row>
    <row r="5737" spans="1:8" ht="15">
      <c r="A5737"/>
      <c r="B5737"/>
      <c r="D5737"/>
      <c r="E5737"/>
      <c r="F5737"/>
      <c r="H5737"/>
    </row>
    <row r="5738" spans="1:8" ht="15">
      <c r="A5738"/>
      <c r="B5738"/>
      <c r="D5738"/>
      <c r="E5738"/>
      <c r="F5738"/>
      <c r="H5738"/>
    </row>
    <row r="5739" spans="1:8" ht="15">
      <c r="A5739"/>
      <c r="B5739"/>
      <c r="D5739"/>
      <c r="E5739"/>
      <c r="F5739"/>
      <c r="H5739"/>
    </row>
    <row r="5740" spans="1:8" ht="15">
      <c r="A5740"/>
      <c r="B5740"/>
      <c r="D5740"/>
      <c r="E5740"/>
      <c r="F5740"/>
      <c r="H5740"/>
    </row>
    <row r="5741" spans="1:8" ht="15">
      <c r="A5741"/>
      <c r="B5741"/>
      <c r="D5741"/>
      <c r="E5741"/>
      <c r="F5741"/>
      <c r="H5741"/>
    </row>
    <row r="5742" spans="1:8" ht="15">
      <c r="A5742"/>
      <c r="B5742"/>
      <c r="D5742"/>
      <c r="E5742"/>
      <c r="F5742"/>
      <c r="H5742"/>
    </row>
    <row r="5743" spans="1:8" ht="15">
      <c r="A5743"/>
      <c r="B5743"/>
      <c r="D5743"/>
      <c r="E5743"/>
      <c r="F5743"/>
      <c r="H5743"/>
    </row>
    <row r="5744" spans="1:8" ht="15">
      <c r="A5744"/>
      <c r="B5744"/>
      <c r="D5744"/>
      <c r="E5744"/>
      <c r="F5744"/>
      <c r="H5744"/>
    </row>
    <row r="5745" spans="1:8" ht="15">
      <c r="A5745"/>
      <c r="B5745"/>
      <c r="D5745"/>
      <c r="E5745"/>
      <c r="F5745"/>
      <c r="H5745"/>
    </row>
    <row r="5746" spans="1:8" ht="15">
      <c r="A5746"/>
      <c r="B5746"/>
      <c r="D5746"/>
      <c r="E5746"/>
      <c r="F5746"/>
      <c r="H5746"/>
    </row>
    <row r="5747" spans="1:8" ht="15">
      <c r="A5747"/>
      <c r="B5747"/>
      <c r="D5747"/>
      <c r="E5747"/>
      <c r="F5747"/>
      <c r="H5747"/>
    </row>
    <row r="5748" spans="1:8" ht="15">
      <c r="A5748"/>
      <c r="B5748"/>
      <c r="D5748"/>
      <c r="E5748"/>
      <c r="F5748"/>
      <c r="H5748"/>
    </row>
    <row r="5749" spans="1:8" ht="15">
      <c r="A5749"/>
      <c r="B5749"/>
      <c r="D5749"/>
      <c r="E5749"/>
      <c r="F5749"/>
      <c r="H5749"/>
    </row>
    <row r="5750" spans="1:8" ht="15">
      <c r="A5750"/>
      <c r="B5750"/>
      <c r="D5750"/>
      <c r="E5750"/>
      <c r="F5750"/>
      <c r="H5750"/>
    </row>
    <row r="5751" spans="1:8" ht="15">
      <c r="A5751"/>
      <c r="B5751"/>
      <c r="D5751"/>
      <c r="E5751"/>
      <c r="F5751"/>
      <c r="H5751"/>
    </row>
    <row r="5752" spans="1:8" ht="15">
      <c r="A5752"/>
      <c r="B5752"/>
      <c r="D5752"/>
      <c r="E5752"/>
      <c r="F5752"/>
      <c r="H5752"/>
    </row>
    <row r="5753" spans="1:8" ht="15">
      <c r="A5753"/>
      <c r="B5753"/>
      <c r="D5753"/>
      <c r="E5753"/>
      <c r="F5753"/>
      <c r="H5753"/>
    </row>
    <row r="5754" spans="1:8" ht="15">
      <c r="A5754"/>
      <c r="B5754"/>
      <c r="D5754"/>
      <c r="E5754"/>
      <c r="F5754"/>
      <c r="H5754"/>
    </row>
    <row r="5755" spans="1:8" ht="15">
      <c r="A5755"/>
      <c r="B5755"/>
      <c r="D5755"/>
      <c r="E5755"/>
      <c r="F5755"/>
      <c r="H5755"/>
    </row>
    <row r="5756" spans="1:8" ht="15">
      <c r="A5756"/>
      <c r="B5756"/>
      <c r="D5756"/>
      <c r="E5756"/>
      <c r="F5756"/>
      <c r="H5756"/>
    </row>
    <row r="5757" spans="1:8" ht="15">
      <c r="A5757"/>
      <c r="B5757"/>
      <c r="D5757"/>
      <c r="E5757"/>
      <c r="F5757"/>
      <c r="H5757"/>
    </row>
    <row r="5758" spans="1:8" ht="15">
      <c r="A5758"/>
      <c r="B5758"/>
      <c r="D5758"/>
      <c r="E5758"/>
      <c r="F5758"/>
      <c r="H5758"/>
    </row>
    <row r="5759" spans="1:8" ht="15">
      <c r="A5759"/>
      <c r="B5759"/>
      <c r="D5759"/>
      <c r="E5759"/>
      <c r="F5759"/>
      <c r="H5759"/>
    </row>
    <row r="5760" spans="1:8" ht="15">
      <c r="A5760"/>
      <c r="B5760"/>
      <c r="D5760"/>
      <c r="E5760"/>
      <c r="F5760"/>
      <c r="H5760"/>
    </row>
    <row r="5761" spans="1:8" ht="15">
      <c r="A5761"/>
      <c r="B5761"/>
      <c r="D5761"/>
      <c r="E5761"/>
      <c r="F5761"/>
      <c r="H5761"/>
    </row>
    <row r="5762" spans="1:8" ht="15">
      <c r="A5762"/>
      <c r="B5762"/>
      <c r="D5762"/>
      <c r="E5762"/>
      <c r="F5762"/>
      <c r="H5762"/>
    </row>
    <row r="5763" spans="1:8" ht="15">
      <c r="A5763"/>
      <c r="B5763"/>
      <c r="D5763"/>
      <c r="E5763"/>
      <c r="F5763"/>
      <c r="H5763"/>
    </row>
    <row r="5764" spans="1:8" ht="15">
      <c r="A5764"/>
      <c r="B5764"/>
      <c r="D5764"/>
      <c r="E5764"/>
      <c r="F5764"/>
      <c r="H5764"/>
    </row>
    <row r="5765" spans="1:8" ht="15">
      <c r="A5765"/>
      <c r="B5765"/>
      <c r="D5765"/>
      <c r="E5765"/>
      <c r="F5765"/>
      <c r="H5765"/>
    </row>
    <row r="5766" spans="1:8" ht="15">
      <c r="A5766"/>
      <c r="B5766"/>
      <c r="D5766"/>
      <c r="E5766"/>
      <c r="F5766"/>
      <c r="H5766"/>
    </row>
    <row r="5767" spans="1:8" ht="15">
      <c r="A5767"/>
      <c r="B5767"/>
      <c r="D5767"/>
      <c r="E5767"/>
      <c r="F5767"/>
      <c r="H5767"/>
    </row>
    <row r="5768" spans="1:8" ht="15">
      <c r="A5768"/>
      <c r="B5768"/>
      <c r="D5768"/>
      <c r="E5768"/>
      <c r="F5768"/>
      <c r="H5768"/>
    </row>
    <row r="5769" spans="1:8" ht="15">
      <c r="A5769"/>
      <c r="B5769"/>
      <c r="D5769"/>
      <c r="E5769"/>
      <c r="F5769"/>
      <c r="H5769"/>
    </row>
    <row r="5770" spans="1:8" ht="15">
      <c r="A5770"/>
      <c r="B5770"/>
      <c r="D5770"/>
      <c r="E5770"/>
      <c r="F5770"/>
      <c r="H5770"/>
    </row>
    <row r="5771" spans="1:8" ht="15">
      <c r="A5771"/>
      <c r="B5771"/>
      <c r="D5771"/>
      <c r="E5771"/>
      <c r="F5771"/>
      <c r="H5771"/>
    </row>
    <row r="5772" spans="1:8" ht="15">
      <c r="A5772"/>
      <c r="B5772"/>
      <c r="D5772"/>
      <c r="E5772"/>
      <c r="F5772"/>
      <c r="H5772"/>
    </row>
    <row r="5773" spans="1:8" ht="15">
      <c r="A5773"/>
      <c r="B5773"/>
      <c r="D5773"/>
      <c r="E5773"/>
      <c r="F5773"/>
      <c r="H5773"/>
    </row>
    <row r="5774" spans="1:8" ht="15">
      <c r="A5774"/>
      <c r="B5774"/>
      <c r="D5774"/>
      <c r="E5774"/>
      <c r="F5774"/>
      <c r="H5774"/>
    </row>
    <row r="5775" spans="1:8" ht="15">
      <c r="A5775"/>
      <c r="B5775"/>
      <c r="D5775"/>
      <c r="E5775"/>
      <c r="F5775"/>
      <c r="H5775"/>
    </row>
    <row r="5776" spans="1:8" ht="15">
      <c r="A5776"/>
      <c r="B5776"/>
      <c r="D5776"/>
      <c r="E5776"/>
      <c r="F5776"/>
      <c r="H5776"/>
    </row>
    <row r="5777" spans="1:8" ht="15">
      <c r="A5777"/>
      <c r="B5777"/>
      <c r="D5777"/>
      <c r="E5777"/>
      <c r="F5777"/>
      <c r="H5777"/>
    </row>
    <row r="5778" spans="1:8" ht="15">
      <c r="A5778"/>
      <c r="B5778"/>
      <c r="D5778"/>
      <c r="E5778"/>
      <c r="F5778"/>
      <c r="H5778"/>
    </row>
    <row r="5779" spans="1:8" ht="15">
      <c r="A5779"/>
      <c r="B5779"/>
      <c r="D5779"/>
      <c r="E5779"/>
      <c r="F5779"/>
      <c r="H5779"/>
    </row>
    <row r="5780" spans="1:8" ht="15">
      <c r="A5780"/>
      <c r="B5780"/>
      <c r="D5780"/>
      <c r="E5780"/>
      <c r="F5780"/>
      <c r="H5780"/>
    </row>
    <row r="5781" spans="1:8" ht="15">
      <c r="A5781"/>
      <c r="B5781"/>
      <c r="D5781"/>
      <c r="E5781"/>
      <c r="F5781"/>
      <c r="H5781"/>
    </row>
    <row r="5782" spans="1:8" ht="15">
      <c r="A5782"/>
      <c r="B5782"/>
      <c r="D5782"/>
      <c r="E5782"/>
      <c r="F5782"/>
      <c r="H5782"/>
    </row>
    <row r="5783" spans="1:8" ht="15">
      <c r="A5783"/>
      <c r="B5783"/>
      <c r="D5783"/>
      <c r="E5783"/>
      <c r="F5783"/>
      <c r="H5783"/>
    </row>
    <row r="5784" spans="1:8" ht="15">
      <c r="A5784"/>
      <c r="B5784"/>
      <c r="D5784"/>
      <c r="E5784"/>
      <c r="F5784"/>
      <c r="H5784"/>
    </row>
    <row r="5785" spans="1:8" ht="15">
      <c r="A5785"/>
      <c r="B5785"/>
      <c r="D5785"/>
      <c r="E5785"/>
      <c r="F5785"/>
      <c r="H5785"/>
    </row>
    <row r="5786" spans="1:8" ht="15">
      <c r="A5786"/>
      <c r="B5786"/>
      <c r="D5786"/>
      <c r="E5786"/>
      <c r="F5786"/>
      <c r="H5786"/>
    </row>
    <row r="5787" spans="1:8" ht="15">
      <c r="A5787"/>
      <c r="B5787"/>
      <c r="D5787"/>
      <c r="E5787"/>
      <c r="F5787"/>
      <c r="H5787"/>
    </row>
    <row r="5788" spans="1:8" ht="15">
      <c r="A5788"/>
      <c r="B5788"/>
      <c r="D5788"/>
      <c r="E5788"/>
      <c r="F5788"/>
      <c r="H5788"/>
    </row>
    <row r="5789" spans="1:8" ht="15">
      <c r="A5789"/>
      <c r="B5789"/>
      <c r="D5789"/>
      <c r="E5789"/>
      <c r="F5789"/>
      <c r="H5789"/>
    </row>
    <row r="5790" spans="1:8" ht="15">
      <c r="A5790"/>
      <c r="B5790"/>
      <c r="D5790"/>
      <c r="E5790"/>
      <c r="F5790"/>
      <c r="H5790"/>
    </row>
    <row r="5791" spans="1:8" ht="15">
      <c r="A5791"/>
      <c r="B5791"/>
      <c r="D5791"/>
      <c r="E5791"/>
      <c r="F5791"/>
      <c r="H5791"/>
    </row>
    <row r="5792" spans="1:8" ht="15">
      <c r="A5792"/>
      <c r="B5792"/>
      <c r="D5792"/>
      <c r="E5792"/>
      <c r="F5792"/>
      <c r="H5792"/>
    </row>
    <row r="5793" spans="1:8" ht="15">
      <c r="A5793"/>
      <c r="B5793"/>
      <c r="D5793"/>
      <c r="E5793"/>
      <c r="F5793"/>
      <c r="H5793"/>
    </row>
    <row r="5794" spans="1:8" ht="15">
      <c r="A5794"/>
      <c r="B5794"/>
      <c r="D5794"/>
      <c r="E5794"/>
      <c r="F5794"/>
      <c r="H5794"/>
    </row>
    <row r="5795" spans="1:8" ht="15">
      <c r="A5795"/>
      <c r="B5795"/>
      <c r="D5795"/>
      <c r="E5795"/>
      <c r="F5795"/>
      <c r="H5795"/>
    </row>
    <row r="5796" spans="1:8" ht="15">
      <c r="A5796"/>
      <c r="B5796"/>
      <c r="D5796"/>
      <c r="E5796"/>
      <c r="F5796"/>
      <c r="H5796"/>
    </row>
    <row r="5797" spans="1:8" ht="15">
      <c r="A5797"/>
      <c r="B5797"/>
      <c r="D5797"/>
      <c r="E5797"/>
      <c r="F5797"/>
      <c r="H5797"/>
    </row>
    <row r="5798" spans="1:8" ht="15">
      <c r="A5798"/>
      <c r="B5798"/>
      <c r="D5798"/>
      <c r="E5798"/>
      <c r="F5798"/>
      <c r="H5798"/>
    </row>
    <row r="5799" spans="1:8" ht="15">
      <c r="A5799"/>
      <c r="B5799"/>
      <c r="D5799"/>
      <c r="E5799"/>
      <c r="F5799"/>
      <c r="H5799"/>
    </row>
    <row r="5800" spans="1:8" ht="15">
      <c r="A5800"/>
      <c r="B5800"/>
      <c r="D5800"/>
      <c r="E5800"/>
      <c r="F5800"/>
      <c r="H5800"/>
    </row>
    <row r="5801" spans="1:8" ht="15">
      <c r="A5801"/>
      <c r="B5801"/>
      <c r="D5801"/>
      <c r="E5801"/>
      <c r="F5801"/>
      <c r="H5801"/>
    </row>
    <row r="5802" spans="1:8" ht="15">
      <c r="A5802"/>
      <c r="B5802"/>
      <c r="D5802"/>
      <c r="E5802"/>
      <c r="F5802"/>
      <c r="H5802"/>
    </row>
    <row r="5803" spans="1:8" ht="15">
      <c r="A5803"/>
      <c r="B5803"/>
      <c r="D5803"/>
      <c r="E5803"/>
      <c r="F5803"/>
      <c r="H5803"/>
    </row>
    <row r="5804" spans="1:8" ht="15">
      <c r="A5804"/>
      <c r="B5804"/>
      <c r="D5804"/>
      <c r="E5804"/>
      <c r="F5804"/>
      <c r="H5804"/>
    </row>
    <row r="5805" spans="1:8" ht="15">
      <c r="A5805"/>
      <c r="B5805"/>
      <c r="D5805"/>
      <c r="E5805"/>
      <c r="F5805"/>
      <c r="H5805"/>
    </row>
    <row r="5806" spans="1:8" ht="15">
      <c r="A5806"/>
      <c r="B5806"/>
      <c r="D5806"/>
      <c r="E5806"/>
      <c r="F5806"/>
      <c r="H5806"/>
    </row>
    <row r="5807" spans="1:8" ht="15">
      <c r="A5807"/>
      <c r="B5807"/>
      <c r="D5807"/>
      <c r="E5807"/>
      <c r="F5807"/>
      <c r="H5807"/>
    </row>
    <row r="5808" spans="1:8" ht="15">
      <c r="A5808"/>
      <c r="B5808"/>
      <c r="D5808"/>
      <c r="E5808"/>
      <c r="F5808"/>
      <c r="H5808"/>
    </row>
    <row r="5809" spans="1:8" ht="15">
      <c r="A5809"/>
      <c r="B5809"/>
      <c r="D5809"/>
      <c r="E5809"/>
      <c r="F5809"/>
      <c r="H5809"/>
    </row>
    <row r="5810" spans="1:8" ht="15">
      <c r="A5810"/>
      <c r="B5810"/>
      <c r="D5810"/>
      <c r="E5810"/>
      <c r="F5810"/>
      <c r="H5810"/>
    </row>
    <row r="5811" spans="1:8" ht="15">
      <c r="A5811"/>
      <c r="B5811"/>
      <c r="D5811"/>
      <c r="E5811"/>
      <c r="F5811"/>
      <c r="H5811"/>
    </row>
    <row r="5812" spans="1:8" ht="15">
      <c r="A5812"/>
      <c r="B5812"/>
      <c r="D5812"/>
      <c r="E5812"/>
      <c r="F5812"/>
      <c r="H5812"/>
    </row>
    <row r="5813" spans="1:8" ht="15">
      <c r="A5813"/>
      <c r="B5813"/>
      <c r="D5813"/>
      <c r="E5813"/>
      <c r="F5813"/>
      <c r="H5813"/>
    </row>
    <row r="5814" spans="1:8" ht="15">
      <c r="A5814"/>
      <c r="B5814"/>
      <c r="D5814"/>
      <c r="E5814"/>
      <c r="F5814"/>
      <c r="H5814"/>
    </row>
    <row r="5815" spans="1:8" ht="15">
      <c r="A5815"/>
      <c r="B5815"/>
      <c r="D5815"/>
      <c r="E5815"/>
      <c r="F5815"/>
      <c r="H5815"/>
    </row>
    <row r="5816" spans="1:8" ht="15">
      <c r="A5816"/>
      <c r="B5816"/>
      <c r="D5816"/>
      <c r="E5816"/>
      <c r="F5816"/>
      <c r="H5816"/>
    </row>
    <row r="5817" spans="1:8" ht="15">
      <c r="A5817"/>
      <c r="B5817"/>
      <c r="D5817"/>
      <c r="E5817"/>
      <c r="F5817"/>
      <c r="H5817"/>
    </row>
    <row r="5818" spans="1:8" ht="15">
      <c r="A5818"/>
      <c r="B5818"/>
      <c r="D5818"/>
      <c r="E5818"/>
      <c r="F5818"/>
      <c r="H5818"/>
    </row>
    <row r="5819" spans="1:8" ht="15">
      <c r="A5819"/>
      <c r="B5819"/>
      <c r="D5819"/>
      <c r="E5819"/>
      <c r="F5819"/>
      <c r="H5819"/>
    </row>
    <row r="5820" spans="1:8" ht="15">
      <c r="A5820"/>
      <c r="B5820"/>
      <c r="D5820"/>
      <c r="E5820"/>
      <c r="F5820"/>
      <c r="H5820"/>
    </row>
    <row r="5821" spans="1:8" ht="15">
      <c r="A5821"/>
      <c r="B5821"/>
      <c r="D5821"/>
      <c r="E5821"/>
      <c r="F5821"/>
      <c r="H5821"/>
    </row>
    <row r="5822" spans="1:8" ht="15">
      <c r="A5822"/>
      <c r="B5822"/>
      <c r="D5822"/>
      <c r="E5822"/>
      <c r="F5822"/>
      <c r="H5822"/>
    </row>
    <row r="5823" spans="1:8" ht="15">
      <c r="A5823"/>
      <c r="B5823"/>
      <c r="D5823"/>
      <c r="E5823"/>
      <c r="F5823"/>
      <c r="H5823"/>
    </row>
    <row r="5824" spans="1:8" ht="15">
      <c r="A5824"/>
      <c r="B5824"/>
      <c r="D5824"/>
      <c r="E5824"/>
      <c r="F5824"/>
      <c r="H5824"/>
    </row>
    <row r="5825" spans="1:8" ht="15">
      <c r="A5825"/>
      <c r="B5825"/>
      <c r="D5825"/>
      <c r="E5825"/>
      <c r="F5825"/>
      <c r="H5825"/>
    </row>
    <row r="5826" spans="1:8" ht="15">
      <c r="A5826"/>
      <c r="B5826"/>
      <c r="D5826"/>
      <c r="E5826"/>
      <c r="F5826"/>
      <c r="H5826"/>
    </row>
    <row r="5827" spans="1:8" ht="15">
      <c r="A5827"/>
      <c r="B5827"/>
      <c r="D5827"/>
      <c r="E5827"/>
      <c r="F5827"/>
      <c r="H5827"/>
    </row>
    <row r="5828" spans="1:8" ht="15">
      <c r="A5828"/>
      <c r="B5828"/>
      <c r="D5828"/>
      <c r="E5828"/>
      <c r="F5828"/>
      <c r="H5828"/>
    </row>
    <row r="5829" spans="1:8" ht="15">
      <c r="A5829"/>
      <c r="B5829"/>
      <c r="D5829"/>
      <c r="E5829"/>
      <c r="F5829"/>
      <c r="H5829"/>
    </row>
    <row r="5830" spans="1:8" ht="15">
      <c r="A5830"/>
      <c r="B5830"/>
      <c r="D5830"/>
      <c r="E5830"/>
      <c r="F5830"/>
      <c r="H5830"/>
    </row>
    <row r="5831" spans="1:8" ht="15">
      <c r="A5831"/>
      <c r="B5831"/>
      <c r="D5831"/>
      <c r="E5831"/>
      <c r="F5831"/>
      <c r="H5831"/>
    </row>
    <row r="5832" spans="1:8" ht="15">
      <c r="A5832"/>
      <c r="B5832"/>
      <c r="D5832"/>
      <c r="E5832"/>
      <c r="F5832"/>
      <c r="H5832"/>
    </row>
    <row r="5833" spans="1:8" ht="15">
      <c r="A5833"/>
      <c r="B5833"/>
      <c r="D5833"/>
      <c r="E5833"/>
      <c r="F5833"/>
      <c r="H5833"/>
    </row>
    <row r="5834" spans="1:8" ht="15">
      <c r="A5834"/>
      <c r="B5834"/>
      <c r="D5834"/>
      <c r="E5834"/>
      <c r="F5834"/>
      <c r="H5834"/>
    </row>
    <row r="5835" spans="1:8" ht="15">
      <c r="A5835"/>
      <c r="B5835"/>
      <c r="D5835"/>
      <c r="E5835"/>
      <c r="F5835"/>
      <c r="H5835"/>
    </row>
    <row r="5836" spans="1:8" ht="15">
      <c r="A5836"/>
      <c r="B5836"/>
      <c r="D5836"/>
      <c r="E5836"/>
      <c r="F5836"/>
      <c r="H5836"/>
    </row>
    <row r="5837" spans="1:8" ht="15">
      <c r="A5837"/>
      <c r="B5837"/>
      <c r="D5837"/>
      <c r="E5837"/>
      <c r="F5837"/>
      <c r="H5837"/>
    </row>
    <row r="5838" spans="1:8" ht="15">
      <c r="A5838"/>
      <c r="B5838"/>
      <c r="D5838"/>
      <c r="E5838"/>
      <c r="F5838"/>
      <c r="H5838"/>
    </row>
    <row r="5839" spans="1:8" ht="15">
      <c r="A5839"/>
      <c r="B5839"/>
      <c r="D5839"/>
      <c r="E5839"/>
      <c r="F5839"/>
      <c r="H5839"/>
    </row>
    <row r="5840" spans="1:8" ht="15">
      <c r="A5840"/>
      <c r="B5840"/>
      <c r="D5840"/>
      <c r="E5840"/>
      <c r="F5840"/>
      <c r="H5840"/>
    </row>
    <row r="5841" spans="1:8" ht="15">
      <c r="A5841"/>
      <c r="B5841"/>
      <c r="D5841"/>
      <c r="E5841"/>
      <c r="F5841"/>
      <c r="H5841"/>
    </row>
    <row r="5842" spans="1:8" ht="15">
      <c r="A5842"/>
      <c r="B5842"/>
      <c r="D5842"/>
      <c r="E5842"/>
      <c r="F5842"/>
      <c r="H5842"/>
    </row>
    <row r="5843" spans="1:8" ht="15">
      <c r="A5843"/>
      <c r="B5843"/>
      <c r="D5843"/>
      <c r="E5843"/>
      <c r="F5843"/>
      <c r="H5843"/>
    </row>
    <row r="5844" spans="1:8" ht="15">
      <c r="A5844"/>
      <c r="B5844"/>
      <c r="D5844"/>
      <c r="E5844"/>
      <c r="F5844"/>
      <c r="H5844"/>
    </row>
    <row r="5845" spans="1:8" ht="15">
      <c r="A5845"/>
      <c r="B5845"/>
      <c r="D5845"/>
      <c r="E5845"/>
      <c r="F5845"/>
      <c r="H5845"/>
    </row>
    <row r="5846" spans="1:8" ht="15">
      <c r="A5846"/>
      <c r="B5846"/>
      <c r="D5846"/>
      <c r="E5846"/>
      <c r="F5846"/>
      <c r="H5846"/>
    </row>
    <row r="5847" spans="1:8" ht="15">
      <c r="A5847"/>
      <c r="B5847"/>
      <c r="D5847"/>
      <c r="E5847"/>
      <c r="F5847"/>
      <c r="H5847"/>
    </row>
    <row r="5848" spans="1:8" ht="15">
      <c r="A5848"/>
      <c r="B5848"/>
      <c r="D5848"/>
      <c r="E5848"/>
      <c r="F5848"/>
      <c r="H5848"/>
    </row>
    <row r="5849" spans="1:8" ht="15">
      <c r="A5849"/>
      <c r="B5849"/>
      <c r="D5849"/>
      <c r="E5849"/>
      <c r="F5849"/>
      <c r="H5849"/>
    </row>
    <row r="5850" spans="1:8" ht="15">
      <c r="A5850"/>
      <c r="B5850"/>
      <c r="D5850"/>
      <c r="E5850"/>
      <c r="F5850"/>
      <c r="H5850"/>
    </row>
    <row r="5851" spans="1:8" ht="15">
      <c r="A5851"/>
      <c r="B5851"/>
      <c r="D5851"/>
      <c r="E5851"/>
      <c r="F5851"/>
      <c r="H5851"/>
    </row>
    <row r="5852" spans="1:8" ht="15">
      <c r="A5852"/>
      <c r="B5852"/>
      <c r="D5852"/>
      <c r="E5852"/>
      <c r="F5852"/>
      <c r="H5852"/>
    </row>
    <row r="5853" spans="1:8" ht="15">
      <c r="A5853"/>
      <c r="B5853"/>
      <c r="D5853"/>
      <c r="E5853"/>
      <c r="F5853"/>
      <c r="H5853"/>
    </row>
    <row r="5854" spans="1:8" ht="15">
      <c r="A5854"/>
      <c r="B5854"/>
      <c r="D5854"/>
      <c r="E5854"/>
      <c r="F5854"/>
      <c r="H5854"/>
    </row>
    <row r="5855" spans="1:8" ht="15">
      <c r="A5855"/>
      <c r="B5855"/>
      <c r="D5855"/>
      <c r="E5855"/>
      <c r="F5855"/>
      <c r="H5855"/>
    </row>
    <row r="5856" spans="1:8" ht="15">
      <c r="A5856"/>
      <c r="B5856"/>
      <c r="D5856"/>
      <c r="E5856"/>
      <c r="F5856"/>
      <c r="H5856"/>
    </row>
    <row r="5857" spans="1:8" ht="15">
      <c r="A5857"/>
      <c r="B5857"/>
      <c r="D5857"/>
      <c r="E5857"/>
      <c r="F5857"/>
      <c r="H5857"/>
    </row>
    <row r="5858" spans="1:8" ht="15">
      <c r="A5858"/>
      <c r="B5858"/>
      <c r="D5858"/>
      <c r="E5858"/>
      <c r="F5858"/>
      <c r="H5858"/>
    </row>
    <row r="5859" spans="1:8" ht="15">
      <c r="A5859"/>
      <c r="B5859"/>
      <c r="D5859"/>
      <c r="E5859"/>
      <c r="F5859"/>
      <c r="H5859"/>
    </row>
    <row r="5860" spans="1:8" ht="15">
      <c r="A5860"/>
      <c r="B5860"/>
      <c r="D5860"/>
      <c r="E5860"/>
      <c r="F5860"/>
      <c r="H5860"/>
    </row>
    <row r="5861" spans="1:8" ht="15">
      <c r="A5861"/>
      <c r="B5861"/>
      <c r="D5861"/>
      <c r="E5861"/>
      <c r="F5861"/>
      <c r="H5861"/>
    </row>
    <row r="5862" spans="1:8" ht="15">
      <c r="A5862"/>
      <c r="B5862"/>
      <c r="D5862"/>
      <c r="E5862"/>
      <c r="F5862"/>
      <c r="H5862"/>
    </row>
    <row r="5863" spans="1:8" ht="15">
      <c r="A5863"/>
      <c r="B5863"/>
      <c r="D5863"/>
      <c r="E5863"/>
      <c r="F5863"/>
      <c r="H5863"/>
    </row>
    <row r="5864" spans="1:8" ht="15">
      <c r="A5864"/>
      <c r="B5864"/>
      <c r="D5864"/>
      <c r="E5864"/>
      <c r="F5864"/>
      <c r="H5864"/>
    </row>
    <row r="5865" spans="1:8" ht="15">
      <c r="A5865"/>
      <c r="B5865"/>
      <c r="D5865"/>
      <c r="E5865"/>
      <c r="F5865"/>
      <c r="H5865"/>
    </row>
    <row r="5866" spans="1:8" ht="15">
      <c r="A5866"/>
      <c r="B5866"/>
      <c r="D5866"/>
      <c r="E5866"/>
      <c r="F5866"/>
      <c r="H5866"/>
    </row>
    <row r="5867" spans="1:8" ht="15">
      <c r="A5867"/>
      <c r="B5867"/>
      <c r="D5867"/>
      <c r="E5867"/>
      <c r="F5867"/>
      <c r="H5867"/>
    </row>
    <row r="5868" spans="1:8" ht="15">
      <c r="A5868"/>
      <c r="B5868"/>
      <c r="D5868"/>
      <c r="E5868"/>
      <c r="F5868"/>
      <c r="H5868"/>
    </row>
    <row r="5869" spans="1:8" ht="15">
      <c r="A5869"/>
      <c r="B5869"/>
      <c r="D5869"/>
      <c r="E5869"/>
      <c r="F5869"/>
      <c r="H5869"/>
    </row>
    <row r="5870" spans="1:8" ht="15">
      <c r="A5870"/>
      <c r="B5870"/>
      <c r="D5870"/>
      <c r="E5870"/>
      <c r="F5870"/>
      <c r="H5870"/>
    </row>
    <row r="5871" spans="1:8" ht="15">
      <c r="A5871"/>
      <c r="B5871"/>
      <c r="D5871"/>
      <c r="E5871"/>
      <c r="F5871"/>
      <c r="H5871"/>
    </row>
    <row r="5872" spans="1:8" ht="15">
      <c r="A5872"/>
      <c r="B5872"/>
      <c r="D5872"/>
      <c r="E5872"/>
      <c r="F5872"/>
      <c r="H5872"/>
    </row>
    <row r="5873" spans="1:8" ht="15">
      <c r="A5873"/>
      <c r="B5873"/>
      <c r="D5873"/>
      <c r="E5873"/>
      <c r="F5873"/>
      <c r="H5873"/>
    </row>
    <row r="5874" spans="1:8" ht="15">
      <c r="A5874"/>
      <c r="B5874"/>
      <c r="D5874"/>
      <c r="E5874"/>
      <c r="F5874"/>
      <c r="H5874"/>
    </row>
    <row r="5875" spans="1:8" ht="15">
      <c r="A5875"/>
      <c r="B5875"/>
      <c r="D5875"/>
      <c r="E5875"/>
      <c r="F5875"/>
      <c r="H5875"/>
    </row>
    <row r="5876" spans="1:8" ht="15">
      <c r="A5876"/>
      <c r="B5876"/>
      <c r="D5876"/>
      <c r="E5876"/>
      <c r="F5876"/>
      <c r="H5876"/>
    </row>
    <row r="5877" spans="1:8" ht="15">
      <c r="A5877"/>
      <c r="B5877"/>
      <c r="D5877"/>
      <c r="E5877"/>
      <c r="F5877"/>
      <c r="H5877"/>
    </row>
    <row r="5878" spans="1:8" ht="15">
      <c r="A5878"/>
      <c r="B5878"/>
      <c r="D5878"/>
      <c r="E5878"/>
      <c r="F5878"/>
      <c r="H5878"/>
    </row>
    <row r="5879" spans="1:8" ht="15">
      <c r="A5879"/>
      <c r="B5879"/>
      <c r="D5879"/>
      <c r="E5879"/>
      <c r="F5879"/>
      <c r="H5879"/>
    </row>
    <row r="5880" spans="1:8" ht="15">
      <c r="A5880"/>
      <c r="B5880"/>
      <c r="D5880"/>
      <c r="E5880"/>
      <c r="F5880"/>
      <c r="H5880"/>
    </row>
    <row r="5881" spans="1:8" ht="15">
      <c r="A5881"/>
      <c r="B5881"/>
      <c r="D5881"/>
      <c r="E5881"/>
      <c r="F5881"/>
      <c r="H5881"/>
    </row>
    <row r="5882" spans="1:8" ht="15">
      <c r="A5882"/>
      <c r="B5882"/>
      <c r="D5882"/>
      <c r="E5882"/>
      <c r="F5882"/>
      <c r="H5882"/>
    </row>
    <row r="5883" spans="1:8" ht="15">
      <c r="A5883"/>
      <c r="B5883"/>
      <c r="D5883"/>
      <c r="E5883"/>
      <c r="F5883"/>
      <c r="H5883"/>
    </row>
    <row r="5884" spans="1:8" ht="15">
      <c r="A5884"/>
      <c r="B5884"/>
      <c r="D5884"/>
      <c r="E5884"/>
      <c r="F5884"/>
      <c r="H5884"/>
    </row>
    <row r="5885" spans="1:8" ht="15">
      <c r="A5885"/>
      <c r="B5885"/>
      <c r="D5885"/>
      <c r="E5885"/>
      <c r="F5885"/>
      <c r="H5885"/>
    </row>
    <row r="5886" spans="1:8" ht="15">
      <c r="A5886"/>
      <c r="B5886"/>
      <c r="D5886"/>
      <c r="E5886"/>
      <c r="F5886"/>
      <c r="H5886"/>
    </row>
    <row r="5887" spans="1:8" ht="15">
      <c r="A5887"/>
      <c r="B5887"/>
      <c r="D5887"/>
      <c r="E5887"/>
      <c r="F5887"/>
      <c r="H5887"/>
    </row>
    <row r="5888" spans="1:8" ht="15">
      <c r="A5888"/>
      <c r="B5888"/>
      <c r="D5888"/>
      <c r="E5888"/>
      <c r="F5888"/>
      <c r="H5888"/>
    </row>
    <row r="5889" spans="1:8" ht="15">
      <c r="A5889"/>
      <c r="B5889"/>
      <c r="D5889"/>
      <c r="E5889"/>
      <c r="F5889"/>
      <c r="H5889"/>
    </row>
    <row r="5890" spans="1:8" ht="15">
      <c r="A5890"/>
      <c r="B5890"/>
      <c r="D5890"/>
      <c r="E5890"/>
      <c r="F5890"/>
      <c r="H5890"/>
    </row>
    <row r="5891" spans="1:8" ht="15">
      <c r="A5891"/>
      <c r="B5891"/>
      <c r="D5891"/>
      <c r="E5891"/>
      <c r="F5891"/>
      <c r="H5891"/>
    </row>
    <row r="5892" spans="1:8" ht="15">
      <c r="A5892"/>
      <c r="B5892"/>
      <c r="D5892"/>
      <c r="E5892"/>
      <c r="F5892"/>
      <c r="H5892"/>
    </row>
    <row r="5893" spans="1:8" ht="15">
      <c r="A5893"/>
      <c r="B5893"/>
      <c r="D5893"/>
      <c r="E5893"/>
      <c r="F5893"/>
      <c r="H5893"/>
    </row>
    <row r="5894" spans="1:8" ht="15">
      <c r="A5894"/>
      <c r="B5894"/>
      <c r="D5894"/>
      <c r="E5894"/>
      <c r="F5894"/>
      <c r="H5894"/>
    </row>
    <row r="5895" spans="1:8" ht="15">
      <c r="A5895"/>
      <c r="B5895"/>
      <c r="D5895"/>
      <c r="E5895"/>
      <c r="F5895"/>
      <c r="H5895"/>
    </row>
    <row r="5896" spans="1:8" ht="15">
      <c r="A5896"/>
      <c r="B5896"/>
      <c r="D5896"/>
      <c r="E5896"/>
      <c r="F5896"/>
      <c r="H5896"/>
    </row>
    <row r="5897" spans="1:8" ht="15">
      <c r="A5897"/>
      <c r="B5897"/>
      <c r="D5897"/>
      <c r="E5897"/>
      <c r="F5897"/>
      <c r="H5897"/>
    </row>
    <row r="5898" spans="1:8" ht="15">
      <c r="A5898"/>
      <c r="B5898"/>
      <c r="D5898"/>
      <c r="E5898"/>
      <c r="F5898"/>
      <c r="H5898"/>
    </row>
    <row r="5899" spans="1:8" ht="15">
      <c r="A5899"/>
      <c r="B5899"/>
      <c r="D5899"/>
      <c r="E5899"/>
      <c r="F5899"/>
      <c r="H5899"/>
    </row>
    <row r="5900" spans="1:8" ht="15">
      <c r="A5900"/>
      <c r="B5900"/>
      <c r="D5900"/>
      <c r="E5900"/>
      <c r="F5900"/>
      <c r="H5900"/>
    </row>
    <row r="5901" spans="1:8" ht="15">
      <c r="A5901"/>
      <c r="B5901"/>
      <c r="D5901"/>
      <c r="E5901"/>
      <c r="F5901"/>
      <c r="H5901"/>
    </row>
    <row r="5902" spans="1:8" ht="15">
      <c r="A5902"/>
      <c r="B5902"/>
      <c r="D5902"/>
      <c r="E5902"/>
      <c r="F5902"/>
      <c r="H5902"/>
    </row>
    <row r="5903" spans="1:8" ht="15">
      <c r="A5903"/>
      <c r="B5903"/>
      <c r="D5903"/>
      <c r="E5903"/>
      <c r="F5903"/>
      <c r="H5903"/>
    </row>
    <row r="5904" spans="1:8" ht="15">
      <c r="A5904"/>
      <c r="B5904"/>
      <c r="D5904"/>
      <c r="E5904"/>
      <c r="F5904"/>
      <c r="H5904"/>
    </row>
    <row r="5905" spans="1:8" ht="15">
      <c r="A5905"/>
      <c r="B5905"/>
      <c r="D5905"/>
      <c r="E5905"/>
      <c r="F5905"/>
      <c r="H5905"/>
    </row>
    <row r="5906" spans="1:8" ht="15">
      <c r="A5906"/>
      <c r="B5906"/>
      <c r="D5906"/>
      <c r="E5906"/>
      <c r="F5906"/>
      <c r="H5906"/>
    </row>
    <row r="5907" spans="1:8" ht="15">
      <c r="A5907"/>
      <c r="B5907"/>
      <c r="D5907"/>
      <c r="E5907"/>
      <c r="F5907"/>
      <c r="H5907"/>
    </row>
    <row r="5908" spans="1:8" ht="15">
      <c r="A5908"/>
      <c r="B5908"/>
      <c r="D5908"/>
      <c r="E5908"/>
      <c r="F5908"/>
      <c r="H5908"/>
    </row>
    <row r="5909" spans="1:8" ht="15">
      <c r="A5909"/>
      <c r="B5909"/>
      <c r="D5909"/>
      <c r="E5909"/>
      <c r="F5909"/>
      <c r="H5909"/>
    </row>
    <row r="5910" spans="1:8" ht="15">
      <c r="A5910"/>
      <c r="B5910"/>
      <c r="D5910"/>
      <c r="E5910"/>
      <c r="F5910"/>
      <c r="H5910"/>
    </row>
    <row r="5911" spans="1:8" ht="15">
      <c r="A5911"/>
      <c r="B5911"/>
      <c r="D5911"/>
      <c r="E5911"/>
      <c r="F5911"/>
      <c r="H5911"/>
    </row>
    <row r="5912" spans="1:8" ht="15">
      <c r="A5912"/>
      <c r="B5912"/>
      <c r="D5912"/>
      <c r="E5912"/>
      <c r="F5912"/>
      <c r="H5912"/>
    </row>
    <row r="5913" spans="1:8" ht="15">
      <c r="A5913"/>
      <c r="B5913"/>
      <c r="D5913"/>
      <c r="E5913"/>
      <c r="F5913"/>
      <c r="H5913"/>
    </row>
    <row r="5914" spans="1:8" ht="15">
      <c r="A5914"/>
      <c r="B5914"/>
      <c r="D5914"/>
      <c r="E5914"/>
      <c r="F5914"/>
      <c r="H5914"/>
    </row>
    <row r="5915" spans="1:8" ht="15">
      <c r="A5915"/>
      <c r="B5915"/>
      <c r="D5915"/>
      <c r="E5915"/>
      <c r="F5915"/>
      <c r="H5915"/>
    </row>
    <row r="5916" spans="1:8" ht="15">
      <c r="A5916"/>
      <c r="B5916"/>
      <c r="D5916"/>
      <c r="E5916"/>
      <c r="F5916"/>
      <c r="H5916"/>
    </row>
    <row r="5917" spans="1:8" ht="15">
      <c r="A5917"/>
      <c r="B5917"/>
      <c r="D5917"/>
      <c r="E5917"/>
      <c r="F5917"/>
      <c r="H5917"/>
    </row>
    <row r="5918" spans="1:8" ht="15">
      <c r="A5918"/>
      <c r="B5918"/>
      <c r="D5918"/>
      <c r="E5918"/>
      <c r="F5918"/>
      <c r="H5918"/>
    </row>
    <row r="5919" spans="1:8" ht="15">
      <c r="A5919"/>
      <c r="B5919"/>
      <c r="D5919"/>
      <c r="E5919"/>
      <c r="F5919"/>
      <c r="H5919"/>
    </row>
    <row r="5920" spans="1:8" ht="15">
      <c r="A5920"/>
      <c r="B5920"/>
      <c r="D5920"/>
      <c r="E5920"/>
      <c r="F5920"/>
      <c r="H5920"/>
    </row>
    <row r="5921" spans="1:8" ht="15">
      <c r="A5921"/>
      <c r="B5921"/>
      <c r="D5921"/>
      <c r="E5921"/>
      <c r="F5921"/>
      <c r="H5921"/>
    </row>
    <row r="5922" spans="1:8" ht="15">
      <c r="A5922"/>
      <c r="B5922"/>
      <c r="D5922"/>
      <c r="E5922"/>
      <c r="F5922"/>
      <c r="H5922"/>
    </row>
    <row r="5923" spans="1:8" ht="15">
      <c r="A5923"/>
      <c r="B5923"/>
      <c r="D5923"/>
      <c r="E5923"/>
      <c r="F5923"/>
      <c r="H5923"/>
    </row>
    <row r="5924" spans="1:8" ht="15">
      <c r="A5924"/>
      <c r="B5924"/>
      <c r="D5924"/>
      <c r="E5924"/>
      <c r="F5924"/>
      <c r="H5924"/>
    </row>
    <row r="5925" spans="1:8" ht="15">
      <c r="A5925"/>
      <c r="B5925"/>
      <c r="D5925"/>
      <c r="E5925"/>
      <c r="F5925"/>
      <c r="H5925"/>
    </row>
    <row r="5926" spans="1:8" ht="15">
      <c r="A5926"/>
      <c r="B5926"/>
      <c r="D5926"/>
      <c r="E5926"/>
      <c r="F5926"/>
      <c r="H5926"/>
    </row>
    <row r="5927" spans="1:8" ht="15">
      <c r="A5927"/>
      <c r="B5927"/>
      <c r="D5927"/>
      <c r="E5927"/>
      <c r="F5927"/>
      <c r="H5927"/>
    </row>
    <row r="5928" spans="1:8" ht="15">
      <c r="A5928"/>
      <c r="B5928"/>
      <c r="D5928"/>
      <c r="E5928"/>
      <c r="F5928"/>
      <c r="H5928"/>
    </row>
    <row r="5929" spans="1:8" ht="15">
      <c r="A5929"/>
      <c r="B5929"/>
      <c r="D5929"/>
      <c r="E5929"/>
      <c r="F5929"/>
      <c r="H5929"/>
    </row>
    <row r="5930" spans="1:8" ht="15">
      <c r="A5930"/>
      <c r="B5930"/>
      <c r="D5930"/>
      <c r="E5930"/>
      <c r="F5930"/>
      <c r="H5930"/>
    </row>
    <row r="5931" spans="1:8" ht="15">
      <c r="A5931"/>
      <c r="B5931"/>
      <c r="D5931"/>
      <c r="E5931"/>
      <c r="F5931"/>
      <c r="H5931"/>
    </row>
    <row r="5932" spans="1:8" ht="15">
      <c r="A5932"/>
      <c r="B5932"/>
      <c r="D5932"/>
      <c r="E5932"/>
      <c r="F5932"/>
      <c r="H5932"/>
    </row>
    <row r="5933" spans="1:8" ht="15">
      <c r="A5933"/>
      <c r="B5933"/>
      <c r="D5933"/>
      <c r="E5933"/>
      <c r="F5933"/>
      <c r="H5933"/>
    </row>
    <row r="5934" spans="1:8" ht="15">
      <c r="A5934"/>
      <c r="B5934"/>
      <c r="D5934"/>
      <c r="E5934"/>
      <c r="F5934"/>
      <c r="H5934"/>
    </row>
    <row r="5935" spans="1:8" ht="15">
      <c r="A5935"/>
      <c r="B5935"/>
      <c r="D5935"/>
      <c r="E5935"/>
      <c r="F5935"/>
      <c r="H5935"/>
    </row>
    <row r="5936" spans="1:8" ht="15">
      <c r="A5936"/>
      <c r="B5936"/>
      <c r="D5936"/>
      <c r="E5936"/>
      <c r="F5936"/>
      <c r="H5936"/>
    </row>
    <row r="5937" spans="1:8" ht="15">
      <c r="A5937"/>
      <c r="B5937"/>
      <c r="D5937"/>
      <c r="E5937"/>
      <c r="F5937"/>
      <c r="H5937"/>
    </row>
    <row r="5938" spans="1:8" ht="15">
      <c r="A5938"/>
      <c r="B5938"/>
      <c r="D5938"/>
      <c r="E5938"/>
      <c r="F5938"/>
      <c r="H5938"/>
    </row>
    <row r="5939" spans="1:8" ht="15">
      <c r="A5939"/>
      <c r="B5939"/>
      <c r="D5939"/>
      <c r="E5939"/>
      <c r="F5939"/>
      <c r="H5939"/>
    </row>
    <row r="5940" spans="1:8" ht="15">
      <c r="A5940"/>
      <c r="B5940"/>
      <c r="D5940"/>
      <c r="E5940"/>
      <c r="F5940"/>
      <c r="H5940"/>
    </row>
    <row r="5941" spans="1:8" ht="15">
      <c r="A5941"/>
      <c r="B5941"/>
      <c r="D5941"/>
      <c r="E5941"/>
      <c r="F5941"/>
      <c r="H5941"/>
    </row>
    <row r="5942" spans="1:8" ht="15">
      <c r="A5942"/>
      <c r="B5942"/>
      <c r="D5942"/>
      <c r="E5942"/>
      <c r="F5942"/>
      <c r="H5942"/>
    </row>
    <row r="5943" spans="1:8" ht="15">
      <c r="A5943"/>
      <c r="B5943"/>
      <c r="D5943"/>
      <c r="E5943"/>
      <c r="F5943"/>
      <c r="H5943"/>
    </row>
    <row r="5944" spans="1:8" ht="15">
      <c r="A5944"/>
      <c r="B5944"/>
      <c r="D5944"/>
      <c r="E5944"/>
      <c r="F5944"/>
      <c r="H5944"/>
    </row>
    <row r="5945" spans="1:8" ht="15">
      <c r="A5945"/>
      <c r="B5945"/>
      <c r="D5945"/>
      <c r="E5945"/>
      <c r="F5945"/>
      <c r="H5945"/>
    </row>
    <row r="5946" spans="1:8" ht="15">
      <c r="A5946"/>
      <c r="B5946"/>
      <c r="D5946"/>
      <c r="E5946"/>
      <c r="F5946"/>
      <c r="H5946"/>
    </row>
    <row r="5947" spans="1:8" ht="15">
      <c r="A5947"/>
      <c r="B5947"/>
      <c r="D5947"/>
      <c r="E5947"/>
      <c r="F5947"/>
      <c r="H5947"/>
    </row>
    <row r="5948" spans="1:8" ht="15">
      <c r="A5948"/>
      <c r="B5948"/>
      <c r="D5948"/>
      <c r="E5948"/>
      <c r="F5948"/>
      <c r="H5948"/>
    </row>
    <row r="5949" spans="1:8" ht="15">
      <c r="A5949"/>
      <c r="B5949"/>
      <c r="D5949"/>
      <c r="E5949"/>
      <c r="F5949"/>
      <c r="H5949"/>
    </row>
    <row r="5950" spans="1:8" ht="15">
      <c r="A5950"/>
      <c r="B5950"/>
      <c r="D5950"/>
      <c r="E5950"/>
      <c r="F5950"/>
      <c r="H5950"/>
    </row>
    <row r="5951" spans="1:8" ht="15">
      <c r="A5951"/>
      <c r="B5951"/>
      <c r="D5951"/>
      <c r="E5951"/>
      <c r="F5951"/>
      <c r="H5951"/>
    </row>
    <row r="5952" spans="1:8" ht="15">
      <c r="A5952"/>
      <c r="B5952"/>
      <c r="D5952"/>
      <c r="E5952"/>
      <c r="F5952"/>
      <c r="H5952"/>
    </row>
    <row r="5953" spans="1:8" ht="15">
      <c r="A5953"/>
      <c r="B5953"/>
      <c r="D5953"/>
      <c r="E5953"/>
      <c r="F5953"/>
      <c r="H5953"/>
    </row>
    <row r="5954" spans="1:8" ht="15">
      <c r="A5954"/>
      <c r="B5954"/>
      <c r="D5954"/>
      <c r="E5954"/>
      <c r="F5954"/>
      <c r="H5954"/>
    </row>
    <row r="5955" spans="1:8" ht="15">
      <c r="A5955"/>
      <c r="B5955"/>
      <c r="D5955"/>
      <c r="E5955"/>
      <c r="F5955"/>
      <c r="H5955"/>
    </row>
    <row r="5956" spans="1:8" ht="15">
      <c r="A5956"/>
      <c r="B5956"/>
      <c r="D5956"/>
      <c r="E5956"/>
      <c r="F5956"/>
      <c r="H5956"/>
    </row>
    <row r="5957" spans="1:8" ht="15">
      <c r="A5957"/>
      <c r="B5957"/>
      <c r="D5957"/>
      <c r="E5957"/>
      <c r="F5957"/>
      <c r="H5957"/>
    </row>
    <row r="5958" spans="1:8" ht="15">
      <c r="A5958"/>
      <c r="B5958"/>
      <c r="D5958"/>
      <c r="E5958"/>
      <c r="F5958"/>
      <c r="H5958"/>
    </row>
    <row r="5959" spans="1:8" ht="15">
      <c r="A5959"/>
      <c r="B5959"/>
      <c r="D5959"/>
      <c r="E5959"/>
      <c r="F5959"/>
      <c r="H5959"/>
    </row>
    <row r="5960" spans="1:8" ht="15">
      <c r="A5960"/>
      <c r="B5960"/>
      <c r="D5960"/>
      <c r="E5960"/>
      <c r="F5960"/>
      <c r="H5960"/>
    </row>
    <row r="5961" spans="1:8" ht="15">
      <c r="A5961"/>
      <c r="B5961"/>
      <c r="D5961"/>
      <c r="E5961"/>
      <c r="F5961"/>
      <c r="H5961"/>
    </row>
    <row r="5962" spans="1:8" ht="15">
      <c r="A5962"/>
      <c r="B5962"/>
      <c r="D5962"/>
      <c r="E5962"/>
      <c r="F5962"/>
      <c r="H5962"/>
    </row>
    <row r="5963" spans="1:8" ht="15">
      <c r="A5963"/>
      <c r="B5963"/>
      <c r="D5963"/>
      <c r="E5963"/>
      <c r="F5963"/>
      <c r="H5963"/>
    </row>
    <row r="5964" spans="1:8" ht="15">
      <c r="A5964"/>
      <c r="B5964"/>
      <c r="D5964"/>
      <c r="E5964"/>
      <c r="F5964"/>
      <c r="H5964"/>
    </row>
    <row r="5965" spans="1:8" ht="15">
      <c r="A5965"/>
      <c r="B5965"/>
      <c r="D5965"/>
      <c r="E5965"/>
      <c r="F5965"/>
      <c r="H5965"/>
    </row>
    <row r="5966" spans="1:8" ht="15">
      <c r="A5966"/>
      <c r="B5966"/>
      <c r="D5966"/>
      <c r="E5966"/>
      <c r="F5966"/>
      <c r="H5966"/>
    </row>
    <row r="5967" spans="1:8" ht="15">
      <c r="A5967"/>
      <c r="B5967"/>
      <c r="D5967"/>
      <c r="E5967"/>
      <c r="F5967"/>
      <c r="H5967"/>
    </row>
    <row r="5968" spans="1:8" ht="15">
      <c r="A5968"/>
      <c r="B5968"/>
      <c r="D5968"/>
      <c r="E5968"/>
      <c r="F5968"/>
      <c r="H5968"/>
    </row>
    <row r="5969" spans="1:8" ht="15">
      <c r="A5969"/>
      <c r="B5969"/>
      <c r="D5969"/>
      <c r="E5969"/>
      <c r="F5969"/>
      <c r="H5969"/>
    </row>
    <row r="5970" spans="1:8" ht="15">
      <c r="A5970"/>
      <c r="B5970"/>
      <c r="D5970"/>
      <c r="E5970"/>
      <c r="F5970"/>
      <c r="H5970"/>
    </row>
    <row r="5971" spans="1:8" ht="15">
      <c r="A5971"/>
      <c r="B5971"/>
      <c r="D5971"/>
      <c r="E5971"/>
      <c r="F5971"/>
      <c r="H5971"/>
    </row>
    <row r="5972" spans="1:8" ht="15">
      <c r="A5972"/>
      <c r="B5972"/>
      <c r="D5972"/>
      <c r="E5972"/>
      <c r="F5972"/>
      <c r="H5972"/>
    </row>
    <row r="5973" spans="1:8" ht="15">
      <c r="A5973"/>
      <c r="B5973"/>
      <c r="D5973"/>
      <c r="E5973"/>
      <c r="F5973"/>
      <c r="H5973"/>
    </row>
    <row r="5974" spans="1:8" ht="15">
      <c r="A5974"/>
      <c r="B5974"/>
      <c r="D5974"/>
      <c r="E5974"/>
      <c r="F5974"/>
      <c r="H5974"/>
    </row>
    <row r="5975" spans="1:8" ht="15">
      <c r="A5975"/>
      <c r="B5975"/>
      <c r="D5975"/>
      <c r="E5975"/>
      <c r="F5975"/>
      <c r="H5975"/>
    </row>
    <row r="5976" spans="1:8" ht="15">
      <c r="A5976"/>
      <c r="B5976"/>
      <c r="D5976"/>
      <c r="E5976"/>
      <c r="F5976"/>
      <c r="H5976"/>
    </row>
    <row r="5977" spans="1:8" ht="15">
      <c r="A5977"/>
      <c r="B5977"/>
      <c r="D5977"/>
      <c r="E5977"/>
      <c r="F5977"/>
      <c r="H5977"/>
    </row>
    <row r="5978" spans="1:8" ht="15">
      <c r="A5978"/>
      <c r="B5978"/>
      <c r="D5978"/>
      <c r="E5978"/>
      <c r="F5978"/>
      <c r="H5978"/>
    </row>
    <row r="5979" spans="1:8" ht="15">
      <c r="A5979"/>
      <c r="B5979"/>
      <c r="D5979"/>
      <c r="E5979"/>
      <c r="F5979"/>
      <c r="H5979"/>
    </row>
    <row r="5980" spans="1:8" ht="15">
      <c r="A5980"/>
      <c r="B5980"/>
      <c r="D5980"/>
      <c r="E5980"/>
      <c r="F5980"/>
      <c r="H5980"/>
    </row>
    <row r="5981" spans="1:8" ht="15">
      <c r="A5981"/>
      <c r="B5981"/>
      <c r="D5981"/>
      <c r="E5981"/>
      <c r="F5981"/>
      <c r="H5981"/>
    </row>
    <row r="5982" spans="1:8" ht="15">
      <c r="A5982"/>
      <c r="B5982"/>
      <c r="D5982"/>
      <c r="E5982"/>
      <c r="F5982"/>
      <c r="H5982"/>
    </row>
    <row r="5983" spans="1:8" ht="15">
      <c r="A5983"/>
      <c r="B5983"/>
      <c r="D5983"/>
      <c r="E5983"/>
      <c r="F5983"/>
      <c r="H5983"/>
    </row>
    <row r="5984" spans="1:8" ht="15">
      <c r="A5984"/>
      <c r="B5984"/>
      <c r="D5984"/>
      <c r="E5984"/>
      <c r="F5984"/>
      <c r="H5984"/>
    </row>
    <row r="5985" spans="1:8" ht="15">
      <c r="A5985"/>
      <c r="B5985"/>
      <c r="D5985"/>
      <c r="E5985"/>
      <c r="F5985"/>
      <c r="H5985"/>
    </row>
    <row r="5986" spans="1:8" ht="15">
      <c r="A5986"/>
      <c r="B5986"/>
      <c r="D5986"/>
      <c r="E5986"/>
      <c r="F5986"/>
      <c r="H5986"/>
    </row>
    <row r="5987" spans="1:8" ht="15">
      <c r="A5987"/>
      <c r="B5987"/>
      <c r="D5987"/>
      <c r="E5987"/>
      <c r="F5987"/>
      <c r="H5987"/>
    </row>
    <row r="5988" spans="1:8" ht="15">
      <c r="A5988"/>
      <c r="B5988"/>
      <c r="D5988"/>
      <c r="E5988"/>
      <c r="F5988"/>
      <c r="H5988"/>
    </row>
    <row r="5989" spans="1:8" ht="15">
      <c r="A5989"/>
      <c r="B5989"/>
      <c r="D5989"/>
      <c r="E5989"/>
      <c r="F5989"/>
      <c r="H5989"/>
    </row>
    <row r="5990" spans="1:8" ht="15">
      <c r="A5990"/>
      <c r="B5990"/>
      <c r="D5990"/>
      <c r="E5990"/>
      <c r="F5990"/>
      <c r="H5990"/>
    </row>
    <row r="5991" spans="1:8" ht="15">
      <c r="A5991"/>
      <c r="B5991"/>
      <c r="D5991"/>
      <c r="E5991"/>
      <c r="F5991"/>
      <c r="H5991"/>
    </row>
    <row r="5992" spans="1:8" ht="15">
      <c r="A5992"/>
      <c r="B5992"/>
      <c r="D5992"/>
      <c r="E5992"/>
      <c r="F5992"/>
      <c r="H5992"/>
    </row>
    <row r="5993" spans="1:8" ht="15">
      <c r="A5993"/>
      <c r="B5993"/>
      <c r="D5993"/>
      <c r="E5993"/>
      <c r="F5993"/>
      <c r="H5993"/>
    </row>
    <row r="5994" spans="1:8" ht="15">
      <c r="A5994"/>
      <c r="B5994"/>
      <c r="D5994"/>
      <c r="E5994"/>
      <c r="F5994"/>
      <c r="H5994"/>
    </row>
    <row r="5995" spans="1:8" ht="15">
      <c r="A5995"/>
      <c r="B5995"/>
      <c r="D5995"/>
      <c r="E5995"/>
      <c r="F5995"/>
      <c r="H5995"/>
    </row>
    <row r="5996" spans="1:8" ht="15">
      <c r="A5996"/>
      <c r="B5996"/>
      <c r="D5996"/>
      <c r="E5996"/>
      <c r="F5996"/>
      <c r="H5996"/>
    </row>
    <row r="5997" spans="1:8" ht="15">
      <c r="A5997"/>
      <c r="B5997"/>
      <c r="D5997"/>
      <c r="E5997"/>
      <c r="F5997"/>
      <c r="H5997"/>
    </row>
    <row r="5998" spans="1:8" ht="15">
      <c r="A5998"/>
      <c r="B5998"/>
      <c r="D5998"/>
      <c r="E5998"/>
      <c r="F5998"/>
      <c r="H5998"/>
    </row>
    <row r="5999" spans="1:8" ht="15">
      <c r="A5999"/>
      <c r="B5999"/>
      <c r="D5999"/>
      <c r="E5999"/>
      <c r="F5999"/>
      <c r="H5999"/>
    </row>
    <row r="6000" spans="1:8" ht="15">
      <c r="A6000"/>
      <c r="B6000"/>
      <c r="D6000"/>
      <c r="E6000"/>
      <c r="F6000"/>
      <c r="H6000"/>
    </row>
    <row r="6001" spans="1:8" ht="15">
      <c r="A6001"/>
      <c r="B6001"/>
      <c r="D6001"/>
      <c r="E6001"/>
      <c r="F6001"/>
      <c r="H6001"/>
    </row>
    <row r="6002" spans="1:8" ht="15">
      <c r="A6002"/>
      <c r="B6002"/>
      <c r="D6002"/>
      <c r="E6002"/>
      <c r="F6002"/>
      <c r="H6002"/>
    </row>
    <row r="6003" spans="1:8" ht="15">
      <c r="A6003"/>
      <c r="B6003"/>
      <c r="D6003"/>
      <c r="E6003"/>
      <c r="F6003"/>
      <c r="H6003"/>
    </row>
    <row r="6004" spans="1:8" ht="15">
      <c r="A6004"/>
      <c r="B6004"/>
      <c r="D6004"/>
      <c r="E6004"/>
      <c r="F6004"/>
      <c r="H6004"/>
    </row>
    <row r="6005" spans="1:8" ht="15">
      <c r="A6005"/>
      <c r="B6005"/>
      <c r="D6005"/>
      <c r="E6005"/>
      <c r="F6005"/>
      <c r="H6005"/>
    </row>
    <row r="6006" spans="1:8" ht="15">
      <c r="A6006"/>
      <c r="B6006"/>
      <c r="D6006"/>
      <c r="E6006"/>
      <c r="F6006"/>
      <c r="H6006"/>
    </row>
    <row r="6007" spans="1:8" ht="15">
      <c r="A6007"/>
      <c r="B6007"/>
      <c r="D6007"/>
      <c r="E6007"/>
      <c r="F6007"/>
      <c r="H6007"/>
    </row>
    <row r="6008" spans="1:8" ht="15">
      <c r="A6008"/>
      <c r="B6008"/>
      <c r="D6008"/>
      <c r="E6008"/>
      <c r="F6008"/>
      <c r="H6008"/>
    </row>
    <row r="6009" spans="1:8" ht="15">
      <c r="A6009"/>
      <c r="B6009"/>
      <c r="D6009"/>
      <c r="E6009"/>
      <c r="F6009"/>
      <c r="H6009"/>
    </row>
    <row r="6010" spans="1:8" ht="15">
      <c r="A6010"/>
      <c r="B6010"/>
      <c r="D6010"/>
      <c r="E6010"/>
      <c r="F6010"/>
      <c r="H6010"/>
    </row>
    <row r="6011" spans="1:8" ht="15">
      <c r="A6011"/>
      <c r="B6011"/>
      <c r="D6011"/>
      <c r="E6011"/>
      <c r="F6011"/>
      <c r="H6011"/>
    </row>
    <row r="6012" spans="1:8" ht="15">
      <c r="A6012"/>
      <c r="B6012"/>
      <c r="D6012"/>
      <c r="E6012"/>
      <c r="F6012"/>
      <c r="H6012"/>
    </row>
    <row r="6013" spans="1:8" ht="15">
      <c r="A6013"/>
      <c r="B6013"/>
      <c r="D6013"/>
      <c r="E6013"/>
      <c r="F6013"/>
      <c r="H6013"/>
    </row>
    <row r="6014" spans="1:8" ht="15">
      <c r="A6014"/>
      <c r="B6014"/>
      <c r="D6014"/>
      <c r="E6014"/>
      <c r="F6014"/>
      <c r="H6014"/>
    </row>
    <row r="6015" spans="1:8" ht="15">
      <c r="A6015"/>
      <c r="B6015"/>
      <c r="D6015"/>
      <c r="E6015"/>
      <c r="F6015"/>
      <c r="H6015"/>
    </row>
    <row r="6016" spans="1:8" ht="15">
      <c r="A6016"/>
      <c r="B6016"/>
      <c r="D6016"/>
      <c r="E6016"/>
      <c r="F6016"/>
      <c r="H6016"/>
    </row>
    <row r="6017" spans="1:8" ht="15">
      <c r="A6017"/>
      <c r="B6017"/>
      <c r="D6017"/>
      <c r="E6017"/>
      <c r="F6017"/>
      <c r="H6017"/>
    </row>
    <row r="6018" spans="1:8" ht="15">
      <c r="A6018"/>
      <c r="B6018"/>
      <c r="D6018"/>
      <c r="E6018"/>
      <c r="F6018"/>
      <c r="H6018"/>
    </row>
    <row r="6019" spans="1:8" ht="15">
      <c r="A6019"/>
      <c r="B6019"/>
      <c r="D6019"/>
      <c r="E6019"/>
      <c r="F6019"/>
      <c r="H6019"/>
    </row>
    <row r="6020" spans="1:8" ht="15">
      <c r="A6020"/>
      <c r="B6020"/>
      <c r="D6020"/>
      <c r="E6020"/>
      <c r="F6020"/>
      <c r="H6020"/>
    </row>
    <row r="6021" spans="1:8" ht="15">
      <c r="A6021"/>
      <c r="B6021"/>
      <c r="D6021"/>
      <c r="E6021"/>
      <c r="F6021"/>
      <c r="H6021"/>
    </row>
    <row r="6022" spans="1:8" ht="15">
      <c r="A6022"/>
      <c r="B6022"/>
      <c r="D6022"/>
      <c r="E6022"/>
      <c r="F6022"/>
      <c r="H6022"/>
    </row>
    <row r="6023" spans="1:8" ht="15">
      <c r="A6023"/>
      <c r="B6023"/>
      <c r="D6023"/>
      <c r="E6023"/>
      <c r="F6023"/>
      <c r="H6023"/>
    </row>
    <row r="6024" spans="1:8" ht="15">
      <c r="A6024"/>
      <c r="B6024"/>
      <c r="D6024"/>
      <c r="E6024"/>
      <c r="F6024"/>
      <c r="H6024"/>
    </row>
    <row r="6025" spans="1:8" ht="15">
      <c r="A6025"/>
      <c r="B6025"/>
      <c r="D6025"/>
      <c r="E6025"/>
      <c r="F6025"/>
      <c r="H6025"/>
    </row>
    <row r="6026" spans="1:8" ht="15">
      <c r="A6026"/>
      <c r="B6026"/>
      <c r="D6026"/>
      <c r="E6026"/>
      <c r="F6026"/>
      <c r="H6026"/>
    </row>
    <row r="6027" spans="1:8" ht="15">
      <c r="A6027"/>
      <c r="B6027"/>
      <c r="D6027"/>
      <c r="E6027"/>
      <c r="F6027"/>
      <c r="H6027"/>
    </row>
    <row r="6028" spans="1:8" ht="15">
      <c r="A6028"/>
      <c r="B6028"/>
      <c r="D6028"/>
      <c r="E6028"/>
      <c r="F6028"/>
      <c r="H6028"/>
    </row>
    <row r="6029" spans="1:8" ht="15">
      <c r="A6029"/>
      <c r="B6029"/>
      <c r="D6029"/>
      <c r="E6029"/>
      <c r="F6029"/>
      <c r="H6029"/>
    </row>
    <row r="6030" spans="1:8" ht="15">
      <c r="A6030"/>
      <c r="B6030"/>
      <c r="D6030"/>
      <c r="E6030"/>
      <c r="F6030"/>
      <c r="H6030"/>
    </row>
    <row r="6031" spans="1:8" ht="15">
      <c r="A6031"/>
      <c r="B6031"/>
      <c r="D6031"/>
      <c r="E6031"/>
      <c r="F6031"/>
      <c r="H6031"/>
    </row>
    <row r="6032" spans="1:8" ht="15">
      <c r="A6032"/>
      <c r="B6032"/>
      <c r="D6032"/>
      <c r="E6032"/>
      <c r="F6032"/>
      <c r="H6032"/>
    </row>
    <row r="6033" spans="1:8" ht="15">
      <c r="A6033"/>
      <c r="B6033"/>
      <c r="D6033"/>
      <c r="E6033"/>
      <c r="F6033"/>
      <c r="H6033"/>
    </row>
    <row r="6034" spans="1:8" ht="15">
      <c r="A6034"/>
      <c r="B6034"/>
      <c r="D6034"/>
      <c r="E6034"/>
      <c r="F6034"/>
      <c r="H6034"/>
    </row>
    <row r="6035" spans="1:8" ht="15">
      <c r="A6035"/>
      <c r="B6035"/>
      <c r="D6035"/>
      <c r="E6035"/>
      <c r="F6035"/>
      <c r="H6035"/>
    </row>
    <row r="6036" spans="1:8" ht="15">
      <c r="A6036"/>
      <c r="B6036"/>
      <c r="D6036"/>
      <c r="E6036"/>
      <c r="F6036"/>
      <c r="H6036"/>
    </row>
    <row r="6037" spans="1:8" ht="15">
      <c r="A6037"/>
      <c r="B6037"/>
      <c r="D6037"/>
      <c r="E6037"/>
      <c r="F6037"/>
      <c r="H6037"/>
    </row>
    <row r="6038" spans="1:8" ht="15">
      <c r="A6038"/>
      <c r="B6038"/>
      <c r="D6038"/>
      <c r="E6038"/>
      <c r="F6038"/>
      <c r="H6038"/>
    </row>
    <row r="6039" spans="1:8" ht="15">
      <c r="A6039"/>
      <c r="B6039"/>
      <c r="D6039"/>
      <c r="E6039"/>
      <c r="F6039"/>
      <c r="H6039"/>
    </row>
    <row r="6040" spans="1:8" ht="15">
      <c r="A6040"/>
      <c r="B6040"/>
      <c r="D6040"/>
      <c r="E6040"/>
      <c r="F6040"/>
      <c r="H6040"/>
    </row>
    <row r="6041" spans="1:8" ht="15">
      <c r="A6041"/>
      <c r="B6041"/>
      <c r="D6041"/>
      <c r="E6041"/>
      <c r="F6041"/>
      <c r="H6041"/>
    </row>
    <row r="6042" spans="1:8" ht="15">
      <c r="A6042"/>
      <c r="B6042"/>
      <c r="D6042"/>
      <c r="E6042"/>
      <c r="F6042"/>
      <c r="H6042"/>
    </row>
    <row r="6043" spans="1:8" ht="15">
      <c r="A6043"/>
      <c r="B6043"/>
      <c r="D6043"/>
      <c r="E6043"/>
      <c r="F6043"/>
      <c r="H6043"/>
    </row>
    <row r="6044" spans="1:8" ht="15">
      <c r="A6044"/>
      <c r="B6044"/>
      <c r="D6044"/>
      <c r="E6044"/>
      <c r="F6044"/>
      <c r="H6044"/>
    </row>
    <row r="6045" spans="1:8" ht="15">
      <c r="A6045"/>
      <c r="B6045"/>
      <c r="D6045"/>
      <c r="E6045"/>
      <c r="F6045"/>
      <c r="H6045"/>
    </row>
    <row r="6046" spans="1:8" ht="15">
      <c r="A6046"/>
      <c r="B6046"/>
      <c r="D6046"/>
      <c r="E6046"/>
      <c r="F6046"/>
      <c r="H6046"/>
    </row>
    <row r="6047" spans="1:8" ht="15">
      <c r="A6047"/>
      <c r="B6047"/>
      <c r="D6047"/>
      <c r="E6047"/>
      <c r="F6047"/>
      <c r="H6047"/>
    </row>
    <row r="6048" spans="1:8" ht="15">
      <c r="A6048"/>
      <c r="B6048"/>
      <c r="D6048"/>
      <c r="E6048"/>
      <c r="F6048"/>
      <c r="H6048"/>
    </row>
    <row r="6049" spans="1:8" ht="15">
      <c r="A6049"/>
      <c r="B6049"/>
      <c r="D6049"/>
      <c r="E6049"/>
      <c r="F6049"/>
      <c r="H6049"/>
    </row>
    <row r="6050" spans="1:8" ht="15">
      <c r="A6050"/>
      <c r="B6050"/>
      <c r="D6050"/>
      <c r="E6050"/>
      <c r="F6050"/>
      <c r="H6050"/>
    </row>
    <row r="6051" spans="1:8" ht="15">
      <c r="A6051"/>
      <c r="B6051"/>
      <c r="D6051"/>
      <c r="E6051"/>
      <c r="F6051"/>
      <c r="H6051"/>
    </row>
    <row r="6052" spans="1:8" ht="15">
      <c r="A6052"/>
      <c r="B6052"/>
      <c r="D6052"/>
      <c r="E6052"/>
      <c r="F6052"/>
      <c r="H6052"/>
    </row>
    <row r="6053" spans="1:8" ht="15">
      <c r="A6053"/>
      <c r="B6053"/>
      <c r="D6053"/>
      <c r="E6053"/>
      <c r="F6053"/>
      <c r="H6053"/>
    </row>
    <row r="6054" spans="1:8" ht="15">
      <c r="A6054"/>
      <c r="B6054"/>
      <c r="D6054"/>
      <c r="E6054"/>
      <c r="F6054"/>
      <c r="H6054"/>
    </row>
    <row r="6055" spans="1:8" ht="15">
      <c r="A6055"/>
      <c r="B6055"/>
      <c r="D6055"/>
      <c r="E6055"/>
      <c r="F6055"/>
      <c r="H6055"/>
    </row>
    <row r="6056" spans="1:8" ht="15">
      <c r="A6056"/>
      <c r="B6056"/>
      <c r="D6056"/>
      <c r="E6056"/>
      <c r="F6056"/>
      <c r="H6056"/>
    </row>
    <row r="6057" spans="1:8" ht="15">
      <c r="A6057"/>
      <c r="B6057"/>
      <c r="D6057"/>
      <c r="E6057"/>
      <c r="F6057"/>
      <c r="H6057"/>
    </row>
    <row r="6058" spans="1:8" ht="15">
      <c r="A6058"/>
      <c r="B6058"/>
      <c r="D6058"/>
      <c r="E6058"/>
      <c r="F6058"/>
      <c r="H6058"/>
    </row>
    <row r="6059" spans="1:8" ht="15">
      <c r="A6059"/>
      <c r="B6059"/>
      <c r="D6059"/>
      <c r="E6059"/>
      <c r="F6059"/>
      <c r="H6059"/>
    </row>
    <row r="6060" spans="1:8" ht="15">
      <c r="A6060"/>
      <c r="B6060"/>
      <c r="D6060"/>
      <c r="E6060"/>
      <c r="F6060"/>
      <c r="H6060"/>
    </row>
    <row r="6061" spans="1:8" ht="15">
      <c r="A6061"/>
      <c r="B6061"/>
      <c r="D6061"/>
      <c r="E6061"/>
      <c r="F6061"/>
      <c r="H6061"/>
    </row>
    <row r="6062" spans="1:8" ht="15">
      <c r="A6062"/>
      <c r="B6062"/>
      <c r="D6062"/>
      <c r="E6062"/>
      <c r="F6062"/>
      <c r="H6062"/>
    </row>
    <row r="6063" spans="1:8" ht="15">
      <c r="A6063"/>
      <c r="B6063"/>
      <c r="D6063"/>
      <c r="E6063"/>
      <c r="F6063"/>
      <c r="H6063"/>
    </row>
    <row r="6064" spans="1:8" ht="15">
      <c r="A6064"/>
      <c r="B6064"/>
      <c r="D6064"/>
      <c r="E6064"/>
      <c r="F6064"/>
      <c r="H6064"/>
    </row>
    <row r="6065" spans="1:8" ht="15">
      <c r="A6065"/>
      <c r="B6065"/>
      <c r="D6065"/>
      <c r="E6065"/>
      <c r="F6065"/>
      <c r="H6065"/>
    </row>
    <row r="6066" spans="1:8" ht="15">
      <c r="A6066"/>
      <c r="B6066"/>
      <c r="D6066"/>
      <c r="E6066"/>
      <c r="F6066"/>
      <c r="H6066"/>
    </row>
    <row r="6067" spans="1:8" ht="15">
      <c r="A6067"/>
      <c r="B6067"/>
      <c r="D6067"/>
      <c r="E6067"/>
      <c r="F6067"/>
      <c r="H6067"/>
    </row>
    <row r="6068" spans="1:8" ht="15">
      <c r="A6068"/>
      <c r="B6068"/>
      <c r="D6068"/>
      <c r="E6068"/>
      <c r="F6068"/>
      <c r="H6068"/>
    </row>
    <row r="6069" spans="1:8" ht="15">
      <c r="A6069"/>
      <c r="B6069"/>
      <c r="D6069"/>
      <c r="E6069"/>
      <c r="F6069"/>
      <c r="H6069"/>
    </row>
    <row r="6070" spans="1:8" ht="15">
      <c r="A6070"/>
      <c r="B6070"/>
      <c r="D6070"/>
      <c r="E6070"/>
      <c r="F6070"/>
      <c r="H6070"/>
    </row>
    <row r="6071" spans="1:8" ht="15">
      <c r="A6071"/>
      <c r="B6071"/>
      <c r="D6071"/>
      <c r="E6071"/>
      <c r="F6071"/>
      <c r="H6071"/>
    </row>
    <row r="6072" spans="1:8" ht="15">
      <c r="A6072"/>
      <c r="B6072"/>
      <c r="D6072"/>
      <c r="E6072"/>
      <c r="F6072"/>
      <c r="H6072"/>
    </row>
    <row r="6073" spans="1:8" ht="15">
      <c r="A6073"/>
      <c r="B6073"/>
      <c r="D6073"/>
      <c r="E6073"/>
      <c r="F6073"/>
      <c r="H6073"/>
    </row>
    <row r="6074" spans="1:8" ht="15">
      <c r="A6074"/>
      <c r="B6074"/>
      <c r="D6074"/>
      <c r="E6074"/>
      <c r="F6074"/>
      <c r="H6074"/>
    </row>
    <row r="6075" spans="1:8" ht="15">
      <c r="A6075"/>
      <c r="B6075"/>
      <c r="D6075"/>
      <c r="E6075"/>
      <c r="F6075"/>
      <c r="H6075"/>
    </row>
    <row r="6076" spans="1:8" ht="15">
      <c r="A6076"/>
      <c r="B6076"/>
      <c r="D6076"/>
      <c r="E6076"/>
      <c r="F6076"/>
      <c r="H6076"/>
    </row>
    <row r="6077" spans="1:8" ht="15">
      <c r="A6077"/>
      <c r="B6077"/>
      <c r="D6077"/>
      <c r="E6077"/>
      <c r="F6077"/>
      <c r="H6077"/>
    </row>
    <row r="6078" spans="1:8" ht="15">
      <c r="A6078"/>
      <c r="B6078"/>
      <c r="D6078"/>
      <c r="E6078"/>
      <c r="F6078"/>
      <c r="H6078"/>
    </row>
    <row r="6079" spans="1:8" ht="15">
      <c r="A6079"/>
      <c r="B6079"/>
      <c r="D6079"/>
      <c r="E6079"/>
      <c r="F6079"/>
      <c r="H6079"/>
    </row>
    <row r="6080" spans="1:8" ht="15">
      <c r="A6080"/>
      <c r="B6080"/>
      <c r="D6080"/>
      <c r="E6080"/>
      <c r="F6080"/>
      <c r="H6080"/>
    </row>
    <row r="6081" spans="1:8" ht="15">
      <c r="A6081"/>
      <c r="B6081"/>
      <c r="D6081"/>
      <c r="E6081"/>
      <c r="F6081"/>
      <c r="H6081"/>
    </row>
    <row r="6082" spans="1:8" ht="15">
      <c r="A6082"/>
      <c r="B6082"/>
      <c r="D6082"/>
      <c r="E6082"/>
      <c r="F6082"/>
      <c r="H6082"/>
    </row>
    <row r="6083" spans="1:8" ht="15">
      <c r="A6083"/>
      <c r="B6083"/>
      <c r="D6083"/>
      <c r="E6083"/>
      <c r="F6083"/>
      <c r="H6083"/>
    </row>
    <row r="6084" spans="1:8" ht="15">
      <c r="A6084"/>
      <c r="B6084"/>
      <c r="D6084"/>
      <c r="E6084"/>
      <c r="F6084"/>
      <c r="H6084"/>
    </row>
    <row r="6085" spans="1:8" ht="15">
      <c r="A6085"/>
      <c r="B6085"/>
      <c r="D6085"/>
      <c r="E6085"/>
      <c r="F6085"/>
      <c r="H6085"/>
    </row>
    <row r="6086" spans="1:8" ht="15">
      <c r="A6086"/>
      <c r="B6086"/>
      <c r="D6086"/>
      <c r="E6086"/>
      <c r="F6086"/>
      <c r="H6086"/>
    </row>
    <row r="6087" spans="1:8" ht="15">
      <c r="A6087"/>
      <c r="B6087"/>
      <c r="D6087"/>
      <c r="E6087"/>
      <c r="F6087"/>
      <c r="H6087"/>
    </row>
    <row r="6088" spans="1:8" ht="15">
      <c r="A6088"/>
      <c r="B6088"/>
      <c r="D6088"/>
      <c r="E6088"/>
      <c r="F6088"/>
      <c r="H6088"/>
    </row>
    <row r="6089" spans="1:8" ht="15">
      <c r="A6089"/>
      <c r="B6089"/>
      <c r="D6089"/>
      <c r="E6089"/>
      <c r="F6089"/>
      <c r="H6089"/>
    </row>
    <row r="6090" spans="1:8" ht="15">
      <c r="A6090"/>
      <c r="B6090"/>
      <c r="D6090"/>
      <c r="E6090"/>
      <c r="F6090"/>
      <c r="H6090"/>
    </row>
    <row r="6091" spans="1:8" ht="15">
      <c r="A6091"/>
      <c r="B6091"/>
      <c r="D6091"/>
      <c r="E6091"/>
      <c r="F6091"/>
      <c r="H6091"/>
    </row>
    <row r="6092" spans="1:8" ht="15">
      <c r="A6092"/>
      <c r="B6092"/>
      <c r="D6092"/>
      <c r="E6092"/>
      <c r="F6092"/>
      <c r="H6092"/>
    </row>
    <row r="6093" spans="1:8" ht="15">
      <c r="A6093"/>
      <c r="B6093"/>
      <c r="D6093"/>
      <c r="E6093"/>
      <c r="F6093"/>
      <c r="H6093"/>
    </row>
    <row r="6094" spans="1:8" ht="15">
      <c r="A6094"/>
      <c r="B6094"/>
      <c r="D6094"/>
      <c r="E6094"/>
      <c r="F6094"/>
      <c r="H6094"/>
    </row>
    <row r="6095" spans="1:8" ht="15">
      <c r="A6095"/>
      <c r="B6095"/>
      <c r="D6095"/>
      <c r="E6095"/>
      <c r="F6095"/>
      <c r="H6095"/>
    </row>
    <row r="6096" spans="1:8" ht="15">
      <c r="A6096"/>
      <c r="B6096"/>
      <c r="D6096"/>
      <c r="E6096"/>
      <c r="F6096"/>
      <c r="H6096"/>
    </row>
    <row r="6097" spans="1:8" ht="15">
      <c r="A6097"/>
      <c r="B6097"/>
      <c r="D6097"/>
      <c r="E6097"/>
      <c r="F6097"/>
      <c r="H6097"/>
    </row>
    <row r="6098" spans="1:8" ht="15">
      <c r="A6098"/>
      <c r="B6098"/>
      <c r="D6098"/>
      <c r="E6098"/>
      <c r="F6098"/>
      <c r="H6098"/>
    </row>
    <row r="6099" spans="1:8" ht="15">
      <c r="A6099"/>
      <c r="B6099"/>
      <c r="D6099"/>
      <c r="E6099"/>
      <c r="F6099"/>
      <c r="H6099"/>
    </row>
    <row r="6100" spans="1:8" ht="15">
      <c r="A6100"/>
      <c r="B6100"/>
      <c r="D6100"/>
      <c r="E6100"/>
      <c r="F6100"/>
      <c r="H6100"/>
    </row>
    <row r="6101" spans="1:8" ht="15">
      <c r="A6101"/>
      <c r="B6101"/>
      <c r="D6101"/>
      <c r="E6101"/>
      <c r="F6101"/>
      <c r="H6101"/>
    </row>
    <row r="6102" spans="1:8" ht="15">
      <c r="A6102"/>
      <c r="B6102"/>
      <c r="D6102"/>
      <c r="E6102"/>
      <c r="F6102"/>
      <c r="H6102"/>
    </row>
    <row r="6103" spans="1:8" ht="15">
      <c r="A6103"/>
      <c r="B6103"/>
      <c r="D6103"/>
      <c r="E6103"/>
      <c r="F6103"/>
      <c r="H6103"/>
    </row>
    <row r="6104" spans="1:8" ht="15">
      <c r="A6104"/>
      <c r="B6104"/>
      <c r="D6104"/>
      <c r="E6104"/>
      <c r="F6104"/>
      <c r="H6104"/>
    </row>
    <row r="6105" spans="1:8" ht="15">
      <c r="A6105"/>
      <c r="B6105"/>
      <c r="D6105"/>
      <c r="E6105"/>
      <c r="F6105"/>
      <c r="H6105"/>
    </row>
    <row r="6106" spans="1:8" ht="15">
      <c r="A6106"/>
      <c r="B6106"/>
      <c r="D6106"/>
      <c r="E6106"/>
      <c r="F6106"/>
      <c r="H6106"/>
    </row>
    <row r="6107" spans="1:8" ht="15">
      <c r="A6107"/>
      <c r="B6107"/>
      <c r="D6107"/>
      <c r="E6107"/>
      <c r="F6107"/>
      <c r="H6107"/>
    </row>
    <row r="6108" spans="1:8" ht="15">
      <c r="A6108"/>
      <c r="B6108"/>
      <c r="D6108"/>
      <c r="E6108"/>
      <c r="F6108"/>
      <c r="H6108"/>
    </row>
    <row r="6109" spans="1:8" ht="15">
      <c r="A6109"/>
      <c r="B6109"/>
      <c r="D6109"/>
      <c r="E6109"/>
      <c r="F6109"/>
      <c r="H6109"/>
    </row>
    <row r="6110" spans="1:8" ht="15">
      <c r="A6110"/>
      <c r="B6110"/>
      <c r="D6110"/>
      <c r="E6110"/>
      <c r="F6110"/>
      <c r="H6110"/>
    </row>
    <row r="6111" spans="1:8" ht="15">
      <c r="A6111"/>
      <c r="B6111"/>
      <c r="D6111"/>
      <c r="E6111"/>
      <c r="F6111"/>
      <c r="H6111"/>
    </row>
    <row r="6112" spans="1:8" ht="15">
      <c r="A6112"/>
      <c r="B6112"/>
      <c r="D6112"/>
      <c r="E6112"/>
      <c r="F6112"/>
      <c r="H6112"/>
    </row>
    <row r="6113" spans="1:8" ht="15">
      <c r="A6113"/>
      <c r="B6113"/>
      <c r="D6113"/>
      <c r="E6113"/>
      <c r="F6113"/>
      <c r="H6113"/>
    </row>
    <row r="6114" spans="1:8" ht="15">
      <c r="A6114"/>
      <c r="B6114"/>
      <c r="D6114"/>
      <c r="E6114"/>
      <c r="F6114"/>
      <c r="H6114"/>
    </row>
    <row r="6115" spans="1:8" ht="15">
      <c r="A6115"/>
      <c r="B6115"/>
      <c r="D6115"/>
      <c r="E6115"/>
      <c r="F6115"/>
      <c r="H6115"/>
    </row>
    <row r="6116" spans="1:8" ht="15">
      <c r="A6116"/>
      <c r="B6116"/>
      <c r="D6116"/>
      <c r="E6116"/>
      <c r="F6116"/>
      <c r="H6116"/>
    </row>
    <row r="6117" spans="1:8" ht="15">
      <c r="A6117"/>
      <c r="B6117"/>
      <c r="D6117"/>
      <c r="E6117"/>
      <c r="F6117"/>
      <c r="H6117"/>
    </row>
    <row r="6118" spans="1:8" ht="15">
      <c r="A6118"/>
      <c r="B6118"/>
      <c r="D6118"/>
      <c r="E6118"/>
      <c r="F6118"/>
      <c r="H6118"/>
    </row>
    <row r="6119" spans="1:8" ht="15">
      <c r="A6119"/>
      <c r="B6119"/>
      <c r="D6119"/>
      <c r="E6119"/>
      <c r="F6119"/>
      <c r="H6119"/>
    </row>
    <row r="6120" spans="1:8" ht="15">
      <c r="A6120"/>
      <c r="B6120"/>
      <c r="D6120"/>
      <c r="E6120"/>
      <c r="F6120"/>
      <c r="H6120"/>
    </row>
    <row r="6121" spans="1:8" ht="15">
      <c r="A6121"/>
      <c r="B6121"/>
      <c r="D6121"/>
      <c r="E6121"/>
      <c r="F6121"/>
      <c r="H6121"/>
    </row>
    <row r="6122" spans="1:8" ht="15">
      <c r="A6122"/>
      <c r="B6122"/>
      <c r="D6122"/>
      <c r="E6122"/>
      <c r="F6122"/>
      <c r="H6122"/>
    </row>
    <row r="6123" spans="1:8" ht="15">
      <c r="A6123"/>
      <c r="B6123"/>
      <c r="D6123"/>
      <c r="E6123"/>
      <c r="F6123"/>
      <c r="H6123"/>
    </row>
    <row r="6124" spans="1:8" ht="15">
      <c r="A6124"/>
      <c r="B6124"/>
      <c r="D6124"/>
      <c r="E6124"/>
      <c r="F6124"/>
      <c r="H6124"/>
    </row>
    <row r="6125" spans="1:8" ht="15">
      <c r="A6125"/>
      <c r="B6125"/>
      <c r="D6125"/>
      <c r="E6125"/>
      <c r="F6125"/>
      <c r="H6125"/>
    </row>
    <row r="6126" spans="1:8" ht="15">
      <c r="A6126"/>
      <c r="B6126"/>
      <c r="D6126"/>
      <c r="E6126"/>
      <c r="F6126"/>
      <c r="H6126"/>
    </row>
    <row r="6127" spans="1:8" ht="15">
      <c r="A6127"/>
      <c r="B6127"/>
      <c r="D6127"/>
      <c r="E6127"/>
      <c r="F6127"/>
      <c r="H6127"/>
    </row>
    <row r="6128" spans="1:8" ht="15">
      <c r="A6128"/>
      <c r="B6128"/>
      <c r="D6128"/>
      <c r="E6128"/>
      <c r="F6128"/>
      <c r="H6128"/>
    </row>
    <row r="6129" spans="1:8" ht="15">
      <c r="A6129"/>
      <c r="B6129"/>
      <c r="D6129"/>
      <c r="E6129"/>
      <c r="F6129"/>
      <c r="H6129"/>
    </row>
    <row r="6130" spans="1:8" ht="15">
      <c r="A6130"/>
      <c r="B6130"/>
      <c r="D6130"/>
      <c r="E6130"/>
      <c r="F6130"/>
      <c r="H6130"/>
    </row>
    <row r="6131" spans="1:8" ht="15">
      <c r="A6131"/>
      <c r="B6131"/>
      <c r="D6131"/>
      <c r="E6131"/>
      <c r="F6131"/>
      <c r="H6131"/>
    </row>
    <row r="6132" spans="1:8" ht="15">
      <c r="A6132"/>
      <c r="B6132"/>
      <c r="D6132"/>
      <c r="E6132"/>
      <c r="F6132"/>
      <c r="H6132"/>
    </row>
    <row r="6133" spans="1:8" ht="15">
      <c r="A6133"/>
      <c r="B6133"/>
      <c r="D6133"/>
      <c r="E6133"/>
      <c r="F6133"/>
      <c r="H6133"/>
    </row>
    <row r="6134" spans="1:8" ht="15">
      <c r="A6134"/>
      <c r="B6134"/>
      <c r="D6134"/>
      <c r="E6134"/>
      <c r="F6134"/>
      <c r="H6134"/>
    </row>
    <row r="6135" spans="1:8" ht="15">
      <c r="A6135"/>
      <c r="B6135"/>
      <c r="D6135"/>
      <c r="E6135"/>
      <c r="F6135"/>
      <c r="H6135"/>
    </row>
    <row r="6136" spans="1:8" ht="15">
      <c r="A6136"/>
      <c r="B6136"/>
      <c r="D6136"/>
      <c r="E6136"/>
      <c r="F6136"/>
      <c r="H6136"/>
    </row>
    <row r="6137" spans="1:8" ht="15">
      <c r="A6137"/>
      <c r="B6137"/>
      <c r="D6137"/>
      <c r="E6137"/>
      <c r="F6137"/>
      <c r="H6137"/>
    </row>
    <row r="6138" spans="1:8" ht="15">
      <c r="A6138"/>
      <c r="B6138"/>
      <c r="D6138"/>
      <c r="E6138"/>
      <c r="F6138"/>
      <c r="H6138"/>
    </row>
    <row r="6139" spans="1:8" ht="15">
      <c r="A6139"/>
      <c r="B6139"/>
      <c r="D6139"/>
      <c r="E6139"/>
      <c r="F6139"/>
      <c r="H6139"/>
    </row>
    <row r="6140" spans="1:8" ht="15">
      <c r="A6140"/>
      <c r="B6140"/>
      <c r="D6140"/>
      <c r="E6140"/>
      <c r="F6140"/>
      <c r="H6140"/>
    </row>
    <row r="6141" spans="1:8" ht="15">
      <c r="A6141"/>
      <c r="B6141"/>
      <c r="D6141"/>
      <c r="E6141"/>
      <c r="F6141"/>
      <c r="H6141"/>
    </row>
    <row r="6142" spans="1:8" ht="15">
      <c r="A6142"/>
      <c r="B6142"/>
      <c r="D6142"/>
      <c r="E6142"/>
      <c r="F6142"/>
      <c r="H6142"/>
    </row>
    <row r="6143" spans="1:8" ht="15">
      <c r="A6143"/>
      <c r="B6143"/>
      <c r="D6143"/>
      <c r="E6143"/>
      <c r="F6143"/>
      <c r="H6143"/>
    </row>
    <row r="6144" spans="1:8" ht="15">
      <c r="A6144"/>
      <c r="B6144"/>
      <c r="D6144"/>
      <c r="E6144"/>
      <c r="F6144"/>
      <c r="H6144"/>
    </row>
    <row r="6145" spans="1:8" ht="15">
      <c r="A6145"/>
      <c r="B6145"/>
      <c r="D6145"/>
      <c r="E6145"/>
      <c r="F6145"/>
      <c r="H6145"/>
    </row>
    <row r="6146" spans="1:8" ht="15">
      <c r="A6146"/>
      <c r="B6146"/>
      <c r="D6146"/>
      <c r="E6146"/>
      <c r="F6146"/>
      <c r="H6146"/>
    </row>
    <row r="6147" spans="1:8" ht="15">
      <c r="A6147"/>
      <c r="B6147"/>
      <c r="D6147"/>
      <c r="E6147"/>
      <c r="F6147"/>
      <c r="H6147"/>
    </row>
    <row r="6148" spans="1:8" ht="15">
      <c r="A6148"/>
      <c r="B6148"/>
      <c r="D6148"/>
      <c r="E6148"/>
      <c r="F6148"/>
      <c r="H6148"/>
    </row>
    <row r="6149" spans="1:8" ht="15">
      <c r="A6149"/>
      <c r="B6149"/>
      <c r="D6149"/>
      <c r="E6149"/>
      <c r="F6149"/>
      <c r="H6149"/>
    </row>
    <row r="6150" spans="1:8" ht="15">
      <c r="A6150"/>
      <c r="B6150"/>
      <c r="D6150"/>
      <c r="E6150"/>
      <c r="F6150"/>
      <c r="H6150"/>
    </row>
    <row r="6151" spans="1:8" ht="15">
      <c r="A6151"/>
      <c r="B6151"/>
      <c r="D6151"/>
      <c r="E6151"/>
      <c r="F6151"/>
      <c r="H6151"/>
    </row>
    <row r="6152" spans="1:8" ht="15">
      <c r="A6152"/>
      <c r="B6152"/>
      <c r="D6152"/>
      <c r="E6152"/>
      <c r="F6152"/>
      <c r="H6152"/>
    </row>
    <row r="6153" spans="1:8" ht="15">
      <c r="A6153"/>
      <c r="B6153"/>
      <c r="D6153"/>
      <c r="E6153"/>
      <c r="F6153"/>
      <c r="H6153"/>
    </row>
    <row r="6154" spans="1:8" ht="15">
      <c r="A6154"/>
      <c r="B6154"/>
      <c r="D6154"/>
      <c r="E6154"/>
      <c r="F6154"/>
      <c r="H6154"/>
    </row>
    <row r="6155" spans="1:8" ht="15">
      <c r="A6155"/>
      <c r="B6155"/>
      <c r="D6155"/>
      <c r="E6155"/>
      <c r="F6155"/>
      <c r="H6155"/>
    </row>
    <row r="6156" spans="1:8" ht="15">
      <c r="A6156"/>
      <c r="B6156"/>
      <c r="D6156"/>
      <c r="E6156"/>
      <c r="F6156"/>
      <c r="H6156"/>
    </row>
    <row r="6157" spans="1:8" ht="15">
      <c r="A6157"/>
      <c r="B6157"/>
      <c r="D6157"/>
      <c r="E6157"/>
      <c r="F6157"/>
      <c r="H6157"/>
    </row>
    <row r="6158" spans="1:8" ht="15">
      <c r="A6158"/>
      <c r="B6158"/>
      <c r="D6158"/>
      <c r="E6158"/>
      <c r="F6158"/>
      <c r="H6158"/>
    </row>
    <row r="6159" spans="1:8" ht="15">
      <c r="A6159"/>
      <c r="B6159"/>
      <c r="D6159"/>
      <c r="E6159"/>
      <c r="F6159"/>
      <c r="H6159"/>
    </row>
    <row r="6160" spans="1:8" ht="15">
      <c r="A6160"/>
      <c r="B6160"/>
      <c r="D6160"/>
      <c r="E6160"/>
      <c r="F6160"/>
      <c r="H6160"/>
    </row>
    <row r="6161" spans="1:8" ht="15">
      <c r="A6161"/>
      <c r="B6161"/>
      <c r="D6161"/>
      <c r="E6161"/>
      <c r="F6161"/>
      <c r="H6161"/>
    </row>
    <row r="6162" spans="1:8" ht="15">
      <c r="A6162"/>
      <c r="B6162"/>
      <c r="D6162"/>
      <c r="E6162"/>
      <c r="F6162"/>
      <c r="H6162"/>
    </row>
    <row r="6163" spans="1:8" ht="15">
      <c r="A6163"/>
      <c r="B6163"/>
      <c r="D6163"/>
      <c r="E6163"/>
      <c r="F6163"/>
      <c r="H6163"/>
    </row>
    <row r="6164" spans="1:8" ht="15">
      <c r="A6164"/>
      <c r="B6164"/>
      <c r="D6164"/>
      <c r="E6164"/>
      <c r="F6164"/>
      <c r="H6164"/>
    </row>
    <row r="6165" spans="1:8" ht="15">
      <c r="A6165"/>
      <c r="B6165"/>
      <c r="D6165"/>
      <c r="E6165"/>
      <c r="F6165"/>
      <c r="H6165"/>
    </row>
    <row r="6166" spans="1:8" ht="15">
      <c r="A6166"/>
      <c r="B6166"/>
      <c r="D6166"/>
      <c r="E6166"/>
      <c r="F6166"/>
      <c r="H6166"/>
    </row>
    <row r="6167" spans="1:8" ht="15">
      <c r="A6167"/>
      <c r="B6167"/>
      <c r="D6167"/>
      <c r="E6167"/>
      <c r="F6167"/>
      <c r="H6167"/>
    </row>
    <row r="6168" spans="1:8" ht="15">
      <c r="A6168"/>
      <c r="B6168"/>
      <c r="D6168"/>
      <c r="E6168"/>
      <c r="F6168"/>
      <c r="H6168"/>
    </row>
    <row r="6169" spans="1:8" ht="15">
      <c r="A6169"/>
      <c r="B6169"/>
      <c r="D6169"/>
      <c r="E6169"/>
      <c r="F6169"/>
      <c r="H6169"/>
    </row>
    <row r="6170" spans="1:8" ht="15">
      <c r="A6170"/>
      <c r="B6170"/>
      <c r="D6170"/>
      <c r="E6170"/>
      <c r="F6170"/>
      <c r="H6170"/>
    </row>
    <row r="6171" spans="1:8" ht="15">
      <c r="A6171"/>
      <c r="B6171"/>
      <c r="D6171"/>
      <c r="E6171"/>
      <c r="F6171"/>
      <c r="H6171"/>
    </row>
    <row r="6172" spans="1:8" ht="15">
      <c r="A6172"/>
      <c r="B6172"/>
      <c r="D6172"/>
      <c r="E6172"/>
      <c r="F6172"/>
      <c r="H6172"/>
    </row>
    <row r="6173" spans="1:8" ht="15">
      <c r="A6173"/>
      <c r="B6173"/>
      <c r="D6173"/>
      <c r="E6173"/>
      <c r="F6173"/>
      <c r="H6173"/>
    </row>
    <row r="6174" spans="1:8" ht="15">
      <c r="A6174"/>
      <c r="B6174"/>
      <c r="D6174"/>
      <c r="E6174"/>
      <c r="F6174"/>
      <c r="H6174"/>
    </row>
    <row r="6175" spans="1:8" ht="15">
      <c r="A6175"/>
      <c r="B6175"/>
      <c r="D6175"/>
      <c r="E6175"/>
      <c r="F6175"/>
      <c r="H6175"/>
    </row>
    <row r="6176" spans="1:8" ht="15">
      <c r="A6176"/>
      <c r="B6176"/>
      <c r="D6176"/>
      <c r="E6176"/>
      <c r="F6176"/>
      <c r="H6176"/>
    </row>
    <row r="6177" spans="1:8" ht="15">
      <c r="A6177"/>
      <c r="B6177"/>
      <c r="D6177"/>
      <c r="E6177"/>
      <c r="F6177"/>
      <c r="H6177"/>
    </row>
    <row r="6178" spans="1:8" ht="15">
      <c r="A6178"/>
      <c r="B6178"/>
      <c r="D6178"/>
      <c r="E6178"/>
      <c r="F6178"/>
      <c r="H6178"/>
    </row>
    <row r="6179" spans="1:8" ht="15">
      <c r="A6179"/>
      <c r="B6179"/>
      <c r="D6179"/>
      <c r="E6179"/>
      <c r="F6179"/>
      <c r="H6179"/>
    </row>
    <row r="6180" spans="1:8" ht="15">
      <c r="A6180"/>
      <c r="B6180"/>
      <c r="D6180"/>
      <c r="E6180"/>
      <c r="F6180"/>
      <c r="H6180"/>
    </row>
    <row r="6181" spans="1:8" ht="15">
      <c r="A6181"/>
      <c r="B6181"/>
      <c r="D6181"/>
      <c r="E6181"/>
      <c r="F6181"/>
      <c r="H6181"/>
    </row>
    <row r="6182" spans="1:8" ht="15">
      <c r="A6182"/>
      <c r="B6182"/>
      <c r="D6182"/>
      <c r="E6182"/>
      <c r="F6182"/>
      <c r="H6182"/>
    </row>
    <row r="6183" spans="1:8" ht="15">
      <c r="A6183"/>
      <c r="B6183"/>
      <c r="D6183"/>
      <c r="E6183"/>
      <c r="F6183"/>
      <c r="H6183"/>
    </row>
    <row r="6184" spans="1:8" ht="15">
      <c r="A6184"/>
      <c r="B6184"/>
      <c r="D6184"/>
      <c r="E6184"/>
      <c r="F6184"/>
      <c r="H6184"/>
    </row>
    <row r="6185" spans="1:8" ht="15">
      <c r="A6185"/>
      <c r="B6185"/>
      <c r="D6185"/>
      <c r="E6185"/>
      <c r="F6185"/>
      <c r="H6185"/>
    </row>
    <row r="6186" spans="1:8" ht="15">
      <c r="A6186"/>
      <c r="B6186"/>
      <c r="D6186"/>
      <c r="E6186"/>
      <c r="F6186"/>
      <c r="H6186"/>
    </row>
    <row r="6187" spans="1:8" ht="15">
      <c r="A6187"/>
      <c r="B6187"/>
      <c r="D6187"/>
      <c r="E6187"/>
      <c r="F6187"/>
      <c r="H6187"/>
    </row>
    <row r="6188" spans="1:8" ht="15">
      <c r="A6188"/>
      <c r="B6188"/>
      <c r="D6188"/>
      <c r="E6188"/>
      <c r="F6188"/>
      <c r="H6188"/>
    </row>
    <row r="6189" spans="1:8" ht="15">
      <c r="A6189"/>
      <c r="B6189"/>
      <c r="D6189"/>
      <c r="E6189"/>
      <c r="F6189"/>
      <c r="H6189"/>
    </row>
    <row r="6190" spans="1:8" ht="15">
      <c r="A6190"/>
      <c r="B6190"/>
      <c r="D6190"/>
      <c r="E6190"/>
      <c r="F6190"/>
      <c r="H6190"/>
    </row>
    <row r="6191" spans="1:8" ht="15">
      <c r="A6191"/>
      <c r="B6191"/>
      <c r="D6191"/>
      <c r="E6191"/>
      <c r="F6191"/>
      <c r="H6191"/>
    </row>
    <row r="6192" spans="1:8" ht="15">
      <c r="A6192"/>
      <c r="B6192"/>
      <c r="D6192"/>
      <c r="E6192"/>
      <c r="F6192"/>
      <c r="H6192"/>
    </row>
    <row r="6193" spans="1:8" ht="15">
      <c r="A6193"/>
      <c r="B6193"/>
      <c r="D6193"/>
      <c r="E6193"/>
      <c r="F6193"/>
      <c r="H6193"/>
    </row>
    <row r="6194" spans="1:8" ht="15">
      <c r="A6194"/>
      <c r="B6194"/>
      <c r="D6194"/>
      <c r="E6194"/>
      <c r="F6194"/>
      <c r="H6194"/>
    </row>
    <row r="6195" spans="1:8" ht="15">
      <c r="A6195"/>
      <c r="B6195"/>
      <c r="D6195"/>
      <c r="E6195"/>
      <c r="F6195"/>
      <c r="H6195"/>
    </row>
    <row r="6196" spans="1:8" ht="15">
      <c r="A6196"/>
      <c r="B6196"/>
      <c r="D6196"/>
      <c r="E6196"/>
      <c r="F6196"/>
      <c r="H6196"/>
    </row>
    <row r="6197" spans="1:8" ht="15">
      <c r="A6197"/>
      <c r="B6197"/>
      <c r="D6197"/>
      <c r="E6197"/>
      <c r="F6197"/>
      <c r="H6197"/>
    </row>
    <row r="6198" spans="1:8" ht="15">
      <c r="A6198"/>
      <c r="B6198"/>
      <c r="D6198"/>
      <c r="E6198"/>
      <c r="F6198"/>
      <c r="H6198"/>
    </row>
    <row r="6199" spans="1:8" ht="15">
      <c r="A6199"/>
      <c r="B6199"/>
      <c r="D6199"/>
      <c r="E6199"/>
      <c r="F6199"/>
      <c r="H6199"/>
    </row>
    <row r="6200" spans="1:8" ht="15">
      <c r="A6200"/>
      <c r="B6200"/>
      <c r="D6200"/>
      <c r="E6200"/>
      <c r="F6200"/>
      <c r="H6200"/>
    </row>
    <row r="6201" spans="1:8" ht="15">
      <c r="A6201"/>
      <c r="B6201"/>
      <c r="D6201"/>
      <c r="E6201"/>
      <c r="F6201"/>
      <c r="H6201"/>
    </row>
    <row r="6202" spans="1:8" ht="15">
      <c r="A6202"/>
      <c r="B6202"/>
      <c r="D6202"/>
      <c r="E6202"/>
      <c r="F6202"/>
      <c r="H6202"/>
    </row>
    <row r="6203" spans="1:8" ht="15">
      <c r="A6203"/>
      <c r="B6203"/>
      <c r="D6203"/>
      <c r="E6203"/>
      <c r="F6203"/>
      <c r="H6203"/>
    </row>
    <row r="6204" spans="1:8" ht="15">
      <c r="A6204"/>
      <c r="B6204"/>
      <c r="D6204"/>
      <c r="E6204"/>
      <c r="F6204"/>
      <c r="H6204"/>
    </row>
    <row r="6205" spans="1:8" ht="15">
      <c r="A6205"/>
      <c r="B6205"/>
      <c r="D6205"/>
      <c r="E6205"/>
      <c r="F6205"/>
      <c r="H6205"/>
    </row>
    <row r="6206" spans="1:8" ht="15">
      <c r="A6206"/>
      <c r="B6206"/>
      <c r="D6206"/>
      <c r="E6206"/>
      <c r="F6206"/>
      <c r="H6206"/>
    </row>
    <row r="6207" spans="1:8" ht="15">
      <c r="A6207"/>
      <c r="B6207"/>
      <c r="D6207"/>
      <c r="E6207"/>
      <c r="F6207"/>
      <c r="H6207"/>
    </row>
    <row r="6208" spans="1:8" ht="15">
      <c r="A6208"/>
      <c r="B6208"/>
      <c r="D6208"/>
      <c r="E6208"/>
      <c r="F6208"/>
      <c r="H6208"/>
    </row>
    <row r="6209" spans="1:8" ht="15">
      <c r="A6209"/>
      <c r="B6209"/>
      <c r="D6209"/>
      <c r="E6209"/>
      <c r="F6209"/>
      <c r="H6209"/>
    </row>
    <row r="6210" spans="1:8" ht="15">
      <c r="A6210"/>
      <c r="B6210"/>
      <c r="D6210"/>
      <c r="E6210"/>
      <c r="F6210"/>
      <c r="H6210"/>
    </row>
    <row r="6211" spans="1:8" ht="15">
      <c r="A6211"/>
      <c r="B6211"/>
      <c r="D6211"/>
      <c r="E6211"/>
      <c r="F6211"/>
      <c r="H6211"/>
    </row>
    <row r="6212" spans="1:8" ht="15">
      <c r="A6212"/>
      <c r="B6212"/>
      <c r="D6212"/>
      <c r="E6212"/>
      <c r="F6212"/>
      <c r="H6212"/>
    </row>
    <row r="6213" spans="1:8" ht="15">
      <c r="A6213"/>
      <c r="B6213"/>
      <c r="D6213"/>
      <c r="E6213"/>
      <c r="F6213"/>
      <c r="H6213"/>
    </row>
    <row r="6214" spans="1:8" ht="15">
      <c r="A6214"/>
      <c r="B6214"/>
      <c r="D6214"/>
      <c r="E6214"/>
      <c r="F6214"/>
      <c r="H6214"/>
    </row>
    <row r="6215" spans="1:8" ht="15">
      <c r="A6215"/>
      <c r="B6215"/>
      <c r="D6215"/>
      <c r="E6215"/>
      <c r="F6215"/>
      <c r="H6215"/>
    </row>
    <row r="6216" spans="1:8" ht="15">
      <c r="A6216"/>
      <c r="B6216"/>
      <c r="D6216"/>
      <c r="E6216"/>
      <c r="F6216"/>
      <c r="H6216"/>
    </row>
    <row r="6217" spans="1:8" ht="15">
      <c r="A6217"/>
      <c r="B6217"/>
      <c r="D6217"/>
      <c r="E6217"/>
      <c r="F6217"/>
      <c r="H6217"/>
    </row>
    <row r="6218" spans="1:8" ht="15">
      <c r="A6218"/>
      <c r="B6218"/>
      <c r="D6218"/>
      <c r="E6218"/>
      <c r="F6218"/>
      <c r="H6218"/>
    </row>
    <row r="6219" spans="1:8" ht="15">
      <c r="A6219"/>
      <c r="B6219"/>
      <c r="D6219"/>
      <c r="E6219"/>
      <c r="F6219"/>
      <c r="H6219"/>
    </row>
    <row r="6220" spans="1:8" ht="15">
      <c r="A6220"/>
      <c r="B6220"/>
      <c r="D6220"/>
      <c r="E6220"/>
      <c r="F6220"/>
      <c r="H6220"/>
    </row>
    <row r="6221" spans="1:8" ht="15">
      <c r="A6221"/>
      <c r="B6221"/>
      <c r="D6221"/>
      <c r="E6221"/>
      <c r="F6221"/>
      <c r="H6221"/>
    </row>
    <row r="6222" spans="1:8" ht="15">
      <c r="A6222"/>
      <c r="B6222"/>
      <c r="D6222"/>
      <c r="E6222"/>
      <c r="F6222"/>
      <c r="H6222"/>
    </row>
    <row r="6223" spans="1:8" ht="15">
      <c r="A6223"/>
      <c r="B6223"/>
      <c r="D6223"/>
      <c r="E6223"/>
      <c r="F6223"/>
      <c r="H6223"/>
    </row>
    <row r="6224" spans="1:8" ht="15">
      <c r="A6224"/>
      <c r="B6224"/>
      <c r="D6224"/>
      <c r="E6224"/>
      <c r="F6224"/>
      <c r="H6224"/>
    </row>
    <row r="6225" spans="1:8" ht="15">
      <c r="A6225"/>
      <c r="B6225"/>
      <c r="D6225"/>
      <c r="E6225"/>
      <c r="F6225"/>
      <c r="H6225"/>
    </row>
    <row r="6226" spans="1:8" ht="15">
      <c r="A6226"/>
      <c r="B6226"/>
      <c r="D6226"/>
      <c r="E6226"/>
      <c r="F6226"/>
      <c r="H6226"/>
    </row>
    <row r="6227" spans="1:8" ht="15">
      <c r="A6227"/>
      <c r="B6227"/>
      <c r="D6227"/>
      <c r="E6227"/>
      <c r="F6227"/>
      <c r="H6227"/>
    </row>
    <row r="6228" spans="1:8" ht="15">
      <c r="A6228"/>
      <c r="B6228"/>
      <c r="D6228"/>
      <c r="E6228"/>
      <c r="F6228"/>
      <c r="H6228"/>
    </row>
    <row r="6229" spans="1:8" ht="15">
      <c r="A6229"/>
      <c r="B6229"/>
      <c r="D6229"/>
      <c r="E6229"/>
      <c r="F6229"/>
      <c r="H6229"/>
    </row>
    <row r="6230" spans="1:8" ht="15">
      <c r="A6230"/>
      <c r="B6230"/>
      <c r="D6230"/>
      <c r="E6230"/>
      <c r="F6230"/>
      <c r="H6230"/>
    </row>
    <row r="6231" spans="1:8" ht="15">
      <c r="A6231"/>
      <c r="B6231"/>
      <c r="D6231"/>
      <c r="E6231"/>
      <c r="F6231"/>
      <c r="H6231"/>
    </row>
    <row r="6232" spans="1:8" ht="15">
      <c r="A6232"/>
      <c r="B6232"/>
      <c r="D6232"/>
      <c r="E6232"/>
      <c r="F6232"/>
      <c r="H6232"/>
    </row>
    <row r="6233" spans="1:8" ht="15">
      <c r="A6233"/>
      <c r="B6233"/>
      <c r="D6233"/>
      <c r="E6233"/>
      <c r="F6233"/>
      <c r="H6233"/>
    </row>
    <row r="6234" spans="1:8" ht="15">
      <c r="A6234"/>
      <c r="B6234"/>
      <c r="D6234"/>
      <c r="E6234"/>
      <c r="F6234"/>
      <c r="H6234"/>
    </row>
    <row r="6235" spans="1:8" ht="15">
      <c r="A6235"/>
      <c r="B6235"/>
      <c r="D6235"/>
      <c r="E6235"/>
      <c r="F6235"/>
      <c r="H6235"/>
    </row>
    <row r="6236" spans="1:8" ht="15">
      <c r="A6236"/>
      <c r="B6236"/>
      <c r="D6236"/>
      <c r="E6236"/>
      <c r="F6236"/>
      <c r="H6236"/>
    </row>
    <row r="6237" spans="1:8" ht="15">
      <c r="A6237"/>
      <c r="B6237"/>
      <c r="D6237"/>
      <c r="E6237"/>
      <c r="F6237"/>
      <c r="H6237"/>
    </row>
    <row r="6238" spans="1:8" ht="15">
      <c r="A6238"/>
      <c r="B6238"/>
      <c r="D6238"/>
      <c r="E6238"/>
      <c r="F6238"/>
      <c r="H6238"/>
    </row>
    <row r="6239" spans="1:8" ht="15">
      <c r="A6239"/>
      <c r="B6239"/>
      <c r="D6239"/>
      <c r="E6239"/>
      <c r="F6239"/>
      <c r="H6239"/>
    </row>
    <row r="6240" spans="1:8" ht="15">
      <c r="A6240"/>
      <c r="B6240"/>
      <c r="D6240"/>
      <c r="E6240"/>
      <c r="F6240"/>
      <c r="H6240"/>
    </row>
    <row r="6241" spans="1:8" ht="15">
      <c r="A6241"/>
      <c r="B6241"/>
      <c r="D6241"/>
      <c r="E6241"/>
      <c r="F6241"/>
      <c r="H6241"/>
    </row>
    <row r="6242" spans="1:8" ht="15">
      <c r="A6242"/>
      <c r="B6242"/>
      <c r="D6242"/>
      <c r="E6242"/>
      <c r="F6242"/>
      <c r="H6242"/>
    </row>
    <row r="6243" spans="1:8" ht="15">
      <c r="A6243"/>
      <c r="B6243"/>
      <c r="D6243"/>
      <c r="E6243"/>
      <c r="F6243"/>
      <c r="H6243"/>
    </row>
    <row r="6244" spans="1:8" ht="15">
      <c r="A6244"/>
      <c r="B6244"/>
      <c r="D6244"/>
      <c r="E6244"/>
      <c r="F6244"/>
      <c r="H6244"/>
    </row>
    <row r="6245" spans="1:8" ht="15">
      <c r="A6245"/>
      <c r="B6245"/>
      <c r="D6245"/>
      <c r="E6245"/>
      <c r="F6245"/>
      <c r="H6245"/>
    </row>
    <row r="6246" spans="1:8" ht="15">
      <c r="A6246"/>
      <c r="B6246"/>
      <c r="D6246"/>
      <c r="E6246"/>
      <c r="F6246"/>
      <c r="H6246"/>
    </row>
    <row r="6247" spans="1:8" ht="15">
      <c r="A6247"/>
      <c r="B6247"/>
      <c r="D6247"/>
      <c r="E6247"/>
      <c r="F6247"/>
      <c r="H6247"/>
    </row>
    <row r="6248" spans="1:8" ht="15">
      <c r="A6248"/>
      <c r="B6248"/>
      <c r="D6248"/>
      <c r="E6248"/>
      <c r="F6248"/>
      <c r="H6248"/>
    </row>
    <row r="6249" spans="1:8" ht="15">
      <c r="A6249"/>
      <c r="B6249"/>
      <c r="D6249"/>
      <c r="E6249"/>
      <c r="F6249"/>
      <c r="H6249"/>
    </row>
    <row r="6250" spans="1:8" ht="15">
      <c r="A6250"/>
      <c r="B6250"/>
      <c r="D6250"/>
      <c r="E6250"/>
      <c r="F6250"/>
      <c r="H6250"/>
    </row>
    <row r="6251" spans="1:8" ht="15">
      <c r="A6251"/>
      <c r="B6251"/>
      <c r="D6251"/>
      <c r="E6251"/>
      <c r="F6251"/>
      <c r="H6251"/>
    </row>
    <row r="6252" spans="1:8" ht="15">
      <c r="A6252"/>
      <c r="B6252"/>
      <c r="D6252"/>
      <c r="E6252"/>
      <c r="F6252"/>
      <c r="H6252"/>
    </row>
    <row r="6253" spans="1:8" ht="15">
      <c r="A6253"/>
      <c r="B6253"/>
      <c r="D6253"/>
      <c r="E6253"/>
      <c r="F6253"/>
      <c r="H6253"/>
    </row>
    <row r="6254" spans="1:8" ht="15">
      <c r="A6254"/>
      <c r="B6254"/>
      <c r="D6254"/>
      <c r="E6254"/>
      <c r="F6254"/>
      <c r="H6254"/>
    </row>
    <row r="6255" spans="1:8" ht="15">
      <c r="A6255"/>
      <c r="B6255"/>
      <c r="D6255"/>
      <c r="E6255"/>
      <c r="F6255"/>
      <c r="H6255"/>
    </row>
    <row r="6256" spans="1:8" ht="15">
      <c r="A6256"/>
      <c r="B6256"/>
      <c r="D6256"/>
      <c r="E6256"/>
      <c r="F6256"/>
      <c r="H6256"/>
    </row>
    <row r="6257" spans="1:8" ht="15">
      <c r="A6257"/>
      <c r="B6257"/>
      <c r="D6257"/>
      <c r="E6257"/>
      <c r="F6257"/>
      <c r="H6257"/>
    </row>
    <row r="6258" spans="1:8" ht="15">
      <c r="A6258"/>
      <c r="B6258"/>
      <c r="D6258"/>
      <c r="E6258"/>
      <c r="F6258"/>
      <c r="H6258"/>
    </row>
    <row r="6259" spans="1:8" ht="15">
      <c r="A6259"/>
      <c r="B6259"/>
      <c r="D6259"/>
      <c r="E6259"/>
      <c r="F6259"/>
      <c r="H6259"/>
    </row>
    <row r="6260" spans="1:8" ht="15">
      <c r="A6260"/>
      <c r="B6260"/>
      <c r="D6260"/>
      <c r="E6260"/>
      <c r="F6260"/>
      <c r="H6260"/>
    </row>
    <row r="6261" spans="1:8" ht="15">
      <c r="A6261"/>
      <c r="B6261"/>
      <c r="D6261"/>
      <c r="E6261"/>
      <c r="F6261"/>
      <c r="H6261"/>
    </row>
    <row r="6262" spans="1:8" ht="15">
      <c r="A6262"/>
      <c r="B6262"/>
      <c r="D6262"/>
      <c r="E6262"/>
      <c r="F6262"/>
      <c r="H6262"/>
    </row>
    <row r="6263" spans="1:8" ht="15">
      <c r="A6263"/>
      <c r="B6263"/>
      <c r="D6263"/>
      <c r="E6263"/>
      <c r="F6263"/>
      <c r="H6263"/>
    </row>
    <row r="6264" spans="1:8" ht="15">
      <c r="A6264"/>
      <c r="B6264"/>
      <c r="D6264"/>
      <c r="E6264"/>
      <c r="F6264"/>
      <c r="H6264"/>
    </row>
    <row r="6265" spans="1:8" ht="15">
      <c r="A6265"/>
      <c r="B6265"/>
      <c r="D6265"/>
      <c r="E6265"/>
      <c r="F6265"/>
      <c r="H6265"/>
    </row>
    <row r="6266" spans="1:8" ht="15">
      <c r="A6266"/>
      <c r="B6266"/>
      <c r="D6266"/>
      <c r="E6266"/>
      <c r="F6266"/>
      <c r="H6266"/>
    </row>
    <row r="6267" spans="1:8" ht="15">
      <c r="A6267"/>
      <c r="B6267"/>
      <c r="D6267"/>
      <c r="E6267"/>
      <c r="F6267"/>
      <c r="H6267"/>
    </row>
    <row r="6268" spans="1:8" ht="15">
      <c r="A6268"/>
      <c r="B6268"/>
      <c r="D6268"/>
      <c r="E6268"/>
      <c r="F6268"/>
      <c r="H6268"/>
    </row>
    <row r="6269" spans="1:8" ht="15">
      <c r="A6269"/>
      <c r="B6269"/>
      <c r="D6269"/>
      <c r="E6269"/>
      <c r="F6269"/>
      <c r="H6269"/>
    </row>
    <row r="6270" spans="1:8" ht="15">
      <c r="A6270"/>
      <c r="B6270"/>
      <c r="D6270"/>
      <c r="E6270"/>
      <c r="F6270"/>
      <c r="H6270"/>
    </row>
    <row r="6271" spans="1:8" ht="15">
      <c r="A6271"/>
      <c r="B6271"/>
      <c r="D6271"/>
      <c r="E6271"/>
      <c r="F6271"/>
      <c r="H6271"/>
    </row>
    <row r="6272" spans="1:8" ht="15">
      <c r="A6272"/>
      <c r="B6272"/>
      <c r="D6272"/>
      <c r="E6272"/>
      <c r="F6272"/>
      <c r="H6272"/>
    </row>
    <row r="6273" spans="1:8" ht="15">
      <c r="A6273"/>
      <c r="B6273"/>
      <c r="D6273"/>
      <c r="E6273"/>
      <c r="F6273"/>
      <c r="H6273"/>
    </row>
    <row r="6274" spans="1:8" ht="15">
      <c r="A6274"/>
      <c r="B6274"/>
      <c r="D6274"/>
      <c r="E6274"/>
      <c r="F6274"/>
      <c r="H6274"/>
    </row>
    <row r="6275" spans="1:8" ht="15">
      <c r="A6275"/>
      <c r="B6275"/>
      <c r="D6275"/>
      <c r="E6275"/>
      <c r="F6275"/>
      <c r="H6275"/>
    </row>
    <row r="6276" spans="1:8" ht="15">
      <c r="A6276"/>
      <c r="B6276"/>
      <c r="D6276"/>
      <c r="E6276"/>
      <c r="F6276"/>
      <c r="H6276"/>
    </row>
    <row r="6277" spans="1:8" ht="15">
      <c r="A6277"/>
      <c r="B6277"/>
      <c r="D6277"/>
      <c r="E6277"/>
      <c r="F6277"/>
      <c r="H6277"/>
    </row>
    <row r="6278" spans="1:8" ht="15">
      <c r="A6278"/>
      <c r="B6278"/>
      <c r="D6278"/>
      <c r="E6278"/>
      <c r="F6278"/>
      <c r="H6278"/>
    </row>
    <row r="6279" spans="1:8" ht="15">
      <c r="A6279"/>
      <c r="B6279"/>
      <c r="D6279"/>
      <c r="E6279"/>
      <c r="F6279"/>
      <c r="H6279"/>
    </row>
    <row r="6280" spans="1:8" ht="15">
      <c r="A6280"/>
      <c r="B6280"/>
      <c r="D6280"/>
      <c r="E6280"/>
      <c r="F6280"/>
      <c r="H6280"/>
    </row>
    <row r="6281" spans="1:8" ht="15">
      <c r="A6281"/>
      <c r="B6281"/>
      <c r="D6281"/>
      <c r="E6281"/>
      <c r="F6281"/>
      <c r="H6281"/>
    </row>
    <row r="6282" spans="1:8" ht="15">
      <c r="A6282"/>
      <c r="B6282"/>
      <c r="D6282"/>
      <c r="E6282"/>
      <c r="F6282"/>
      <c r="H6282"/>
    </row>
    <row r="6283" spans="1:8" ht="15">
      <c r="A6283"/>
      <c r="B6283"/>
      <c r="D6283"/>
      <c r="E6283"/>
      <c r="F6283"/>
      <c r="H6283"/>
    </row>
    <row r="6284" spans="1:8" ht="15">
      <c r="A6284"/>
      <c r="B6284"/>
      <c r="D6284"/>
      <c r="E6284"/>
      <c r="F6284"/>
      <c r="H6284"/>
    </row>
    <row r="6285" spans="1:8" ht="15">
      <c r="A6285"/>
      <c r="B6285"/>
      <c r="D6285"/>
      <c r="E6285"/>
      <c r="F6285"/>
      <c r="H6285"/>
    </row>
    <row r="6286" spans="1:8" ht="15">
      <c r="A6286"/>
      <c r="B6286"/>
      <c r="D6286"/>
      <c r="E6286"/>
      <c r="F6286"/>
      <c r="H6286"/>
    </row>
    <row r="6287" spans="1:8" ht="15">
      <c r="A6287"/>
      <c r="B6287"/>
      <c r="D6287"/>
      <c r="E6287"/>
      <c r="F6287"/>
      <c r="H6287"/>
    </row>
    <row r="6288" spans="1:8" ht="15">
      <c r="A6288"/>
      <c r="B6288"/>
      <c r="D6288"/>
      <c r="E6288"/>
      <c r="F6288"/>
      <c r="H6288"/>
    </row>
    <row r="6289" spans="1:8" ht="15">
      <c r="A6289"/>
      <c r="B6289"/>
      <c r="D6289"/>
      <c r="E6289"/>
      <c r="F6289"/>
      <c r="H6289"/>
    </row>
    <row r="6290" spans="1:8" ht="15">
      <c r="A6290"/>
      <c r="B6290"/>
      <c r="D6290"/>
      <c r="E6290"/>
      <c r="F6290"/>
      <c r="H6290"/>
    </row>
    <row r="6291" spans="1:8" ht="15">
      <c r="A6291"/>
      <c r="B6291"/>
      <c r="D6291"/>
      <c r="E6291"/>
      <c r="F6291"/>
      <c r="H6291"/>
    </row>
    <row r="6292" spans="1:8" ht="15">
      <c r="A6292"/>
      <c r="B6292"/>
      <c r="D6292"/>
      <c r="E6292"/>
      <c r="F6292"/>
      <c r="H6292"/>
    </row>
    <row r="6293" spans="1:8" ht="15">
      <c r="A6293"/>
      <c r="B6293"/>
      <c r="D6293"/>
      <c r="E6293"/>
      <c r="F6293"/>
      <c r="H6293"/>
    </row>
    <row r="6294" spans="1:8" ht="15">
      <c r="A6294"/>
      <c r="B6294"/>
      <c r="D6294"/>
      <c r="E6294"/>
      <c r="F6294"/>
      <c r="H6294"/>
    </row>
    <row r="6295" spans="1:8" ht="15">
      <c r="A6295"/>
      <c r="B6295"/>
      <c r="D6295"/>
      <c r="E6295"/>
      <c r="F6295"/>
      <c r="H6295"/>
    </row>
    <row r="6296" spans="1:8" ht="15">
      <c r="A6296"/>
      <c r="B6296"/>
      <c r="D6296"/>
      <c r="E6296"/>
      <c r="F6296"/>
      <c r="H6296"/>
    </row>
    <row r="6297" spans="1:8" ht="15">
      <c r="A6297"/>
      <c r="B6297"/>
      <c r="D6297"/>
      <c r="E6297"/>
      <c r="F6297"/>
      <c r="H6297"/>
    </row>
    <row r="6298" spans="1:8" ht="15">
      <c r="A6298"/>
      <c r="B6298"/>
      <c r="D6298"/>
      <c r="E6298"/>
      <c r="F6298"/>
      <c r="H6298"/>
    </row>
    <row r="6299" spans="1:8" ht="15">
      <c r="A6299"/>
      <c r="B6299"/>
      <c r="D6299"/>
      <c r="E6299"/>
      <c r="F6299"/>
      <c r="H6299"/>
    </row>
    <row r="6300" spans="1:8" ht="15">
      <c r="A6300"/>
      <c r="B6300"/>
      <c r="D6300"/>
      <c r="E6300"/>
      <c r="F6300"/>
      <c r="H6300"/>
    </row>
    <row r="6301" spans="1:8" ht="15">
      <c r="A6301"/>
      <c r="B6301"/>
      <c r="D6301"/>
      <c r="E6301"/>
      <c r="F6301"/>
      <c r="H6301"/>
    </row>
    <row r="6302" spans="1:8" ht="15">
      <c r="A6302"/>
      <c r="B6302"/>
      <c r="D6302"/>
      <c r="E6302"/>
      <c r="F6302"/>
      <c r="H6302"/>
    </row>
    <row r="6303" spans="1:8" ht="15">
      <c r="A6303"/>
      <c r="B6303"/>
      <c r="D6303"/>
      <c r="E6303"/>
      <c r="F6303"/>
      <c r="H6303"/>
    </row>
    <row r="6304" spans="1:8" ht="15">
      <c r="A6304"/>
      <c r="B6304"/>
      <c r="D6304"/>
      <c r="E6304"/>
      <c r="F6304"/>
      <c r="H6304"/>
    </row>
    <row r="6305" spans="1:8" ht="15">
      <c r="A6305"/>
      <c r="B6305"/>
      <c r="D6305"/>
      <c r="E6305"/>
      <c r="F6305"/>
      <c r="H6305"/>
    </row>
    <row r="6306" spans="1:8" ht="15">
      <c r="A6306"/>
      <c r="B6306"/>
      <c r="D6306"/>
      <c r="E6306"/>
      <c r="F6306"/>
      <c r="H6306"/>
    </row>
    <row r="6307" spans="1:8" ht="15">
      <c r="A6307"/>
      <c r="B6307"/>
      <c r="D6307"/>
      <c r="E6307"/>
      <c r="F6307"/>
      <c r="H6307"/>
    </row>
    <row r="6308" spans="1:8" ht="15">
      <c r="A6308"/>
      <c r="B6308"/>
      <c r="D6308"/>
      <c r="E6308"/>
      <c r="F6308"/>
      <c r="H6308"/>
    </row>
    <row r="6309" spans="1:8" ht="15">
      <c r="A6309"/>
      <c r="B6309"/>
      <c r="D6309"/>
      <c r="E6309"/>
      <c r="F6309"/>
      <c r="H6309"/>
    </row>
    <row r="6310" spans="1:8" ht="15">
      <c r="A6310"/>
      <c r="B6310"/>
      <c r="D6310"/>
      <c r="E6310"/>
      <c r="F6310"/>
      <c r="H6310"/>
    </row>
    <row r="6311" spans="1:8" ht="15">
      <c r="A6311"/>
      <c r="B6311"/>
      <c r="D6311"/>
      <c r="E6311"/>
      <c r="F6311"/>
      <c r="H6311"/>
    </row>
    <row r="6312" spans="1:8" ht="15">
      <c r="A6312"/>
      <c r="B6312"/>
      <c r="D6312"/>
      <c r="E6312"/>
      <c r="F6312"/>
      <c r="H6312"/>
    </row>
    <row r="6313" spans="1:8" ht="15">
      <c r="A6313"/>
      <c r="B6313"/>
      <c r="D6313"/>
      <c r="E6313"/>
      <c r="F6313"/>
      <c r="H6313"/>
    </row>
    <row r="6314" spans="1:8" ht="15">
      <c r="A6314"/>
      <c r="B6314"/>
      <c r="D6314"/>
      <c r="E6314"/>
      <c r="F6314"/>
      <c r="H6314"/>
    </row>
    <row r="6315" spans="1:8" ht="15">
      <c r="A6315"/>
      <c r="B6315"/>
      <c r="D6315"/>
      <c r="E6315"/>
      <c r="F6315"/>
      <c r="H6315"/>
    </row>
    <row r="6316" spans="1:8" ht="15">
      <c r="A6316"/>
      <c r="B6316"/>
      <c r="D6316"/>
      <c r="E6316"/>
      <c r="F6316"/>
      <c r="H6316"/>
    </row>
    <row r="6317" spans="1:8" ht="15">
      <c r="A6317"/>
      <c r="B6317"/>
      <c r="D6317"/>
      <c r="E6317"/>
      <c r="F6317"/>
      <c r="H6317"/>
    </row>
    <row r="6318" spans="1:8" ht="15">
      <c r="A6318"/>
      <c r="B6318"/>
      <c r="D6318"/>
      <c r="E6318"/>
      <c r="F6318"/>
      <c r="H6318"/>
    </row>
    <row r="6319" spans="1:8" ht="15">
      <c r="A6319"/>
      <c r="B6319"/>
      <c r="D6319"/>
      <c r="E6319"/>
      <c r="F6319"/>
      <c r="H6319"/>
    </row>
    <row r="6320" spans="1:8" ht="15">
      <c r="A6320"/>
      <c r="B6320"/>
      <c r="D6320"/>
      <c r="E6320"/>
      <c r="F6320"/>
      <c r="H6320"/>
    </row>
    <row r="6321" spans="1:8" ht="15">
      <c r="A6321"/>
      <c r="B6321"/>
      <c r="D6321"/>
      <c r="E6321"/>
      <c r="F6321"/>
      <c r="H6321"/>
    </row>
    <row r="6322" spans="1:8" ht="15">
      <c r="A6322"/>
      <c r="B6322"/>
      <c r="D6322"/>
      <c r="E6322"/>
      <c r="F6322"/>
      <c r="H6322"/>
    </row>
    <row r="6323" spans="1:8" ht="15">
      <c r="A6323"/>
      <c r="B6323"/>
      <c r="D6323"/>
      <c r="E6323"/>
      <c r="F6323"/>
      <c r="H6323"/>
    </row>
    <row r="6324" spans="1:8" ht="15">
      <c r="A6324"/>
      <c r="B6324"/>
      <c r="D6324"/>
      <c r="E6324"/>
      <c r="F6324"/>
      <c r="H6324"/>
    </row>
    <row r="6325" spans="1:8" ht="15">
      <c r="A6325"/>
      <c r="B6325"/>
      <c r="D6325"/>
      <c r="E6325"/>
      <c r="F6325"/>
      <c r="H6325"/>
    </row>
    <row r="6326" spans="1:8" ht="15">
      <c r="A6326"/>
      <c r="B6326"/>
      <c r="D6326"/>
      <c r="E6326"/>
      <c r="F6326"/>
      <c r="H6326"/>
    </row>
    <row r="6327" spans="1:8" ht="15">
      <c r="A6327"/>
      <c r="B6327"/>
      <c r="D6327"/>
      <c r="E6327"/>
      <c r="F6327"/>
      <c r="H6327"/>
    </row>
    <row r="6328" spans="1:8" ht="15">
      <c r="A6328"/>
      <c r="B6328"/>
      <c r="D6328"/>
      <c r="E6328"/>
      <c r="F6328"/>
      <c r="H6328"/>
    </row>
    <row r="6329" spans="1:8" ht="15">
      <c r="A6329"/>
      <c r="B6329"/>
      <c r="D6329"/>
      <c r="E6329"/>
      <c r="F6329"/>
      <c r="H6329"/>
    </row>
    <row r="6330" spans="1:8" ht="15">
      <c r="A6330"/>
      <c r="B6330"/>
      <c r="D6330"/>
      <c r="E6330"/>
      <c r="F6330"/>
      <c r="H6330"/>
    </row>
    <row r="6331" spans="1:8" ht="15">
      <c r="A6331"/>
      <c r="B6331"/>
      <c r="D6331"/>
      <c r="E6331"/>
      <c r="F6331"/>
      <c r="H6331"/>
    </row>
    <row r="6332" spans="1:8" ht="15">
      <c r="A6332"/>
      <c r="B6332"/>
      <c r="D6332"/>
      <c r="E6332"/>
      <c r="F6332"/>
      <c r="H6332"/>
    </row>
    <row r="6333" spans="1:8" ht="15">
      <c r="A6333"/>
      <c r="B6333"/>
      <c r="D6333"/>
      <c r="E6333"/>
      <c r="F6333"/>
      <c r="H6333"/>
    </row>
    <row r="6334" spans="1:8" ht="15">
      <c r="A6334"/>
      <c r="B6334"/>
      <c r="D6334"/>
      <c r="E6334"/>
      <c r="F6334"/>
      <c r="H6334"/>
    </row>
    <row r="6335" spans="1:8" ht="15">
      <c r="A6335"/>
      <c r="B6335"/>
      <c r="D6335"/>
      <c r="E6335"/>
      <c r="F6335"/>
      <c r="H6335"/>
    </row>
    <row r="6336" spans="1:8" ht="15">
      <c r="A6336"/>
      <c r="B6336"/>
      <c r="D6336"/>
      <c r="E6336"/>
      <c r="F6336"/>
      <c r="H6336"/>
    </row>
    <row r="6337" spans="1:8" ht="15">
      <c r="A6337"/>
      <c r="B6337"/>
      <c r="D6337"/>
      <c r="E6337"/>
      <c r="F6337"/>
      <c r="H6337"/>
    </row>
    <row r="6338" spans="1:8" ht="15">
      <c r="A6338"/>
      <c r="B6338"/>
      <c r="D6338"/>
      <c r="E6338"/>
      <c r="F6338"/>
      <c r="H6338"/>
    </row>
    <row r="6339" spans="1:8" ht="15">
      <c r="A6339"/>
      <c r="B6339"/>
      <c r="D6339"/>
      <c r="E6339"/>
      <c r="F6339"/>
      <c r="H6339"/>
    </row>
    <row r="6340" spans="1:8" ht="15">
      <c r="A6340"/>
      <c r="B6340"/>
      <c r="D6340"/>
      <c r="E6340"/>
      <c r="F6340"/>
      <c r="H6340"/>
    </row>
    <row r="6341" spans="1:8" ht="15">
      <c r="A6341"/>
      <c r="B6341"/>
      <c r="D6341"/>
      <c r="E6341"/>
      <c r="F6341"/>
      <c r="H6341"/>
    </row>
    <row r="6342" spans="1:8" ht="15">
      <c r="A6342"/>
      <c r="B6342"/>
      <c r="D6342"/>
      <c r="E6342"/>
      <c r="F6342"/>
      <c r="H6342"/>
    </row>
    <row r="6343" spans="1:8" ht="15">
      <c r="A6343"/>
      <c r="B6343"/>
      <c r="D6343"/>
      <c r="E6343"/>
      <c r="F6343"/>
      <c r="H6343"/>
    </row>
    <row r="6344" spans="1:8" ht="15">
      <c r="A6344"/>
      <c r="B6344"/>
      <c r="D6344"/>
      <c r="E6344"/>
      <c r="F6344"/>
      <c r="H6344"/>
    </row>
    <row r="6345" spans="1:8" ht="15">
      <c r="A6345"/>
      <c r="B6345"/>
      <c r="D6345"/>
      <c r="E6345"/>
      <c r="F6345"/>
      <c r="H6345"/>
    </row>
    <row r="6346" spans="1:8" ht="15">
      <c r="A6346"/>
      <c r="B6346"/>
      <c r="D6346"/>
      <c r="E6346"/>
      <c r="F6346"/>
      <c r="H6346"/>
    </row>
    <row r="6347" spans="1:8" ht="15">
      <c r="A6347"/>
      <c r="B6347"/>
      <c r="D6347"/>
      <c r="E6347"/>
      <c r="F6347"/>
      <c r="H6347"/>
    </row>
    <row r="6348" spans="1:8" ht="15">
      <c r="A6348"/>
      <c r="B6348"/>
      <c r="D6348"/>
      <c r="E6348"/>
      <c r="F6348"/>
      <c r="H6348"/>
    </row>
    <row r="6349" spans="1:8" ht="15">
      <c r="A6349"/>
      <c r="B6349"/>
      <c r="D6349"/>
      <c r="E6349"/>
      <c r="F6349"/>
      <c r="H6349"/>
    </row>
    <row r="6350" spans="1:8" ht="15">
      <c r="A6350"/>
      <c r="B6350"/>
      <c r="D6350"/>
      <c r="E6350"/>
      <c r="F6350"/>
      <c r="H6350"/>
    </row>
    <row r="6351" spans="1:8" ht="15">
      <c r="A6351"/>
      <c r="B6351"/>
      <c r="D6351"/>
      <c r="E6351"/>
      <c r="F6351"/>
      <c r="H6351"/>
    </row>
    <row r="6352" spans="1:8" ht="15">
      <c r="A6352"/>
      <c r="B6352"/>
      <c r="D6352"/>
      <c r="E6352"/>
      <c r="F6352"/>
      <c r="H6352"/>
    </row>
    <row r="6353" spans="1:8" ht="15">
      <c r="A6353"/>
      <c r="B6353"/>
      <c r="D6353"/>
      <c r="E6353"/>
      <c r="F6353"/>
      <c r="H6353"/>
    </row>
    <row r="6354" spans="1:8" ht="15">
      <c r="A6354"/>
      <c r="B6354"/>
      <c r="D6354"/>
      <c r="E6354"/>
      <c r="F6354"/>
      <c r="H6354"/>
    </row>
    <row r="6355" spans="1:8" ht="15">
      <c r="A6355"/>
      <c r="B6355"/>
      <c r="D6355"/>
      <c r="E6355"/>
      <c r="F6355"/>
      <c r="H6355"/>
    </row>
    <row r="6356" spans="1:8" ht="15">
      <c r="A6356"/>
      <c r="B6356"/>
      <c r="D6356"/>
      <c r="E6356"/>
      <c r="F6356"/>
      <c r="H6356"/>
    </row>
    <row r="6357" spans="1:8" ht="15">
      <c r="A6357"/>
      <c r="B6357"/>
      <c r="D6357"/>
      <c r="E6357"/>
      <c r="F6357"/>
      <c r="H6357"/>
    </row>
    <row r="6358" spans="1:8" ht="15">
      <c r="A6358"/>
      <c r="B6358"/>
      <c r="D6358"/>
      <c r="E6358"/>
      <c r="F6358"/>
      <c r="H6358"/>
    </row>
    <row r="6359" spans="1:8" ht="15">
      <c r="A6359"/>
      <c r="B6359"/>
      <c r="D6359"/>
      <c r="E6359"/>
      <c r="F6359"/>
      <c r="H6359"/>
    </row>
    <row r="6360" spans="1:8" ht="15">
      <c r="A6360"/>
      <c r="B6360"/>
      <c r="D6360"/>
      <c r="E6360"/>
      <c r="F6360"/>
      <c r="H6360"/>
    </row>
    <row r="6361" spans="1:8" ht="15">
      <c r="A6361"/>
      <c r="B6361"/>
      <c r="D6361"/>
      <c r="E6361"/>
      <c r="F6361"/>
      <c r="H6361"/>
    </row>
    <row r="6362" spans="1:8" ht="15">
      <c r="A6362"/>
      <c r="B6362"/>
      <c r="D6362"/>
      <c r="E6362"/>
      <c r="F6362"/>
      <c r="H6362"/>
    </row>
    <row r="6363" spans="1:8" ht="15">
      <c r="A6363"/>
      <c r="B6363"/>
      <c r="D6363"/>
      <c r="E6363"/>
      <c r="F6363"/>
      <c r="H6363"/>
    </row>
    <row r="6364" spans="1:8" ht="15">
      <c r="A6364"/>
      <c r="B6364"/>
      <c r="D6364"/>
      <c r="E6364"/>
      <c r="F6364"/>
      <c r="H6364"/>
    </row>
    <row r="6365" spans="1:8" ht="15">
      <c r="A6365"/>
      <c r="B6365"/>
      <c r="D6365"/>
      <c r="E6365"/>
      <c r="F6365"/>
      <c r="H6365"/>
    </row>
    <row r="6366" spans="1:8" ht="15">
      <c r="A6366"/>
      <c r="B6366"/>
      <c r="D6366"/>
      <c r="E6366"/>
      <c r="F6366"/>
      <c r="H6366"/>
    </row>
    <row r="6367" spans="1:8" ht="15">
      <c r="A6367"/>
      <c r="B6367"/>
      <c r="D6367"/>
      <c r="E6367"/>
      <c r="F6367"/>
      <c r="H6367"/>
    </row>
    <row r="6368" spans="1:8" ht="15">
      <c r="A6368"/>
      <c r="B6368"/>
      <c r="D6368"/>
      <c r="E6368"/>
      <c r="F6368"/>
      <c r="H6368"/>
    </row>
    <row r="6369" spans="1:8" ht="15">
      <c r="A6369"/>
      <c r="B6369"/>
      <c r="D6369"/>
      <c r="E6369"/>
      <c r="F6369"/>
      <c r="H6369"/>
    </row>
    <row r="6370" spans="1:8" ht="15">
      <c r="A6370"/>
      <c r="B6370"/>
      <c r="D6370"/>
      <c r="E6370"/>
      <c r="F6370"/>
      <c r="H6370"/>
    </row>
    <row r="6371" spans="1:8" ht="15">
      <c r="A6371"/>
      <c r="B6371"/>
      <c r="D6371"/>
      <c r="E6371"/>
      <c r="F6371"/>
      <c r="H6371"/>
    </row>
    <row r="6372" spans="1:8" ht="15">
      <c r="A6372"/>
      <c r="B6372"/>
      <c r="D6372"/>
      <c r="E6372"/>
      <c r="F6372"/>
      <c r="H6372"/>
    </row>
    <row r="6373" spans="1:8" ht="15">
      <c r="A6373"/>
      <c r="B6373"/>
      <c r="D6373"/>
      <c r="E6373"/>
      <c r="F6373"/>
      <c r="H6373"/>
    </row>
    <row r="6374" spans="1:8" ht="15">
      <c r="A6374"/>
      <c r="B6374"/>
      <c r="D6374"/>
      <c r="E6374"/>
      <c r="F6374"/>
      <c r="H6374"/>
    </row>
    <row r="6375" spans="1:8" ht="15">
      <c r="A6375"/>
      <c r="B6375"/>
      <c r="D6375"/>
      <c r="E6375"/>
      <c r="F6375"/>
      <c r="H6375"/>
    </row>
    <row r="6376" spans="1:8" ht="15">
      <c r="A6376"/>
      <c r="B6376"/>
      <c r="D6376"/>
      <c r="E6376"/>
      <c r="F6376"/>
      <c r="H6376"/>
    </row>
    <row r="6377" spans="1:8" ht="15">
      <c r="A6377"/>
      <c r="B6377"/>
      <c r="D6377"/>
      <c r="E6377"/>
      <c r="F6377"/>
      <c r="H6377"/>
    </row>
    <row r="6378" spans="1:8" ht="15">
      <c r="A6378"/>
      <c r="B6378"/>
      <c r="D6378"/>
      <c r="E6378"/>
      <c r="F6378"/>
      <c r="H6378"/>
    </row>
    <row r="6379" spans="1:8" ht="15">
      <c r="A6379"/>
      <c r="B6379"/>
      <c r="D6379"/>
      <c r="E6379"/>
      <c r="F6379"/>
      <c r="H6379"/>
    </row>
    <row r="6380" spans="1:8" ht="15">
      <c r="A6380"/>
      <c r="B6380"/>
      <c r="D6380"/>
      <c r="E6380"/>
      <c r="F6380"/>
      <c r="H6380"/>
    </row>
    <row r="6381" spans="1:8" ht="15">
      <c r="A6381"/>
      <c r="B6381"/>
      <c r="D6381"/>
      <c r="E6381"/>
      <c r="F6381"/>
      <c r="H6381"/>
    </row>
    <row r="6382" spans="1:8" ht="15">
      <c r="A6382"/>
      <c r="B6382"/>
      <c r="D6382"/>
      <c r="E6382"/>
      <c r="F6382"/>
      <c r="H6382"/>
    </row>
    <row r="6383" spans="1:8" ht="15">
      <c r="A6383"/>
      <c r="B6383"/>
      <c r="D6383"/>
      <c r="E6383"/>
      <c r="F6383"/>
      <c r="H6383"/>
    </row>
    <row r="6384" spans="1:8" ht="15">
      <c r="A6384"/>
      <c r="B6384"/>
      <c r="D6384"/>
      <c r="E6384"/>
      <c r="F6384"/>
      <c r="H6384"/>
    </row>
    <row r="6385" spans="1:8" ht="15">
      <c r="A6385"/>
      <c r="B6385"/>
      <c r="D6385"/>
      <c r="E6385"/>
      <c r="F6385"/>
      <c r="H6385"/>
    </row>
    <row r="6386" spans="1:8" ht="15">
      <c r="A6386"/>
      <c r="B6386"/>
      <c r="D6386"/>
      <c r="E6386"/>
      <c r="F6386"/>
      <c r="H6386"/>
    </row>
    <row r="6387" spans="1:8" ht="15">
      <c r="A6387"/>
      <c r="B6387"/>
      <c r="D6387"/>
      <c r="E6387"/>
      <c r="F6387"/>
      <c r="H6387"/>
    </row>
    <row r="6388" spans="1:8" ht="15">
      <c r="A6388"/>
      <c r="B6388"/>
      <c r="D6388"/>
      <c r="E6388"/>
      <c r="F6388"/>
      <c r="H6388"/>
    </row>
    <row r="6389" spans="1:8" ht="15">
      <c r="A6389"/>
      <c r="B6389"/>
      <c r="D6389"/>
      <c r="E6389"/>
      <c r="F6389"/>
      <c r="H6389"/>
    </row>
    <row r="6390" spans="1:8" ht="15">
      <c r="A6390"/>
      <c r="B6390"/>
      <c r="D6390"/>
      <c r="E6390"/>
      <c r="F6390"/>
      <c r="H6390"/>
    </row>
    <row r="6391" spans="1:8" ht="15">
      <c r="A6391"/>
      <c r="B6391"/>
      <c r="D6391"/>
      <c r="E6391"/>
      <c r="F6391"/>
      <c r="H6391"/>
    </row>
    <row r="6392" spans="1:8" ht="15">
      <c r="A6392"/>
      <c r="B6392"/>
      <c r="D6392"/>
      <c r="E6392"/>
      <c r="F6392"/>
      <c r="H6392"/>
    </row>
    <row r="6393" spans="1:8" ht="15">
      <c r="A6393"/>
      <c r="B6393"/>
      <c r="D6393"/>
      <c r="E6393"/>
      <c r="F6393"/>
      <c r="H6393"/>
    </row>
    <row r="6394" spans="1:8" ht="15">
      <c r="A6394"/>
      <c r="B6394"/>
      <c r="D6394"/>
      <c r="E6394"/>
      <c r="F6394"/>
      <c r="H6394"/>
    </row>
    <row r="6395" spans="1:8" ht="15">
      <c r="A6395"/>
      <c r="B6395"/>
      <c r="D6395"/>
      <c r="E6395"/>
      <c r="F6395"/>
      <c r="H6395"/>
    </row>
    <row r="6396" spans="1:8" ht="15">
      <c r="A6396"/>
      <c r="B6396"/>
      <c r="D6396"/>
      <c r="E6396"/>
      <c r="F6396"/>
      <c r="H6396"/>
    </row>
    <row r="6397" spans="1:8" ht="15">
      <c r="A6397"/>
      <c r="B6397"/>
      <c r="D6397"/>
      <c r="E6397"/>
      <c r="F6397"/>
      <c r="H6397"/>
    </row>
    <row r="6398" spans="1:8" ht="15">
      <c r="A6398"/>
      <c r="B6398"/>
      <c r="D6398"/>
      <c r="E6398"/>
      <c r="F6398"/>
      <c r="H6398"/>
    </row>
    <row r="6399" spans="1:8" ht="15">
      <c r="A6399"/>
      <c r="B6399"/>
      <c r="D6399"/>
      <c r="E6399"/>
      <c r="F6399"/>
      <c r="H6399"/>
    </row>
    <row r="6400" spans="1:8" ht="15">
      <c r="A6400"/>
      <c r="B6400"/>
      <c r="D6400"/>
      <c r="E6400"/>
      <c r="F6400"/>
      <c r="H6400"/>
    </row>
    <row r="6401" spans="1:8" ht="15">
      <c r="A6401"/>
      <c r="B6401"/>
      <c r="D6401"/>
      <c r="E6401"/>
      <c r="F6401"/>
      <c r="H6401"/>
    </row>
    <row r="6402" spans="1:8" ht="15">
      <c r="A6402"/>
      <c r="B6402"/>
      <c r="D6402"/>
      <c r="E6402"/>
      <c r="F6402"/>
      <c r="H6402"/>
    </row>
    <row r="6403" spans="1:8" ht="15">
      <c r="A6403"/>
      <c r="B6403"/>
      <c r="D6403"/>
      <c r="E6403"/>
      <c r="F6403"/>
      <c r="H6403"/>
    </row>
    <row r="6404" spans="1:8" ht="15">
      <c r="A6404"/>
      <c r="B6404"/>
      <c r="D6404"/>
      <c r="E6404"/>
      <c r="F6404"/>
      <c r="H6404"/>
    </row>
    <row r="6405" spans="1:8" ht="15">
      <c r="A6405"/>
      <c r="B6405"/>
      <c r="D6405"/>
      <c r="E6405"/>
      <c r="F6405"/>
      <c r="H6405"/>
    </row>
    <row r="6406" spans="1:8" ht="15">
      <c r="A6406"/>
      <c r="B6406"/>
      <c r="D6406"/>
      <c r="E6406"/>
      <c r="F6406"/>
      <c r="H6406"/>
    </row>
    <row r="6407" spans="1:8" ht="15">
      <c r="A6407"/>
      <c r="B6407"/>
      <c r="D6407"/>
      <c r="E6407"/>
      <c r="F6407"/>
      <c r="H6407"/>
    </row>
    <row r="6408" spans="1:8" ht="15">
      <c r="A6408"/>
      <c r="B6408"/>
      <c r="D6408"/>
      <c r="E6408"/>
      <c r="F6408"/>
      <c r="H6408"/>
    </row>
    <row r="6409" spans="1:8" ht="15">
      <c r="A6409"/>
      <c r="B6409"/>
      <c r="D6409"/>
      <c r="E6409"/>
      <c r="F6409"/>
      <c r="H6409"/>
    </row>
    <row r="6410" spans="1:8" ht="15">
      <c r="A6410"/>
      <c r="B6410"/>
      <c r="D6410"/>
      <c r="E6410"/>
      <c r="F6410"/>
      <c r="H6410"/>
    </row>
    <row r="6411" spans="1:8" ht="15">
      <c r="A6411"/>
      <c r="B6411"/>
      <c r="D6411"/>
      <c r="E6411"/>
      <c r="F6411"/>
      <c r="H6411"/>
    </row>
    <row r="6412" spans="1:8" ht="15">
      <c r="A6412"/>
      <c r="B6412"/>
      <c r="D6412"/>
      <c r="E6412"/>
      <c r="F6412"/>
      <c r="H6412"/>
    </row>
    <row r="6413" spans="1:8" ht="15">
      <c r="A6413"/>
      <c r="B6413"/>
      <c r="D6413"/>
      <c r="E6413"/>
      <c r="F6413"/>
      <c r="H6413"/>
    </row>
    <row r="6414" spans="1:8" ht="15">
      <c r="A6414"/>
      <c r="B6414"/>
      <c r="D6414"/>
      <c r="E6414"/>
      <c r="F6414"/>
      <c r="H6414"/>
    </row>
    <row r="6415" spans="1:8" ht="15">
      <c r="A6415"/>
      <c r="B6415"/>
      <c r="D6415"/>
      <c r="E6415"/>
      <c r="F6415"/>
      <c r="H6415"/>
    </row>
    <row r="6416" spans="1:8" ht="15">
      <c r="A6416"/>
      <c r="B6416"/>
      <c r="D6416"/>
      <c r="E6416"/>
      <c r="F6416"/>
      <c r="H6416"/>
    </row>
    <row r="6417" spans="1:8" ht="15">
      <c r="A6417"/>
      <c r="B6417"/>
      <c r="D6417"/>
      <c r="E6417"/>
      <c r="F6417"/>
      <c r="H6417"/>
    </row>
    <row r="6418" spans="1:8" ht="15">
      <c r="A6418"/>
      <c r="B6418"/>
      <c r="D6418"/>
      <c r="E6418"/>
      <c r="F6418"/>
      <c r="H6418"/>
    </row>
    <row r="6419" spans="1:8" ht="15">
      <c r="A6419"/>
      <c r="B6419"/>
      <c r="D6419"/>
      <c r="E6419"/>
      <c r="F6419"/>
      <c r="H6419"/>
    </row>
    <row r="6420" spans="1:8" ht="15">
      <c r="A6420"/>
      <c r="B6420"/>
      <c r="D6420"/>
      <c r="E6420"/>
      <c r="F6420"/>
      <c r="H6420"/>
    </row>
    <row r="6421" spans="1:8" ht="15">
      <c r="A6421"/>
      <c r="B6421"/>
      <c r="D6421"/>
      <c r="E6421"/>
      <c r="F6421"/>
      <c r="H6421"/>
    </row>
    <row r="6422" spans="1:8" ht="15">
      <c r="A6422"/>
      <c r="B6422"/>
      <c r="D6422"/>
      <c r="E6422"/>
      <c r="F6422"/>
      <c r="H6422"/>
    </row>
    <row r="6423" spans="1:8" ht="15">
      <c r="A6423"/>
      <c r="B6423"/>
      <c r="D6423"/>
      <c r="E6423"/>
      <c r="F6423"/>
      <c r="H6423"/>
    </row>
    <row r="6424" spans="1:8" ht="15">
      <c r="A6424"/>
      <c r="B6424"/>
      <c r="D6424"/>
      <c r="E6424"/>
      <c r="F6424"/>
      <c r="H6424"/>
    </row>
    <row r="6425" spans="1:8" ht="15">
      <c r="A6425"/>
      <c r="B6425"/>
      <c r="D6425"/>
      <c r="E6425"/>
      <c r="F6425"/>
      <c r="H6425"/>
    </row>
    <row r="6426" spans="1:8" ht="15">
      <c r="A6426"/>
      <c r="B6426"/>
      <c r="D6426"/>
      <c r="E6426"/>
      <c r="F6426"/>
      <c r="H6426"/>
    </row>
    <row r="6427" spans="1:8" ht="15">
      <c r="A6427"/>
      <c r="B6427"/>
      <c r="D6427"/>
      <c r="E6427"/>
      <c r="F6427"/>
      <c r="H6427"/>
    </row>
    <row r="6428" spans="1:8" ht="15">
      <c r="A6428"/>
      <c r="B6428"/>
      <c r="D6428"/>
      <c r="E6428"/>
      <c r="F6428"/>
      <c r="H6428"/>
    </row>
    <row r="6429" spans="1:8" ht="15">
      <c r="A6429"/>
      <c r="B6429"/>
      <c r="D6429"/>
      <c r="E6429"/>
      <c r="F6429"/>
      <c r="H6429"/>
    </row>
    <row r="6430" spans="1:8" ht="15">
      <c r="A6430"/>
      <c r="B6430"/>
      <c r="D6430"/>
      <c r="E6430"/>
      <c r="F6430"/>
      <c r="H6430"/>
    </row>
    <row r="6431" spans="1:8" ht="15">
      <c r="A6431"/>
      <c r="B6431"/>
      <c r="D6431"/>
      <c r="E6431"/>
      <c r="F6431"/>
      <c r="H6431"/>
    </row>
    <row r="6432" spans="1:8" ht="15">
      <c r="A6432"/>
      <c r="B6432"/>
      <c r="D6432"/>
      <c r="E6432"/>
      <c r="F6432"/>
      <c r="H6432"/>
    </row>
    <row r="6433" spans="1:8" ht="15">
      <c r="A6433"/>
      <c r="B6433"/>
      <c r="D6433"/>
      <c r="E6433"/>
      <c r="F6433"/>
      <c r="H6433"/>
    </row>
    <row r="6434" spans="1:8" ht="15">
      <c r="A6434"/>
      <c r="B6434"/>
      <c r="D6434"/>
      <c r="E6434"/>
      <c r="F6434"/>
      <c r="H6434"/>
    </row>
    <row r="6435" spans="1:8" ht="15">
      <c r="A6435"/>
      <c r="B6435"/>
      <c r="D6435"/>
      <c r="E6435"/>
      <c r="F6435"/>
      <c r="H6435"/>
    </row>
    <row r="6436" spans="1:8" ht="15">
      <c r="A6436"/>
      <c r="B6436"/>
      <c r="D6436"/>
      <c r="E6436"/>
      <c r="F6436"/>
      <c r="H6436"/>
    </row>
    <row r="6437" spans="1:8" ht="15">
      <c r="A6437"/>
      <c r="B6437"/>
      <c r="D6437"/>
      <c r="E6437"/>
      <c r="F6437"/>
      <c r="H6437"/>
    </row>
    <row r="6438" spans="1:8" ht="15">
      <c r="A6438"/>
      <c r="B6438"/>
      <c r="D6438"/>
      <c r="E6438"/>
      <c r="F6438"/>
      <c r="H6438"/>
    </row>
    <row r="6439" spans="1:8" ht="15">
      <c r="A6439"/>
      <c r="B6439"/>
      <c r="D6439"/>
      <c r="E6439"/>
      <c r="F6439"/>
      <c r="H6439"/>
    </row>
    <row r="6440" spans="1:8" ht="15">
      <c r="A6440"/>
      <c r="B6440"/>
      <c r="D6440"/>
      <c r="E6440"/>
      <c r="F6440"/>
      <c r="H6440"/>
    </row>
    <row r="6441" spans="1:8" ht="15">
      <c r="A6441"/>
      <c r="B6441"/>
      <c r="D6441"/>
      <c r="E6441"/>
      <c r="F6441"/>
      <c r="H6441"/>
    </row>
    <row r="6442" spans="1:8" ht="15">
      <c r="A6442"/>
      <c r="B6442"/>
      <c r="D6442"/>
      <c r="E6442"/>
      <c r="F6442"/>
      <c r="H6442"/>
    </row>
    <row r="6443" spans="1:8" ht="15">
      <c r="A6443"/>
      <c r="B6443"/>
      <c r="D6443"/>
      <c r="E6443"/>
      <c r="F6443"/>
      <c r="H6443"/>
    </row>
    <row r="6444" spans="1:8" ht="15">
      <c r="A6444"/>
      <c r="B6444"/>
      <c r="D6444"/>
      <c r="E6444"/>
      <c r="F6444"/>
      <c r="H6444"/>
    </row>
    <row r="6445" spans="1:8" ht="15">
      <c r="A6445"/>
      <c r="B6445"/>
      <c r="D6445"/>
      <c r="E6445"/>
      <c r="F6445"/>
      <c r="H6445"/>
    </row>
    <row r="6446" spans="1:8" ht="15">
      <c r="A6446"/>
      <c r="B6446"/>
      <c r="D6446"/>
      <c r="E6446"/>
      <c r="F6446"/>
      <c r="H6446"/>
    </row>
    <row r="6447" spans="1:8" ht="15">
      <c r="A6447"/>
      <c r="B6447"/>
      <c r="D6447"/>
      <c r="E6447"/>
      <c r="F6447"/>
      <c r="H6447"/>
    </row>
    <row r="6448" spans="1:8" ht="15">
      <c r="A6448"/>
      <c r="B6448"/>
      <c r="D6448"/>
      <c r="E6448"/>
      <c r="F6448"/>
      <c r="H6448"/>
    </row>
    <row r="6449" spans="1:8" ht="15">
      <c r="A6449"/>
      <c r="B6449"/>
      <c r="D6449"/>
      <c r="E6449"/>
      <c r="F6449"/>
      <c r="H6449"/>
    </row>
    <row r="6450" spans="1:8" ht="15">
      <c r="A6450"/>
      <c r="B6450"/>
      <c r="D6450"/>
      <c r="E6450"/>
      <c r="F6450"/>
      <c r="H6450"/>
    </row>
    <row r="6451" spans="1:8" ht="15">
      <c r="A6451"/>
      <c r="B6451"/>
      <c r="D6451"/>
      <c r="E6451"/>
      <c r="F6451"/>
      <c r="H6451"/>
    </row>
    <row r="6452" spans="1:8" ht="15">
      <c r="A6452"/>
      <c r="B6452"/>
      <c r="D6452"/>
      <c r="E6452"/>
      <c r="F6452"/>
      <c r="H6452"/>
    </row>
    <row r="6453" spans="1:8" ht="15">
      <c r="A6453"/>
      <c r="B6453"/>
      <c r="D6453"/>
      <c r="E6453"/>
      <c r="F6453"/>
      <c r="H6453"/>
    </row>
    <row r="6454" spans="1:8" ht="15">
      <c r="A6454"/>
      <c r="B6454"/>
      <c r="D6454"/>
      <c r="E6454"/>
      <c r="F6454"/>
      <c r="H6454"/>
    </row>
    <row r="6455" spans="1:8" ht="15">
      <c r="A6455"/>
      <c r="B6455"/>
      <c r="D6455"/>
      <c r="E6455"/>
      <c r="F6455"/>
      <c r="H6455"/>
    </row>
    <row r="6456" spans="1:8" ht="15">
      <c r="A6456"/>
      <c r="B6456"/>
      <c r="D6456"/>
      <c r="E6456"/>
      <c r="F6456"/>
      <c r="H6456"/>
    </row>
    <row r="6457" spans="1:8" ht="15">
      <c r="A6457"/>
      <c r="B6457"/>
      <c r="D6457"/>
      <c r="E6457"/>
      <c r="F6457"/>
      <c r="H6457"/>
    </row>
    <row r="6458" spans="1:8" ht="15">
      <c r="A6458"/>
      <c r="B6458"/>
      <c r="D6458"/>
      <c r="E6458"/>
      <c r="F6458"/>
      <c r="H6458"/>
    </row>
    <row r="6459" spans="1:8" ht="15">
      <c r="A6459"/>
      <c r="B6459"/>
      <c r="D6459"/>
      <c r="E6459"/>
      <c r="F6459"/>
      <c r="H6459"/>
    </row>
    <row r="6460" spans="1:8" ht="15">
      <c r="A6460"/>
      <c r="B6460"/>
      <c r="D6460"/>
      <c r="E6460"/>
      <c r="F6460"/>
      <c r="H6460"/>
    </row>
    <row r="6461" spans="1:8" ht="15">
      <c r="A6461"/>
      <c r="B6461"/>
      <c r="D6461"/>
      <c r="E6461"/>
      <c r="F6461"/>
      <c r="H6461"/>
    </row>
    <row r="6462" spans="1:8" ht="15">
      <c r="A6462"/>
      <c r="B6462"/>
      <c r="D6462"/>
      <c r="E6462"/>
      <c r="F6462"/>
      <c r="H6462"/>
    </row>
    <row r="6463" spans="1:8" ht="15">
      <c r="A6463"/>
      <c r="B6463"/>
      <c r="D6463"/>
      <c r="E6463"/>
      <c r="F6463"/>
      <c r="H6463"/>
    </row>
    <row r="6464" spans="1:8" ht="15">
      <c r="A6464"/>
      <c r="B6464"/>
      <c r="D6464"/>
      <c r="E6464"/>
      <c r="F6464"/>
      <c r="H6464"/>
    </row>
    <row r="6465" spans="1:8" ht="15">
      <c r="A6465"/>
      <c r="B6465"/>
      <c r="D6465"/>
      <c r="E6465"/>
      <c r="F6465"/>
      <c r="H6465"/>
    </row>
    <row r="6466" spans="1:8" ht="15">
      <c r="A6466"/>
      <c r="B6466"/>
      <c r="D6466"/>
      <c r="E6466"/>
      <c r="F6466"/>
      <c r="H6466"/>
    </row>
    <row r="6467" spans="1:8" ht="15">
      <c r="A6467"/>
      <c r="B6467"/>
      <c r="D6467"/>
      <c r="E6467"/>
      <c r="F6467"/>
      <c r="H6467"/>
    </row>
    <row r="6468" spans="1:8" ht="15">
      <c r="A6468"/>
      <c r="B6468"/>
      <c r="D6468"/>
      <c r="E6468"/>
      <c r="F6468"/>
      <c r="H6468"/>
    </row>
    <row r="6469" spans="1:8" ht="15">
      <c r="A6469"/>
      <c r="B6469"/>
      <c r="D6469"/>
      <c r="E6469"/>
      <c r="F6469"/>
      <c r="H6469"/>
    </row>
    <row r="6470" spans="1:8" ht="15">
      <c r="A6470"/>
      <c r="B6470"/>
      <c r="D6470"/>
      <c r="E6470"/>
      <c r="F6470"/>
      <c r="H6470"/>
    </row>
    <row r="6471" spans="1:8" ht="15">
      <c r="A6471"/>
      <c r="B6471"/>
      <c r="D6471"/>
      <c r="E6471"/>
      <c r="F6471"/>
      <c r="H6471"/>
    </row>
    <row r="6472" spans="1:8" ht="15">
      <c r="A6472"/>
      <c r="B6472"/>
      <c r="D6472"/>
      <c r="E6472"/>
      <c r="F6472"/>
      <c r="H6472"/>
    </row>
    <row r="6473" spans="1:8" ht="15">
      <c r="A6473"/>
      <c r="B6473"/>
      <c r="D6473"/>
      <c r="E6473"/>
      <c r="F6473"/>
      <c r="H6473"/>
    </row>
    <row r="6474" spans="1:8" ht="15">
      <c r="A6474"/>
      <c r="B6474"/>
      <c r="D6474"/>
      <c r="E6474"/>
      <c r="F6474"/>
      <c r="H6474"/>
    </row>
    <row r="6475" spans="1:8" ht="15">
      <c r="A6475"/>
      <c r="B6475"/>
      <c r="D6475"/>
      <c r="E6475"/>
      <c r="F6475"/>
      <c r="H6475"/>
    </row>
    <row r="6476" spans="1:8" ht="15">
      <c r="A6476"/>
      <c r="B6476"/>
      <c r="D6476"/>
      <c r="E6476"/>
      <c r="F6476"/>
      <c r="H6476"/>
    </row>
    <row r="6477" spans="1:8" ht="15">
      <c r="A6477"/>
      <c r="B6477"/>
      <c r="D6477"/>
      <c r="E6477"/>
      <c r="F6477"/>
      <c r="H6477"/>
    </row>
    <row r="6478" spans="1:8" ht="15">
      <c r="A6478"/>
      <c r="B6478"/>
      <c r="D6478"/>
      <c r="E6478"/>
      <c r="F6478"/>
      <c r="H6478"/>
    </row>
    <row r="6479" spans="1:8" ht="15">
      <c r="A6479"/>
      <c r="B6479"/>
      <c r="D6479"/>
      <c r="E6479"/>
      <c r="F6479"/>
      <c r="H6479"/>
    </row>
    <row r="6480" spans="1:8" ht="15">
      <c r="A6480"/>
      <c r="B6480"/>
      <c r="D6480"/>
      <c r="E6480"/>
      <c r="F6480"/>
      <c r="H6480"/>
    </row>
    <row r="6481" spans="1:8" ht="15">
      <c r="A6481"/>
      <c r="B6481"/>
      <c r="D6481"/>
      <c r="E6481"/>
      <c r="F6481"/>
      <c r="H6481"/>
    </row>
    <row r="6482" spans="1:8" ht="15">
      <c r="A6482"/>
      <c r="B6482"/>
      <c r="D6482"/>
      <c r="E6482"/>
      <c r="F6482"/>
      <c r="H6482"/>
    </row>
    <row r="6483" spans="1:8" ht="15">
      <c r="A6483"/>
      <c r="B6483"/>
      <c r="D6483"/>
      <c r="E6483"/>
      <c r="F6483"/>
      <c r="H6483"/>
    </row>
    <row r="6484" spans="1:8" ht="15">
      <c r="A6484"/>
      <c r="B6484"/>
      <c r="D6484"/>
      <c r="E6484"/>
      <c r="F6484"/>
      <c r="H6484"/>
    </row>
    <row r="6485" spans="1:8" ht="15">
      <c r="A6485"/>
      <c r="B6485"/>
      <c r="D6485"/>
      <c r="E6485"/>
      <c r="F6485"/>
      <c r="H6485"/>
    </row>
    <row r="6486" spans="1:8" ht="15">
      <c r="A6486"/>
      <c r="B6486"/>
      <c r="D6486"/>
      <c r="E6486"/>
      <c r="F6486"/>
      <c r="H6486"/>
    </row>
    <row r="6487" spans="1:8" ht="15">
      <c r="A6487"/>
      <c r="B6487"/>
      <c r="D6487"/>
      <c r="E6487"/>
      <c r="F6487"/>
      <c r="H6487"/>
    </row>
    <row r="6488" spans="1:8" ht="15">
      <c r="A6488"/>
      <c r="B6488"/>
      <c r="D6488"/>
      <c r="E6488"/>
      <c r="F6488"/>
      <c r="H6488"/>
    </row>
    <row r="6489" spans="1:8" ht="15">
      <c r="A6489"/>
      <c r="B6489"/>
      <c r="D6489"/>
      <c r="E6489"/>
      <c r="F6489"/>
      <c r="H6489"/>
    </row>
    <row r="6490" spans="1:8" ht="15">
      <c r="A6490"/>
      <c r="B6490"/>
      <c r="D6490"/>
      <c r="E6490"/>
      <c r="F6490"/>
      <c r="H6490"/>
    </row>
    <row r="6491" spans="1:8" ht="15">
      <c r="A6491"/>
      <c r="B6491"/>
      <c r="D6491"/>
      <c r="E6491"/>
      <c r="F6491"/>
      <c r="H6491"/>
    </row>
    <row r="6492" spans="1:8" ht="15">
      <c r="A6492"/>
      <c r="B6492"/>
      <c r="D6492"/>
      <c r="E6492"/>
      <c r="F6492"/>
      <c r="H6492"/>
    </row>
    <row r="6493" spans="1:8" ht="15">
      <c r="A6493"/>
      <c r="B6493"/>
      <c r="D6493"/>
      <c r="E6493"/>
      <c r="F6493"/>
      <c r="H6493"/>
    </row>
    <row r="6494" spans="1:8" ht="15">
      <c r="A6494"/>
      <c r="B6494"/>
      <c r="D6494"/>
      <c r="E6494"/>
      <c r="F6494"/>
      <c r="H6494"/>
    </row>
    <row r="6495" spans="1:8" ht="15">
      <c r="A6495"/>
      <c r="B6495"/>
      <c r="D6495"/>
      <c r="E6495"/>
      <c r="F6495"/>
      <c r="H6495"/>
    </row>
    <row r="6496" spans="1:8" ht="15">
      <c r="A6496"/>
      <c r="B6496"/>
      <c r="D6496"/>
      <c r="E6496"/>
      <c r="F6496"/>
      <c r="H6496"/>
    </row>
    <row r="6497" spans="1:8" ht="15">
      <c r="A6497"/>
      <c r="B6497"/>
      <c r="D6497"/>
      <c r="E6497"/>
      <c r="F6497"/>
      <c r="H6497"/>
    </row>
    <row r="6498" spans="1:8" ht="15">
      <c r="A6498"/>
      <c r="B6498"/>
      <c r="D6498"/>
      <c r="E6498"/>
      <c r="F6498"/>
      <c r="H6498"/>
    </row>
    <row r="6499" spans="1:8" ht="15">
      <c r="A6499"/>
      <c r="B6499"/>
      <c r="D6499"/>
      <c r="E6499"/>
      <c r="F6499"/>
      <c r="H6499"/>
    </row>
    <row r="6500" spans="1:8" ht="15">
      <c r="A6500"/>
      <c r="B6500"/>
      <c r="D6500"/>
      <c r="E6500"/>
      <c r="F6500"/>
      <c r="H6500"/>
    </row>
    <row r="6501" spans="1:8" ht="15">
      <c r="A6501"/>
      <c r="B6501"/>
      <c r="D6501"/>
      <c r="E6501"/>
      <c r="F6501"/>
      <c r="H6501"/>
    </row>
    <row r="6502" spans="1:8" ht="15">
      <c r="A6502"/>
      <c r="B6502"/>
      <c r="D6502"/>
      <c r="E6502"/>
      <c r="F6502"/>
      <c r="H6502"/>
    </row>
    <row r="6503" spans="1:8" ht="15">
      <c r="A6503"/>
      <c r="B6503"/>
      <c r="D6503"/>
      <c r="E6503"/>
      <c r="F6503"/>
      <c r="H6503"/>
    </row>
    <row r="6504" spans="1:8" ht="15">
      <c r="A6504"/>
      <c r="B6504"/>
      <c r="D6504"/>
      <c r="E6504"/>
      <c r="F6504"/>
      <c r="H6504"/>
    </row>
    <row r="6505" spans="1:8" ht="15">
      <c r="A6505"/>
      <c r="B6505"/>
      <c r="D6505"/>
      <c r="E6505"/>
      <c r="F6505"/>
      <c r="H6505"/>
    </row>
    <row r="6506" spans="1:8" ht="15">
      <c r="A6506"/>
      <c r="B6506"/>
      <c r="D6506"/>
      <c r="E6506"/>
      <c r="F6506"/>
      <c r="H6506"/>
    </row>
    <row r="6507" spans="1:8" ht="15">
      <c r="A6507"/>
      <c r="B6507"/>
      <c r="D6507"/>
      <c r="E6507"/>
      <c r="F6507"/>
      <c r="H6507"/>
    </row>
    <row r="6508" spans="1:8" ht="15">
      <c r="A6508"/>
      <c r="B6508"/>
      <c r="D6508"/>
      <c r="E6508"/>
      <c r="F6508"/>
      <c r="H6508"/>
    </row>
    <row r="6509" spans="1:8" ht="15">
      <c r="A6509"/>
      <c r="B6509"/>
      <c r="D6509"/>
      <c r="E6509"/>
      <c r="F6509"/>
      <c r="H6509"/>
    </row>
    <row r="6510" spans="1:8" ht="15">
      <c r="A6510"/>
      <c r="B6510"/>
      <c r="D6510"/>
      <c r="E6510"/>
      <c r="F6510"/>
      <c r="H6510"/>
    </row>
    <row r="6511" spans="1:8" ht="15">
      <c r="A6511"/>
      <c r="B6511"/>
      <c r="D6511"/>
      <c r="E6511"/>
      <c r="F6511"/>
      <c r="H6511"/>
    </row>
    <row r="6512" spans="1:8" ht="15">
      <c r="A6512"/>
      <c r="B6512"/>
      <c r="D6512"/>
      <c r="E6512"/>
      <c r="F6512"/>
      <c r="H6512"/>
    </row>
    <row r="6513" spans="1:8" ht="15">
      <c r="A6513"/>
      <c r="B6513"/>
      <c r="D6513"/>
      <c r="E6513"/>
      <c r="F6513"/>
      <c r="H6513"/>
    </row>
    <row r="6514" spans="1:8" ht="15">
      <c r="A6514"/>
      <c r="B6514"/>
      <c r="D6514"/>
      <c r="E6514"/>
      <c r="F6514"/>
      <c r="H6514"/>
    </row>
    <row r="6515" spans="1:8" ht="15">
      <c r="A6515"/>
      <c r="B6515"/>
      <c r="D6515"/>
      <c r="E6515"/>
      <c r="F6515"/>
      <c r="H6515"/>
    </row>
    <row r="6516" spans="1:8" ht="15">
      <c r="A6516"/>
      <c r="B6516"/>
      <c r="D6516"/>
      <c r="E6516"/>
      <c r="F6516"/>
      <c r="H6516"/>
    </row>
    <row r="6517" spans="1:8" ht="15">
      <c r="A6517"/>
      <c r="B6517"/>
      <c r="D6517"/>
      <c r="E6517"/>
      <c r="F6517"/>
      <c r="H6517"/>
    </row>
    <row r="6518" spans="1:8" ht="15">
      <c r="A6518"/>
      <c r="B6518"/>
      <c r="D6518"/>
      <c r="E6518"/>
      <c r="F6518"/>
      <c r="H6518"/>
    </row>
    <row r="6519" spans="1:8" ht="15">
      <c r="A6519"/>
      <c r="B6519"/>
      <c r="D6519"/>
      <c r="E6519"/>
      <c r="F6519"/>
      <c r="H6519"/>
    </row>
    <row r="6520" spans="1:8" ht="15">
      <c r="A6520"/>
      <c r="B6520"/>
      <c r="D6520"/>
      <c r="E6520"/>
      <c r="F6520"/>
      <c r="H6520"/>
    </row>
    <row r="6521" spans="1:8" ht="15">
      <c r="A6521"/>
      <c r="B6521"/>
      <c r="D6521"/>
      <c r="E6521"/>
      <c r="F6521"/>
      <c r="H6521"/>
    </row>
    <row r="6522" spans="1:8" ht="15">
      <c r="A6522"/>
      <c r="B6522"/>
      <c r="D6522"/>
      <c r="E6522"/>
      <c r="F6522"/>
      <c r="H6522"/>
    </row>
    <row r="6523" spans="1:8" ht="15">
      <c r="A6523"/>
      <c r="B6523"/>
      <c r="D6523"/>
      <c r="E6523"/>
      <c r="F6523"/>
      <c r="H6523"/>
    </row>
    <row r="6524" spans="1:8" ht="15">
      <c r="A6524"/>
      <c r="B6524"/>
      <c r="D6524"/>
      <c r="E6524"/>
      <c r="F6524"/>
      <c r="H6524"/>
    </row>
    <row r="6525" spans="1:8" ht="15">
      <c r="A6525"/>
      <c r="B6525"/>
      <c r="D6525"/>
      <c r="E6525"/>
      <c r="F6525"/>
      <c r="H6525"/>
    </row>
    <row r="6526" spans="1:8" ht="15">
      <c r="A6526"/>
      <c r="B6526"/>
      <c r="D6526"/>
      <c r="E6526"/>
      <c r="F6526"/>
      <c r="H6526"/>
    </row>
    <row r="6527" spans="1:8" ht="15">
      <c r="A6527"/>
      <c r="B6527"/>
      <c r="D6527"/>
      <c r="E6527"/>
      <c r="F6527"/>
      <c r="H6527"/>
    </row>
    <row r="6528" spans="1:8" ht="15">
      <c r="A6528"/>
      <c r="B6528"/>
      <c r="D6528"/>
      <c r="E6528"/>
      <c r="F6528"/>
      <c r="H6528"/>
    </row>
    <row r="6529" spans="1:8" ht="15">
      <c r="A6529"/>
      <c r="B6529"/>
      <c r="D6529"/>
      <c r="E6529"/>
      <c r="F6529"/>
      <c r="H6529"/>
    </row>
    <row r="6530" spans="1:8" ht="15">
      <c r="A6530"/>
      <c r="B6530"/>
      <c r="D6530"/>
      <c r="E6530"/>
      <c r="F6530"/>
      <c r="H6530"/>
    </row>
    <row r="6531" spans="1:8" ht="15">
      <c r="A6531"/>
      <c r="B6531"/>
      <c r="D6531"/>
      <c r="E6531"/>
      <c r="F6531"/>
      <c r="H6531"/>
    </row>
    <row r="6532" spans="1:8" ht="15">
      <c r="A6532"/>
      <c r="B6532"/>
      <c r="D6532"/>
      <c r="E6532"/>
      <c r="F6532"/>
      <c r="H6532"/>
    </row>
    <row r="6533" spans="1:8" ht="15">
      <c r="A6533"/>
      <c r="B6533"/>
      <c r="D6533"/>
      <c r="E6533"/>
      <c r="F6533"/>
      <c r="H6533"/>
    </row>
    <row r="6534" spans="1:8" ht="15">
      <c r="A6534"/>
      <c r="B6534"/>
      <c r="D6534"/>
      <c r="E6534"/>
      <c r="F6534"/>
      <c r="H6534"/>
    </row>
    <row r="6535" spans="1:8" ht="15">
      <c r="A6535"/>
      <c r="B6535"/>
      <c r="D6535"/>
      <c r="E6535"/>
      <c r="F6535"/>
      <c r="H6535"/>
    </row>
    <row r="6536" spans="1:8" ht="15">
      <c r="A6536"/>
      <c r="B6536"/>
      <c r="D6536"/>
      <c r="E6536"/>
      <c r="F6536"/>
      <c r="H6536"/>
    </row>
    <row r="6537" spans="1:8" ht="15">
      <c r="A6537"/>
      <c r="B6537"/>
      <c r="D6537"/>
      <c r="E6537"/>
      <c r="F6537"/>
      <c r="H6537"/>
    </row>
    <row r="6538" spans="1:8" ht="15">
      <c r="A6538"/>
      <c r="B6538"/>
      <c r="D6538"/>
      <c r="E6538"/>
      <c r="F6538"/>
      <c r="H6538"/>
    </row>
    <row r="6539" spans="1:8" ht="15">
      <c r="A6539"/>
      <c r="B6539"/>
      <c r="D6539"/>
      <c r="E6539"/>
      <c r="F6539"/>
      <c r="H6539"/>
    </row>
    <row r="6540" spans="1:8" ht="15">
      <c r="A6540"/>
      <c r="B6540"/>
      <c r="D6540"/>
      <c r="E6540"/>
      <c r="F6540"/>
      <c r="H6540"/>
    </row>
    <row r="6541" spans="1:8" ht="15">
      <c r="A6541"/>
      <c r="B6541"/>
      <c r="D6541"/>
      <c r="E6541"/>
      <c r="F6541"/>
      <c r="H6541"/>
    </row>
    <row r="6542" spans="1:8" ht="15">
      <c r="A6542"/>
      <c r="B6542"/>
      <c r="D6542"/>
      <c r="E6542"/>
      <c r="F6542"/>
      <c r="H6542"/>
    </row>
    <row r="6543" spans="1:8" ht="15">
      <c r="A6543"/>
      <c r="B6543"/>
      <c r="D6543"/>
      <c r="E6543"/>
      <c r="F6543"/>
      <c r="H6543"/>
    </row>
    <row r="6544" spans="1:8" ht="15">
      <c r="A6544"/>
      <c r="B6544"/>
      <c r="D6544"/>
      <c r="E6544"/>
      <c r="F6544"/>
      <c r="H6544"/>
    </row>
    <row r="6545" spans="1:8" ht="15">
      <c r="A6545"/>
      <c r="B6545"/>
      <c r="D6545"/>
      <c r="E6545"/>
      <c r="F6545"/>
      <c r="H6545"/>
    </row>
    <row r="6546" spans="1:8" ht="15">
      <c r="A6546"/>
      <c r="B6546"/>
      <c r="D6546"/>
      <c r="E6546"/>
      <c r="F6546"/>
      <c r="H6546"/>
    </row>
    <row r="6547" spans="1:8" ht="15">
      <c r="A6547"/>
      <c r="B6547"/>
      <c r="D6547"/>
      <c r="E6547"/>
      <c r="F6547"/>
      <c r="H6547"/>
    </row>
    <row r="6548" spans="1:8" ht="15">
      <c r="A6548"/>
      <c r="B6548"/>
      <c r="D6548"/>
      <c r="E6548"/>
      <c r="F6548"/>
      <c r="H6548"/>
    </row>
    <row r="6549" spans="1:8" ht="15">
      <c r="A6549"/>
      <c r="B6549"/>
      <c r="D6549"/>
      <c r="E6549"/>
      <c r="F6549"/>
      <c r="H6549"/>
    </row>
    <row r="6550" spans="1:8" ht="15">
      <c r="A6550"/>
      <c r="B6550"/>
      <c r="D6550"/>
      <c r="E6550"/>
      <c r="F6550"/>
      <c r="H6550"/>
    </row>
    <row r="6551" spans="1:8" ht="15">
      <c r="A6551"/>
      <c r="B6551"/>
      <c r="D6551"/>
      <c r="E6551"/>
      <c r="F6551"/>
      <c r="H6551"/>
    </row>
    <row r="6552" spans="1:8" ht="15">
      <c r="A6552"/>
      <c r="B6552"/>
      <c r="D6552"/>
      <c r="E6552"/>
      <c r="F6552"/>
      <c r="H6552"/>
    </row>
    <row r="6553" spans="1:8" ht="15">
      <c r="A6553"/>
      <c r="B6553"/>
      <c r="D6553"/>
      <c r="E6553"/>
      <c r="F6553"/>
      <c r="H6553"/>
    </row>
    <row r="6554" spans="1:8" ht="15">
      <c r="A6554"/>
      <c r="B6554"/>
      <c r="D6554"/>
      <c r="E6554"/>
      <c r="F6554"/>
      <c r="H6554"/>
    </row>
    <row r="6555" spans="1:8" ht="15">
      <c r="A6555"/>
      <c r="B6555"/>
      <c r="D6555"/>
      <c r="E6555"/>
      <c r="F6555"/>
      <c r="H6555"/>
    </row>
    <row r="6556" spans="1:8" ht="15">
      <c r="A6556"/>
      <c r="B6556"/>
      <c r="D6556"/>
      <c r="E6556"/>
      <c r="F6556"/>
      <c r="H6556"/>
    </row>
    <row r="6557" spans="1:8" ht="15">
      <c r="A6557"/>
      <c r="B6557"/>
      <c r="D6557"/>
      <c r="E6557"/>
      <c r="F6557"/>
      <c r="H6557"/>
    </row>
    <row r="6558" spans="1:8" ht="15">
      <c r="A6558"/>
      <c r="B6558"/>
      <c r="D6558"/>
      <c r="E6558"/>
      <c r="F6558"/>
      <c r="H6558"/>
    </row>
    <row r="6559" spans="1:8" ht="15">
      <c r="A6559"/>
      <c r="B6559"/>
      <c r="D6559"/>
      <c r="E6559"/>
      <c r="F6559"/>
      <c r="H6559"/>
    </row>
    <row r="6560" spans="1:8" ht="15">
      <c r="A6560"/>
      <c r="B6560"/>
      <c r="D6560"/>
      <c r="E6560"/>
      <c r="F6560"/>
      <c r="H6560"/>
    </row>
    <row r="6561" spans="1:8" ht="15">
      <c r="A6561"/>
      <c r="B6561"/>
      <c r="D6561"/>
      <c r="E6561"/>
      <c r="F6561"/>
      <c r="H6561"/>
    </row>
    <row r="6562" spans="1:8" ht="15">
      <c r="A6562"/>
      <c r="B6562"/>
      <c r="D6562"/>
      <c r="E6562"/>
      <c r="F6562"/>
      <c r="H6562"/>
    </row>
    <row r="6563" spans="1:8" ht="15">
      <c r="A6563"/>
      <c r="B6563"/>
      <c r="D6563"/>
      <c r="E6563"/>
      <c r="F6563"/>
      <c r="H6563"/>
    </row>
    <row r="6564" spans="1:8" ht="15">
      <c r="A6564"/>
      <c r="B6564"/>
      <c r="D6564"/>
      <c r="E6564"/>
      <c r="F6564"/>
      <c r="H6564"/>
    </row>
    <row r="6565" spans="1:8" ht="15">
      <c r="A6565"/>
      <c r="B6565"/>
      <c r="D6565"/>
      <c r="E6565"/>
      <c r="F6565"/>
      <c r="H6565"/>
    </row>
    <row r="6566" spans="1:8" ht="15">
      <c r="A6566"/>
      <c r="B6566"/>
      <c r="D6566"/>
      <c r="E6566"/>
      <c r="F6566"/>
      <c r="H6566"/>
    </row>
    <row r="6567" spans="1:8" ht="15">
      <c r="A6567"/>
      <c r="B6567"/>
      <c r="D6567"/>
      <c r="E6567"/>
      <c r="F6567"/>
      <c r="H6567"/>
    </row>
    <row r="6568" spans="1:8" ht="15">
      <c r="A6568"/>
      <c r="B6568"/>
      <c r="D6568"/>
      <c r="E6568"/>
      <c r="F6568"/>
      <c r="H6568"/>
    </row>
    <row r="6569" spans="1:8" ht="15">
      <c r="A6569"/>
      <c r="B6569"/>
      <c r="D6569"/>
      <c r="E6569"/>
      <c r="F6569"/>
      <c r="H6569"/>
    </row>
    <row r="6570" spans="1:8" ht="15">
      <c r="A6570"/>
      <c r="B6570"/>
      <c r="D6570"/>
      <c r="E6570"/>
      <c r="F6570"/>
      <c r="H6570"/>
    </row>
    <row r="6571" spans="1:8" ht="15">
      <c r="A6571"/>
      <c r="B6571"/>
      <c r="D6571"/>
      <c r="E6571"/>
      <c r="F6571"/>
      <c r="H6571"/>
    </row>
    <row r="6572" spans="1:8" ht="15">
      <c r="A6572"/>
      <c r="B6572"/>
      <c r="D6572"/>
      <c r="E6572"/>
      <c r="F6572"/>
      <c r="H6572"/>
    </row>
    <row r="6573" spans="1:8" ht="15">
      <c r="A6573"/>
      <c r="B6573"/>
      <c r="D6573"/>
      <c r="E6573"/>
      <c r="F6573"/>
      <c r="H6573"/>
    </row>
    <row r="6574" spans="1:8" ht="15">
      <c r="A6574"/>
      <c r="B6574"/>
      <c r="D6574"/>
      <c r="E6574"/>
      <c r="F6574"/>
      <c r="H6574"/>
    </row>
    <row r="6575" spans="1:8" ht="15">
      <c r="A6575"/>
      <c r="B6575"/>
      <c r="D6575"/>
      <c r="E6575"/>
      <c r="F6575"/>
      <c r="H6575"/>
    </row>
    <row r="6576" spans="1:8" ht="15">
      <c r="A6576"/>
      <c r="B6576"/>
      <c r="D6576"/>
      <c r="E6576"/>
      <c r="F6576"/>
      <c r="H6576"/>
    </row>
    <row r="6577" spans="1:8" ht="15">
      <c r="A6577"/>
      <c r="B6577"/>
      <c r="D6577"/>
      <c r="E6577"/>
      <c r="F6577"/>
      <c r="H6577"/>
    </row>
    <row r="6578" spans="1:8" ht="15">
      <c r="A6578"/>
      <c r="B6578"/>
      <c r="D6578"/>
      <c r="E6578"/>
      <c r="F6578"/>
      <c r="H6578"/>
    </row>
    <row r="6579" spans="1:8" ht="15">
      <c r="A6579"/>
      <c r="B6579"/>
      <c r="D6579"/>
      <c r="E6579"/>
      <c r="F6579"/>
      <c r="H6579"/>
    </row>
    <row r="6580" spans="1:8" ht="15">
      <c r="A6580"/>
      <c r="B6580"/>
      <c r="D6580"/>
      <c r="E6580"/>
      <c r="F6580"/>
      <c r="H6580"/>
    </row>
    <row r="6581" spans="1:8" ht="15">
      <c r="A6581"/>
      <c r="B6581"/>
      <c r="D6581"/>
      <c r="E6581"/>
      <c r="F6581"/>
      <c r="H6581"/>
    </row>
    <row r="6582" spans="1:8" ht="15">
      <c r="A6582"/>
      <c r="B6582"/>
      <c r="D6582"/>
      <c r="E6582"/>
      <c r="F6582"/>
      <c r="H6582"/>
    </row>
    <row r="6583" spans="1:8" ht="15">
      <c r="A6583"/>
      <c r="B6583"/>
      <c r="D6583"/>
      <c r="E6583"/>
      <c r="F6583"/>
      <c r="H6583"/>
    </row>
    <row r="6584" spans="1:8" ht="15">
      <c r="A6584"/>
      <c r="B6584"/>
      <c r="D6584"/>
      <c r="E6584"/>
      <c r="F6584"/>
      <c r="H6584"/>
    </row>
    <row r="6585" spans="1:8" ht="15">
      <c r="A6585"/>
      <c r="B6585"/>
      <c r="D6585"/>
      <c r="E6585"/>
      <c r="F6585"/>
      <c r="H6585"/>
    </row>
    <row r="6586" spans="1:8" ht="15">
      <c r="A6586"/>
      <c r="B6586"/>
      <c r="D6586"/>
      <c r="E6586"/>
      <c r="F6586"/>
      <c r="H6586"/>
    </row>
    <row r="6587" spans="1:8" ht="15">
      <c r="A6587"/>
      <c r="B6587"/>
      <c r="D6587"/>
      <c r="E6587"/>
      <c r="F6587"/>
      <c r="H6587"/>
    </row>
    <row r="6588" spans="1:8" ht="15">
      <c r="A6588"/>
      <c r="B6588"/>
      <c r="D6588"/>
      <c r="E6588"/>
      <c r="F6588"/>
      <c r="H6588"/>
    </row>
    <row r="6589" spans="1:8" ht="15">
      <c r="A6589"/>
      <c r="B6589"/>
      <c r="D6589"/>
      <c r="E6589"/>
      <c r="F6589"/>
      <c r="H6589"/>
    </row>
    <row r="6590" spans="1:8" ht="15">
      <c r="A6590"/>
      <c r="B6590"/>
      <c r="D6590"/>
      <c r="E6590"/>
      <c r="F6590"/>
      <c r="H6590"/>
    </row>
    <row r="6591" spans="1:8" ht="15">
      <c r="A6591"/>
      <c r="B6591"/>
      <c r="D6591"/>
      <c r="E6591"/>
      <c r="F6591"/>
      <c r="H6591"/>
    </row>
    <row r="6592" spans="1:8" ht="15">
      <c r="A6592"/>
      <c r="B6592"/>
      <c r="D6592"/>
      <c r="E6592"/>
      <c r="F6592"/>
      <c r="H6592"/>
    </row>
    <row r="6593" spans="1:8" ht="15">
      <c r="A6593"/>
      <c r="B6593"/>
      <c r="D6593"/>
      <c r="E6593"/>
      <c r="F6593"/>
      <c r="H6593"/>
    </row>
    <row r="6594" spans="1:8" ht="15">
      <c r="A6594"/>
      <c r="B6594"/>
      <c r="D6594"/>
      <c r="E6594"/>
      <c r="F6594"/>
      <c r="H6594"/>
    </row>
    <row r="6595" spans="1:8" ht="15">
      <c r="A6595"/>
      <c r="B6595"/>
      <c r="D6595"/>
      <c r="E6595"/>
      <c r="F6595"/>
      <c r="H6595"/>
    </row>
    <row r="6596" spans="1:8" ht="15">
      <c r="A6596"/>
      <c r="B6596"/>
      <c r="D6596"/>
      <c r="E6596"/>
      <c r="F6596"/>
      <c r="H6596"/>
    </row>
    <row r="6597" spans="1:8" ht="15">
      <c r="A6597"/>
      <c r="B6597"/>
      <c r="D6597"/>
      <c r="E6597"/>
      <c r="F6597"/>
      <c r="H6597"/>
    </row>
    <row r="6598" spans="1:8" ht="15">
      <c r="A6598"/>
      <c r="B6598"/>
      <c r="D6598"/>
      <c r="E6598"/>
      <c r="F6598"/>
      <c r="H6598"/>
    </row>
    <row r="6599" spans="1:8" ht="15">
      <c r="A6599"/>
      <c r="B6599"/>
      <c r="D6599"/>
      <c r="E6599"/>
      <c r="F6599"/>
      <c r="H6599"/>
    </row>
    <row r="6600" spans="1:8" ht="15">
      <c r="A6600"/>
      <c r="B6600"/>
      <c r="D6600"/>
      <c r="E6600"/>
      <c r="F6600"/>
      <c r="H6600"/>
    </row>
    <row r="6601" spans="1:8" ht="15">
      <c r="A6601"/>
      <c r="B6601"/>
      <c r="D6601"/>
      <c r="E6601"/>
      <c r="F6601"/>
      <c r="H6601"/>
    </row>
    <row r="6602" spans="1:8" ht="15">
      <c r="A6602"/>
      <c r="B6602"/>
      <c r="D6602"/>
      <c r="E6602"/>
      <c r="F6602"/>
      <c r="H6602"/>
    </row>
    <row r="6603" spans="1:8" ht="15">
      <c r="A6603"/>
      <c r="B6603"/>
      <c r="D6603"/>
      <c r="E6603"/>
      <c r="F6603"/>
      <c r="H6603"/>
    </row>
    <row r="6604" spans="1:8" ht="15">
      <c r="A6604"/>
      <c r="B6604"/>
      <c r="D6604"/>
      <c r="E6604"/>
      <c r="F6604"/>
      <c r="H6604"/>
    </row>
    <row r="6605" spans="1:8" ht="15">
      <c r="A6605"/>
      <c r="B6605"/>
      <c r="D6605"/>
      <c r="E6605"/>
      <c r="F6605"/>
      <c r="H6605"/>
    </row>
    <row r="6606" spans="1:8" ht="15">
      <c r="A6606"/>
      <c r="B6606"/>
      <c r="D6606"/>
      <c r="E6606"/>
      <c r="F6606"/>
      <c r="H6606"/>
    </row>
    <row r="6607" spans="1:8" ht="15">
      <c r="A6607"/>
      <c r="B6607"/>
      <c r="D6607"/>
      <c r="E6607"/>
      <c r="F6607"/>
      <c r="H6607"/>
    </row>
    <row r="6608" spans="1:8" ht="15">
      <c r="A6608"/>
      <c r="B6608"/>
      <c r="D6608"/>
      <c r="E6608"/>
      <c r="F6608"/>
      <c r="H6608"/>
    </row>
    <row r="6609" spans="1:8" ht="15">
      <c r="A6609"/>
      <c r="B6609"/>
      <c r="D6609"/>
      <c r="E6609"/>
      <c r="F6609"/>
      <c r="H6609"/>
    </row>
    <row r="6610" spans="1:8" ht="15">
      <c r="A6610"/>
      <c r="B6610"/>
      <c r="D6610"/>
      <c r="E6610"/>
      <c r="F6610"/>
      <c r="H6610"/>
    </row>
    <row r="6611" spans="1:8" ht="15">
      <c r="A6611"/>
      <c r="B6611"/>
      <c r="D6611"/>
      <c r="E6611"/>
      <c r="F6611"/>
      <c r="H6611"/>
    </row>
    <row r="6612" spans="1:8" ht="15">
      <c r="A6612"/>
      <c r="B6612"/>
      <c r="D6612"/>
      <c r="E6612"/>
      <c r="F6612"/>
      <c r="H6612"/>
    </row>
    <row r="6613" spans="1:8" ht="15">
      <c r="A6613"/>
      <c r="B6613"/>
      <c r="D6613"/>
      <c r="E6613"/>
      <c r="F6613"/>
      <c r="H6613"/>
    </row>
    <row r="6614" spans="1:8" ht="15">
      <c r="A6614"/>
      <c r="B6614"/>
      <c r="D6614"/>
      <c r="E6614"/>
      <c r="F6614"/>
      <c r="H6614"/>
    </row>
    <row r="6615" spans="1:8" ht="15">
      <c r="A6615"/>
      <c r="B6615"/>
      <c r="D6615"/>
      <c r="E6615"/>
      <c r="F6615"/>
      <c r="H6615"/>
    </row>
    <row r="6616" spans="1:8" ht="15">
      <c r="A6616"/>
      <c r="B6616"/>
      <c r="D6616"/>
      <c r="E6616"/>
      <c r="F6616"/>
      <c r="H6616"/>
    </row>
    <row r="6617" spans="1:8" ht="15">
      <c r="A6617"/>
      <c r="B6617"/>
      <c r="D6617"/>
      <c r="E6617"/>
      <c r="F6617"/>
      <c r="H6617"/>
    </row>
    <row r="6618" spans="1:8" ht="15">
      <c r="A6618"/>
      <c r="B6618"/>
      <c r="D6618"/>
      <c r="E6618"/>
      <c r="F6618"/>
      <c r="H6618"/>
    </row>
    <row r="6619" spans="1:8" ht="15">
      <c r="A6619"/>
      <c r="B6619"/>
      <c r="D6619"/>
      <c r="E6619"/>
      <c r="F6619"/>
      <c r="H6619"/>
    </row>
    <row r="6620" spans="1:8" ht="15">
      <c r="A6620"/>
      <c r="B6620"/>
      <c r="D6620"/>
      <c r="E6620"/>
      <c r="F6620"/>
      <c r="H6620"/>
    </row>
    <row r="6621" spans="1:8" ht="15">
      <c r="A6621"/>
      <c r="B6621"/>
      <c r="D6621"/>
      <c r="E6621"/>
      <c r="F6621"/>
      <c r="H6621"/>
    </row>
    <row r="6622" spans="1:8" ht="15">
      <c r="A6622"/>
      <c r="B6622"/>
      <c r="D6622"/>
      <c r="E6622"/>
      <c r="F6622"/>
      <c r="H6622"/>
    </row>
    <row r="6623" spans="1:8" ht="15">
      <c r="A6623"/>
      <c r="B6623"/>
      <c r="D6623"/>
      <c r="E6623"/>
      <c r="F6623"/>
      <c r="H6623"/>
    </row>
    <row r="6624" spans="1:8" ht="15">
      <c r="A6624"/>
      <c r="B6624"/>
      <c r="D6624"/>
      <c r="E6624"/>
      <c r="F6624"/>
      <c r="H6624"/>
    </row>
    <row r="6625" spans="1:8" ht="15">
      <c r="A6625"/>
      <c r="B6625"/>
      <c r="D6625"/>
      <c r="E6625"/>
      <c r="F6625"/>
      <c r="H6625"/>
    </row>
    <row r="6626" spans="1:8" ht="15">
      <c r="A6626"/>
      <c r="B6626"/>
      <c r="D6626"/>
      <c r="E6626"/>
      <c r="F6626"/>
      <c r="H6626"/>
    </row>
    <row r="6627" spans="1:8" ht="15">
      <c r="A6627"/>
      <c r="B6627"/>
      <c r="D6627"/>
      <c r="E6627"/>
      <c r="F6627"/>
      <c r="H6627"/>
    </row>
    <row r="6628" spans="1:8" ht="15">
      <c r="A6628"/>
      <c r="B6628"/>
      <c r="D6628"/>
      <c r="E6628"/>
      <c r="F6628"/>
      <c r="H6628"/>
    </row>
    <row r="6629" spans="1:8" ht="15">
      <c r="A6629"/>
      <c r="B6629"/>
      <c r="D6629"/>
      <c r="E6629"/>
      <c r="F6629"/>
      <c r="H6629"/>
    </row>
    <row r="6630" spans="1:8" ht="15">
      <c r="A6630"/>
      <c r="B6630"/>
      <c r="D6630"/>
      <c r="E6630"/>
      <c r="F6630"/>
      <c r="H6630"/>
    </row>
    <row r="6631" spans="1:8" ht="15">
      <c r="A6631"/>
      <c r="B6631"/>
      <c r="D6631"/>
      <c r="E6631"/>
      <c r="F6631"/>
      <c r="H6631"/>
    </row>
    <row r="6632" spans="1:8" ht="15">
      <c r="A6632"/>
      <c r="B6632"/>
      <c r="D6632"/>
      <c r="E6632"/>
      <c r="F6632"/>
      <c r="H6632"/>
    </row>
    <row r="6633" spans="1:8" ht="15">
      <c r="A6633"/>
      <c r="B6633"/>
      <c r="D6633"/>
      <c r="E6633"/>
      <c r="F6633"/>
      <c r="H6633"/>
    </row>
    <row r="6634" spans="1:8" ht="15">
      <c r="A6634"/>
      <c r="B6634"/>
      <c r="D6634"/>
      <c r="E6634"/>
      <c r="F6634"/>
      <c r="H6634"/>
    </row>
    <row r="6635" spans="1:8" ht="15">
      <c r="A6635"/>
      <c r="B6635"/>
      <c r="D6635"/>
      <c r="E6635"/>
      <c r="F6635"/>
      <c r="H6635"/>
    </row>
    <row r="6636" spans="1:8" ht="15">
      <c r="A6636"/>
      <c r="B6636"/>
      <c r="D6636"/>
      <c r="E6636"/>
      <c r="F6636"/>
      <c r="H6636"/>
    </row>
    <row r="6637" spans="1:8" ht="15">
      <c r="A6637"/>
      <c r="B6637"/>
      <c r="D6637"/>
      <c r="E6637"/>
      <c r="F6637"/>
      <c r="H6637"/>
    </row>
    <row r="6638" spans="1:8" ht="15">
      <c r="A6638"/>
      <c r="B6638"/>
      <c r="D6638"/>
      <c r="E6638"/>
      <c r="F6638"/>
      <c r="H6638"/>
    </row>
    <row r="6639" spans="1:8" ht="15">
      <c r="A6639"/>
      <c r="B6639"/>
      <c r="D6639"/>
      <c r="E6639"/>
      <c r="F6639"/>
      <c r="H6639"/>
    </row>
    <row r="6640" spans="1:8" ht="15">
      <c r="A6640"/>
      <c r="B6640"/>
      <c r="D6640"/>
      <c r="E6640"/>
      <c r="F6640"/>
      <c r="H6640"/>
    </row>
    <row r="6641" spans="1:8" ht="15">
      <c r="A6641"/>
      <c r="B6641"/>
      <c r="D6641"/>
      <c r="E6641"/>
      <c r="F6641"/>
      <c r="H6641"/>
    </row>
    <row r="6642" spans="1:8" ht="15">
      <c r="A6642"/>
      <c r="B6642"/>
      <c r="D6642"/>
      <c r="E6642"/>
      <c r="F6642"/>
      <c r="H6642"/>
    </row>
    <row r="6643" spans="1:8" ht="15">
      <c r="A6643"/>
      <c r="B6643"/>
      <c r="D6643"/>
      <c r="E6643"/>
      <c r="F6643"/>
      <c r="H6643"/>
    </row>
    <row r="6644" spans="1:8" ht="15">
      <c r="A6644"/>
      <c r="B6644"/>
      <c r="D6644"/>
      <c r="E6644"/>
      <c r="F6644"/>
      <c r="H6644"/>
    </row>
    <row r="6645" spans="1:8" ht="15">
      <c r="A6645"/>
      <c r="B6645"/>
      <c r="D6645"/>
      <c r="E6645"/>
      <c r="F6645"/>
      <c r="H6645"/>
    </row>
    <row r="6646" spans="1:8" ht="15">
      <c r="A6646"/>
      <c r="B6646"/>
      <c r="D6646"/>
      <c r="E6646"/>
      <c r="F6646"/>
      <c r="H6646"/>
    </row>
    <row r="6647" spans="1:8" ht="15">
      <c r="A6647"/>
      <c r="B6647"/>
      <c r="D6647"/>
      <c r="E6647"/>
      <c r="F6647"/>
      <c r="H6647"/>
    </row>
    <row r="6648" spans="1:8" ht="15">
      <c r="A6648"/>
      <c r="B6648"/>
      <c r="D6648"/>
      <c r="E6648"/>
      <c r="F6648"/>
      <c r="H6648"/>
    </row>
    <row r="6649" spans="1:8" ht="15">
      <c r="A6649"/>
      <c r="B6649"/>
      <c r="D6649"/>
      <c r="E6649"/>
      <c r="F6649"/>
      <c r="H6649"/>
    </row>
    <row r="6650" spans="1:8" ht="15">
      <c r="A6650"/>
      <c r="B6650"/>
      <c r="D6650"/>
      <c r="E6650"/>
      <c r="F6650"/>
      <c r="H6650"/>
    </row>
    <row r="6651" spans="1:8" ht="15">
      <c r="A6651"/>
      <c r="B6651"/>
      <c r="D6651"/>
      <c r="E6651"/>
      <c r="F6651"/>
      <c r="H6651"/>
    </row>
    <row r="6652" spans="1:8" ht="15">
      <c r="A6652"/>
      <c r="B6652"/>
      <c r="D6652"/>
      <c r="E6652"/>
      <c r="F6652"/>
      <c r="H6652"/>
    </row>
    <row r="6653" spans="1:8" ht="15">
      <c r="A6653"/>
      <c r="B6653"/>
      <c r="D6653"/>
      <c r="E6653"/>
      <c r="F6653"/>
      <c r="H6653"/>
    </row>
    <row r="6654" spans="1:8" ht="15">
      <c r="A6654"/>
      <c r="B6654"/>
      <c r="D6654"/>
      <c r="E6654"/>
      <c r="F6654"/>
      <c r="H6654"/>
    </row>
    <row r="6655" spans="1:8" ht="15">
      <c r="A6655"/>
      <c r="B6655"/>
      <c r="D6655"/>
      <c r="E6655"/>
      <c r="F6655"/>
      <c r="H6655"/>
    </row>
    <row r="6656" spans="1:8" ht="15">
      <c r="A6656"/>
      <c r="B6656"/>
      <c r="D6656"/>
      <c r="E6656"/>
      <c r="F6656"/>
      <c r="H6656"/>
    </row>
    <row r="6657" spans="1:8" ht="15">
      <c r="A6657"/>
      <c r="B6657"/>
      <c r="D6657"/>
      <c r="E6657"/>
      <c r="F6657"/>
      <c r="H6657"/>
    </row>
    <row r="6658" spans="1:8" ht="15">
      <c r="A6658"/>
      <c r="B6658"/>
      <c r="D6658"/>
      <c r="E6658"/>
      <c r="F6658"/>
      <c r="H6658"/>
    </row>
    <row r="6659" spans="1:8" ht="15">
      <c r="A6659"/>
      <c r="B6659"/>
      <c r="D6659"/>
      <c r="E6659"/>
      <c r="F6659"/>
      <c r="H6659"/>
    </row>
    <row r="6660" spans="1:8" ht="15">
      <c r="A6660"/>
      <c r="B6660"/>
      <c r="D6660"/>
      <c r="E6660"/>
      <c r="F6660"/>
      <c r="H6660"/>
    </row>
    <row r="6661" spans="1:8" ht="15">
      <c r="A6661"/>
      <c r="B6661"/>
      <c r="D6661"/>
      <c r="E6661"/>
      <c r="F6661"/>
      <c r="H6661"/>
    </row>
    <row r="6662" spans="1:8" ht="15">
      <c r="A6662"/>
      <c r="B6662"/>
      <c r="D6662"/>
      <c r="E6662"/>
      <c r="F6662"/>
      <c r="H6662"/>
    </row>
    <row r="6663" spans="1:8" ht="15">
      <c r="A6663"/>
      <c r="B6663"/>
      <c r="D6663"/>
      <c r="E6663"/>
      <c r="F6663"/>
      <c r="H6663"/>
    </row>
    <row r="6664" spans="1:8" ht="15">
      <c r="A6664"/>
      <c r="B6664"/>
      <c r="D6664"/>
      <c r="E6664"/>
      <c r="F6664"/>
      <c r="H6664"/>
    </row>
    <row r="6665" spans="1:8" ht="15">
      <c r="A6665"/>
      <c r="B6665"/>
      <c r="D6665"/>
      <c r="E6665"/>
      <c r="F6665"/>
      <c r="H6665"/>
    </row>
    <row r="6666" spans="1:8" ht="15">
      <c r="A6666"/>
      <c r="B6666"/>
      <c r="D6666"/>
      <c r="E6666"/>
      <c r="F6666"/>
      <c r="H6666"/>
    </row>
    <row r="6667" spans="1:8" ht="15">
      <c r="A6667"/>
      <c r="B6667"/>
      <c r="D6667"/>
      <c r="E6667"/>
      <c r="F6667"/>
      <c r="H6667"/>
    </row>
    <row r="6668" spans="1:8" ht="15">
      <c r="A6668"/>
      <c r="B6668"/>
      <c r="D6668"/>
      <c r="E6668"/>
      <c r="F6668"/>
      <c r="H6668"/>
    </row>
    <row r="6669" spans="1:8" ht="15">
      <c r="A6669"/>
      <c r="B6669"/>
      <c r="D6669"/>
      <c r="E6669"/>
      <c r="F6669"/>
      <c r="H6669"/>
    </row>
    <row r="6670" spans="1:8" ht="15">
      <c r="A6670"/>
      <c r="B6670"/>
      <c r="D6670"/>
      <c r="E6670"/>
      <c r="F6670"/>
      <c r="H6670"/>
    </row>
    <row r="6671" spans="1:8" ht="15">
      <c r="A6671"/>
      <c r="B6671"/>
      <c r="D6671"/>
      <c r="E6671"/>
      <c r="F6671"/>
      <c r="H6671"/>
    </row>
    <row r="6672" spans="1:8" ht="15">
      <c r="A6672"/>
      <c r="B6672"/>
      <c r="D6672"/>
      <c r="E6672"/>
      <c r="F6672"/>
      <c r="H6672"/>
    </row>
    <row r="6673" spans="1:8" ht="15">
      <c r="A6673"/>
      <c r="B6673"/>
      <c r="D6673"/>
      <c r="E6673"/>
      <c r="F6673"/>
      <c r="H6673"/>
    </row>
    <row r="6674" spans="1:8" ht="15">
      <c r="A6674"/>
      <c r="B6674"/>
      <c r="D6674"/>
      <c r="E6674"/>
      <c r="F6674"/>
      <c r="H6674"/>
    </row>
    <row r="6675" spans="1:8" ht="15">
      <c r="A6675"/>
      <c r="B6675"/>
      <c r="D6675"/>
      <c r="E6675"/>
      <c r="F6675"/>
      <c r="H6675"/>
    </row>
    <row r="6676" spans="1:8" ht="15">
      <c r="A6676"/>
      <c r="B6676"/>
      <c r="D6676"/>
      <c r="E6676"/>
      <c r="F6676"/>
      <c r="H6676"/>
    </row>
    <row r="6677" spans="1:8" ht="15">
      <c r="A6677"/>
      <c r="B6677"/>
      <c r="D6677"/>
      <c r="E6677"/>
      <c r="F6677"/>
      <c r="H6677"/>
    </row>
    <row r="6678" spans="1:8" ht="15">
      <c r="A6678"/>
      <c r="B6678"/>
      <c r="D6678"/>
      <c r="E6678"/>
      <c r="F6678"/>
      <c r="H6678"/>
    </row>
    <row r="6679" spans="1:8" ht="15">
      <c r="A6679"/>
      <c r="B6679"/>
      <c r="D6679"/>
      <c r="E6679"/>
      <c r="F6679"/>
      <c r="H6679"/>
    </row>
    <row r="6680" spans="1:8" ht="15">
      <c r="A6680"/>
      <c r="B6680"/>
      <c r="D6680"/>
      <c r="E6680"/>
      <c r="F6680"/>
      <c r="H6680"/>
    </row>
    <row r="6681" spans="1:8" ht="15">
      <c r="A6681"/>
      <c r="B6681"/>
      <c r="D6681"/>
      <c r="E6681"/>
      <c r="F6681"/>
      <c r="H6681"/>
    </row>
    <row r="6682" spans="1:8" ht="15">
      <c r="A6682"/>
      <c r="B6682"/>
      <c r="D6682"/>
      <c r="E6682"/>
      <c r="F6682"/>
      <c r="H6682"/>
    </row>
    <row r="6683" spans="1:8" ht="15">
      <c r="A6683"/>
      <c r="B6683"/>
      <c r="D6683"/>
      <c r="E6683"/>
      <c r="F6683"/>
      <c r="H6683"/>
    </row>
    <row r="6684" spans="1:8" ht="15">
      <c r="A6684"/>
      <c r="B6684"/>
      <c r="D6684"/>
      <c r="E6684"/>
      <c r="F6684"/>
      <c r="H6684"/>
    </row>
    <row r="6685" spans="1:8" ht="15">
      <c r="A6685"/>
      <c r="B6685"/>
      <c r="D6685"/>
      <c r="E6685"/>
      <c r="F6685"/>
      <c r="H6685"/>
    </row>
    <row r="6686" spans="1:8" ht="15">
      <c r="A6686"/>
      <c r="B6686"/>
      <c r="D6686"/>
      <c r="E6686"/>
      <c r="F6686"/>
      <c r="H6686"/>
    </row>
    <row r="6687" spans="1:8" ht="15">
      <c r="A6687"/>
      <c r="B6687"/>
      <c r="D6687"/>
      <c r="E6687"/>
      <c r="F6687"/>
      <c r="H6687"/>
    </row>
    <row r="6688" spans="1:8" ht="15">
      <c r="A6688"/>
      <c r="B6688"/>
      <c r="D6688"/>
      <c r="E6688"/>
      <c r="F6688"/>
      <c r="H6688"/>
    </row>
    <row r="6689" spans="1:8" ht="15">
      <c r="A6689"/>
      <c r="B6689"/>
      <c r="D6689"/>
      <c r="E6689"/>
      <c r="F6689"/>
      <c r="H6689"/>
    </row>
    <row r="6690" spans="1:8" ht="15">
      <c r="A6690"/>
      <c r="B6690"/>
      <c r="D6690"/>
      <c r="E6690"/>
      <c r="F6690"/>
      <c r="H6690"/>
    </row>
    <row r="6691" spans="1:8" ht="15">
      <c r="A6691"/>
      <c r="B6691"/>
      <c r="D6691"/>
      <c r="E6691"/>
      <c r="F6691"/>
      <c r="H6691"/>
    </row>
    <row r="6692" spans="1:8" ht="15">
      <c r="A6692"/>
      <c r="B6692"/>
      <c r="D6692"/>
      <c r="E6692"/>
      <c r="F6692"/>
      <c r="H6692"/>
    </row>
    <row r="6693" spans="1:8" ht="15">
      <c r="A6693"/>
      <c r="B6693"/>
      <c r="D6693"/>
      <c r="E6693"/>
      <c r="F6693"/>
      <c r="H6693"/>
    </row>
    <row r="6694" spans="1:8" ht="15">
      <c r="A6694"/>
      <c r="B6694"/>
      <c r="D6694"/>
      <c r="E6694"/>
      <c r="F6694"/>
      <c r="H6694"/>
    </row>
    <row r="6695" spans="1:8" ht="15">
      <c r="A6695"/>
      <c r="B6695"/>
      <c r="D6695"/>
      <c r="E6695"/>
      <c r="F6695"/>
      <c r="H6695"/>
    </row>
    <row r="6696" spans="1:8" ht="15">
      <c r="A6696"/>
      <c r="B6696"/>
      <c r="D6696"/>
      <c r="E6696"/>
      <c r="F6696"/>
      <c r="H6696"/>
    </row>
    <row r="6697" spans="1:8" ht="15">
      <c r="A6697"/>
      <c r="B6697"/>
      <c r="D6697"/>
      <c r="E6697"/>
      <c r="F6697"/>
      <c r="H6697"/>
    </row>
    <row r="6698" spans="1:8" ht="15">
      <c r="A6698"/>
      <c r="B6698"/>
      <c r="D6698"/>
      <c r="E6698"/>
      <c r="F6698"/>
      <c r="H6698"/>
    </row>
    <row r="6699" spans="1:8" ht="15">
      <c r="A6699"/>
      <c r="B6699"/>
      <c r="D6699"/>
      <c r="E6699"/>
      <c r="F6699"/>
      <c r="H6699"/>
    </row>
    <row r="6700" spans="1:8" ht="15">
      <c r="A6700"/>
      <c r="B6700"/>
      <c r="D6700"/>
      <c r="E6700"/>
      <c r="F6700"/>
      <c r="H6700"/>
    </row>
    <row r="6701" spans="1:8" ht="15">
      <c r="A6701"/>
      <c r="B6701"/>
      <c r="D6701"/>
      <c r="E6701"/>
      <c r="F6701"/>
      <c r="H6701"/>
    </row>
    <row r="6702" spans="1:8" ht="15">
      <c r="A6702"/>
      <c r="B6702"/>
      <c r="D6702"/>
      <c r="E6702"/>
      <c r="F6702"/>
      <c r="H6702"/>
    </row>
    <row r="6703" spans="1:8" ht="15">
      <c r="A6703"/>
      <c r="B6703"/>
      <c r="D6703"/>
      <c r="E6703"/>
      <c r="F6703"/>
      <c r="H6703"/>
    </row>
    <row r="6704" spans="1:8" ht="15">
      <c r="A6704"/>
      <c r="B6704"/>
      <c r="D6704"/>
      <c r="E6704"/>
      <c r="F6704"/>
      <c r="H6704"/>
    </row>
    <row r="6705" spans="1:8" ht="15">
      <c r="A6705"/>
      <c r="B6705"/>
      <c r="D6705"/>
      <c r="E6705"/>
      <c r="F6705"/>
      <c r="H6705"/>
    </row>
    <row r="6706" spans="1:8" ht="15">
      <c r="A6706"/>
      <c r="B6706"/>
      <c r="D6706"/>
      <c r="E6706"/>
      <c r="F6706"/>
      <c r="H6706"/>
    </row>
    <row r="6707" spans="1:8" ht="15">
      <c r="A6707"/>
      <c r="B6707"/>
      <c r="D6707"/>
      <c r="E6707"/>
      <c r="F6707"/>
      <c r="H6707"/>
    </row>
    <row r="6708" spans="1:8" ht="15">
      <c r="A6708"/>
      <c r="B6708"/>
      <c r="D6708"/>
      <c r="E6708"/>
      <c r="F6708"/>
      <c r="H6708"/>
    </row>
    <row r="6709" spans="1:8" ht="15">
      <c r="A6709"/>
      <c r="B6709"/>
      <c r="D6709"/>
      <c r="E6709"/>
      <c r="F6709"/>
      <c r="H6709"/>
    </row>
    <row r="6710" spans="1:8" ht="15">
      <c r="A6710"/>
      <c r="B6710"/>
      <c r="D6710"/>
      <c r="E6710"/>
      <c r="F6710"/>
      <c r="H6710"/>
    </row>
    <row r="6711" spans="1:8" ht="15">
      <c r="A6711"/>
      <c r="B6711"/>
      <c r="D6711"/>
      <c r="E6711"/>
      <c r="F6711"/>
      <c r="H6711"/>
    </row>
    <row r="6712" spans="1:8" ht="15">
      <c r="A6712"/>
      <c r="B6712"/>
      <c r="D6712"/>
      <c r="E6712"/>
      <c r="F6712"/>
      <c r="H6712"/>
    </row>
    <row r="6713" spans="1:8" ht="15">
      <c r="A6713"/>
      <c r="B6713"/>
      <c r="D6713"/>
      <c r="E6713"/>
      <c r="F6713"/>
      <c r="H6713"/>
    </row>
    <row r="6714" spans="1:8" ht="15">
      <c r="A6714"/>
      <c r="B6714"/>
      <c r="D6714"/>
      <c r="E6714"/>
      <c r="F6714"/>
      <c r="H6714"/>
    </row>
    <row r="6715" spans="1:8" ht="15">
      <c r="A6715"/>
      <c r="B6715"/>
      <c r="D6715"/>
      <c r="E6715"/>
      <c r="F6715"/>
      <c r="H6715"/>
    </row>
    <row r="6716" spans="1:8" ht="15">
      <c r="A6716"/>
      <c r="B6716"/>
      <c r="D6716"/>
      <c r="E6716"/>
      <c r="F6716"/>
      <c r="H6716"/>
    </row>
    <row r="6717" spans="1:8" ht="15">
      <c r="A6717"/>
      <c r="B6717"/>
      <c r="D6717"/>
      <c r="E6717"/>
      <c r="F6717"/>
      <c r="H6717"/>
    </row>
    <row r="6718" spans="1:8" ht="15">
      <c r="A6718"/>
      <c r="B6718"/>
      <c r="D6718"/>
      <c r="E6718"/>
      <c r="F6718"/>
      <c r="H6718"/>
    </row>
    <row r="6719" spans="1:8" ht="15">
      <c r="A6719"/>
      <c r="B6719"/>
      <c r="D6719"/>
      <c r="E6719"/>
      <c r="F6719"/>
      <c r="H6719"/>
    </row>
    <row r="6720" spans="1:8" ht="15">
      <c r="A6720"/>
      <c r="B6720"/>
      <c r="D6720"/>
      <c r="E6720"/>
      <c r="F6720"/>
      <c r="H6720"/>
    </row>
    <row r="6721" spans="1:8" ht="15">
      <c r="A6721"/>
      <c r="B6721"/>
      <c r="D6721"/>
      <c r="E6721"/>
      <c r="F6721"/>
      <c r="H6721"/>
    </row>
    <row r="6722" spans="1:8" ht="15">
      <c r="A6722"/>
      <c r="B6722"/>
      <c r="D6722"/>
      <c r="E6722"/>
      <c r="F6722"/>
      <c r="H6722"/>
    </row>
    <row r="6723" spans="1:8" ht="15">
      <c r="A6723"/>
      <c r="B6723"/>
      <c r="D6723"/>
      <c r="E6723"/>
      <c r="F6723"/>
      <c r="H6723"/>
    </row>
    <row r="6724" spans="1:8" ht="15">
      <c r="A6724"/>
      <c r="B6724"/>
      <c r="D6724"/>
      <c r="E6724"/>
      <c r="F6724"/>
      <c r="H6724"/>
    </row>
    <row r="6725" spans="1:8" ht="15">
      <c r="A6725"/>
      <c r="B6725"/>
      <c r="D6725"/>
      <c r="E6725"/>
      <c r="F6725"/>
      <c r="H6725"/>
    </row>
    <row r="6726" spans="1:8" ht="15">
      <c r="A6726"/>
      <c r="B6726"/>
      <c r="D6726"/>
      <c r="E6726"/>
      <c r="F6726"/>
      <c r="H6726"/>
    </row>
    <row r="6727" spans="1:8" ht="15">
      <c r="A6727"/>
      <c r="B6727"/>
      <c r="D6727"/>
      <c r="E6727"/>
      <c r="F6727"/>
      <c r="H6727"/>
    </row>
    <row r="6728" spans="1:8" ht="15">
      <c r="A6728"/>
      <c r="B6728"/>
      <c r="D6728"/>
      <c r="E6728"/>
      <c r="F6728"/>
      <c r="H6728"/>
    </row>
    <row r="6729" spans="1:8" ht="15">
      <c r="A6729"/>
      <c r="B6729"/>
      <c r="D6729"/>
      <c r="E6729"/>
      <c r="F6729"/>
      <c r="H6729"/>
    </row>
    <row r="6730" spans="1:8" ht="15">
      <c r="A6730"/>
      <c r="B6730"/>
      <c r="D6730"/>
      <c r="E6730"/>
      <c r="F6730"/>
      <c r="H6730"/>
    </row>
    <row r="6731" spans="1:8" ht="15">
      <c r="A6731"/>
      <c r="B6731"/>
      <c r="D6731"/>
      <c r="E6731"/>
      <c r="F6731"/>
      <c r="H6731"/>
    </row>
    <row r="6732" spans="1:8" ht="15">
      <c r="A6732"/>
      <c r="B6732"/>
      <c r="D6732"/>
      <c r="E6732"/>
      <c r="F6732"/>
      <c r="H6732"/>
    </row>
    <row r="6733" spans="1:8" ht="15">
      <c r="A6733"/>
      <c r="B6733"/>
      <c r="D6733"/>
      <c r="E6733"/>
      <c r="F6733"/>
      <c r="H6733"/>
    </row>
    <row r="6734" spans="1:8" ht="15">
      <c r="A6734"/>
      <c r="B6734"/>
      <c r="D6734"/>
      <c r="E6734"/>
      <c r="F6734"/>
      <c r="H6734"/>
    </row>
    <row r="6735" spans="1:8" ht="15">
      <c r="A6735"/>
      <c r="B6735"/>
      <c r="D6735"/>
      <c r="E6735"/>
      <c r="F6735"/>
      <c r="H6735"/>
    </row>
    <row r="6736" spans="1:8" ht="15">
      <c r="A6736"/>
      <c r="B6736"/>
      <c r="D6736"/>
      <c r="E6736"/>
      <c r="F6736"/>
      <c r="H6736"/>
    </row>
    <row r="6737" spans="1:8" ht="15">
      <c r="A6737"/>
      <c r="B6737"/>
      <c r="D6737"/>
      <c r="E6737"/>
      <c r="F6737"/>
      <c r="H6737"/>
    </row>
    <row r="6738" spans="1:8" ht="15">
      <c r="A6738"/>
      <c r="B6738"/>
      <c r="D6738"/>
      <c r="E6738"/>
      <c r="F6738"/>
      <c r="H6738"/>
    </row>
    <row r="6739" spans="1:8" ht="15">
      <c r="A6739"/>
      <c r="B6739"/>
      <c r="D6739"/>
      <c r="E6739"/>
      <c r="F6739"/>
      <c r="H6739"/>
    </row>
    <row r="6740" spans="1:8" ht="15">
      <c r="A6740"/>
      <c r="B6740"/>
      <c r="D6740"/>
      <c r="E6740"/>
      <c r="F6740"/>
      <c r="H6740"/>
    </row>
    <row r="6741" spans="1:8" ht="15">
      <c r="A6741"/>
      <c r="B6741"/>
      <c r="D6741"/>
      <c r="E6741"/>
      <c r="F6741"/>
      <c r="H6741"/>
    </row>
    <row r="6742" spans="1:8" ht="15">
      <c r="A6742"/>
      <c r="B6742"/>
      <c r="D6742"/>
      <c r="E6742"/>
      <c r="F6742"/>
      <c r="H6742"/>
    </row>
    <row r="6743" spans="1:8" ht="15">
      <c r="A6743"/>
      <c r="B6743"/>
      <c r="D6743"/>
      <c r="E6743"/>
      <c r="F6743"/>
      <c r="H6743"/>
    </row>
    <row r="6744" spans="1:8" ht="15">
      <c r="A6744"/>
      <c r="B6744"/>
      <c r="D6744"/>
      <c r="E6744"/>
      <c r="F6744"/>
      <c r="H6744"/>
    </row>
    <row r="6745" spans="1:8" ht="15">
      <c r="A6745"/>
      <c r="B6745"/>
      <c r="D6745"/>
      <c r="E6745"/>
      <c r="F6745"/>
      <c r="H6745"/>
    </row>
    <row r="6746" spans="1:8" ht="15">
      <c r="A6746"/>
      <c r="B6746"/>
      <c r="D6746"/>
      <c r="E6746"/>
      <c r="F6746"/>
      <c r="H6746"/>
    </row>
    <row r="6747" spans="1:8" ht="15">
      <c r="A6747"/>
      <c r="B6747"/>
      <c r="D6747"/>
      <c r="E6747"/>
      <c r="F6747"/>
      <c r="H6747"/>
    </row>
    <row r="6748" spans="1:8" ht="15">
      <c r="A6748"/>
      <c r="B6748"/>
      <c r="D6748"/>
      <c r="E6748"/>
      <c r="F6748"/>
      <c r="H6748"/>
    </row>
    <row r="6749" spans="1:8" ht="15">
      <c r="A6749"/>
      <c r="B6749"/>
      <c r="D6749"/>
      <c r="E6749"/>
      <c r="F6749"/>
      <c r="H6749"/>
    </row>
    <row r="6750" spans="1:8" ht="15">
      <c r="A6750"/>
      <c r="B6750"/>
      <c r="D6750"/>
      <c r="E6750"/>
      <c r="F6750"/>
      <c r="H6750"/>
    </row>
    <row r="6751" spans="1:8" ht="15">
      <c r="A6751"/>
      <c r="B6751"/>
      <c r="D6751"/>
      <c r="E6751"/>
      <c r="F6751"/>
      <c r="H6751"/>
    </row>
    <row r="6752" spans="1:8" ht="15">
      <c r="A6752"/>
      <c r="B6752"/>
      <c r="D6752"/>
      <c r="E6752"/>
      <c r="F6752"/>
      <c r="H6752"/>
    </row>
    <row r="6753" spans="1:8" ht="15">
      <c r="A6753"/>
      <c r="B6753"/>
      <c r="D6753"/>
      <c r="E6753"/>
      <c r="F6753"/>
      <c r="H6753"/>
    </row>
    <row r="6754" spans="1:8" ht="15">
      <c r="A6754"/>
      <c r="B6754"/>
      <c r="D6754"/>
      <c r="E6754"/>
      <c r="F6754"/>
      <c r="H6754"/>
    </row>
    <row r="6755" spans="1:8" ht="15">
      <c r="A6755"/>
      <c r="B6755"/>
      <c r="D6755"/>
      <c r="E6755"/>
      <c r="F6755"/>
      <c r="H6755"/>
    </row>
    <row r="6756" spans="1:8" ht="15">
      <c r="A6756"/>
      <c r="B6756"/>
      <c r="D6756"/>
      <c r="E6756"/>
      <c r="F6756"/>
      <c r="H6756"/>
    </row>
    <row r="6757" spans="1:8" ht="15">
      <c r="A6757"/>
      <c r="B6757"/>
      <c r="D6757"/>
      <c r="E6757"/>
      <c r="F6757"/>
      <c r="H6757"/>
    </row>
    <row r="6758" spans="1:8" ht="15">
      <c r="A6758"/>
      <c r="B6758"/>
      <c r="D6758"/>
      <c r="E6758"/>
      <c r="F6758"/>
      <c r="H6758"/>
    </row>
    <row r="6759" spans="1:8" ht="15">
      <c r="A6759"/>
      <c r="B6759"/>
      <c r="D6759"/>
      <c r="E6759"/>
      <c r="F6759"/>
      <c r="H6759"/>
    </row>
    <row r="6760" spans="1:8" ht="15">
      <c r="A6760"/>
      <c r="B6760"/>
      <c r="D6760"/>
      <c r="E6760"/>
      <c r="F6760"/>
      <c r="H6760"/>
    </row>
    <row r="6761" spans="1:8" ht="15">
      <c r="A6761"/>
      <c r="B6761"/>
      <c r="D6761"/>
      <c r="E6761"/>
      <c r="F6761"/>
      <c r="H6761"/>
    </row>
    <row r="6762" spans="1:8" ht="15">
      <c r="A6762"/>
      <c r="B6762"/>
      <c r="D6762"/>
      <c r="E6762"/>
      <c r="F6762"/>
      <c r="H6762"/>
    </row>
    <row r="6763" spans="1:8" ht="15">
      <c r="A6763"/>
      <c r="B6763"/>
      <c r="D6763"/>
      <c r="E6763"/>
      <c r="F6763"/>
      <c r="H6763"/>
    </row>
    <row r="6764" spans="1:8" ht="15">
      <c r="A6764"/>
      <c r="B6764"/>
      <c r="D6764"/>
      <c r="E6764"/>
      <c r="F6764"/>
      <c r="H6764"/>
    </row>
    <row r="6765" spans="1:8" ht="15">
      <c r="A6765"/>
      <c r="B6765"/>
      <c r="D6765"/>
      <c r="E6765"/>
      <c r="F6765"/>
      <c r="H6765"/>
    </row>
    <row r="6766" spans="1:8" ht="15">
      <c r="A6766"/>
      <c r="B6766"/>
      <c r="D6766"/>
      <c r="E6766"/>
      <c r="F6766"/>
      <c r="H6766"/>
    </row>
    <row r="6767" spans="1:8" ht="15">
      <c r="A6767"/>
      <c r="B6767"/>
      <c r="D6767"/>
      <c r="E6767"/>
      <c r="F6767"/>
      <c r="H6767"/>
    </row>
    <row r="6768" spans="1:8" ht="15">
      <c r="A6768"/>
      <c r="B6768"/>
      <c r="D6768"/>
      <c r="E6768"/>
      <c r="F6768"/>
      <c r="H6768"/>
    </row>
    <row r="6769" spans="1:8" ht="15">
      <c r="A6769"/>
      <c r="B6769"/>
      <c r="D6769"/>
      <c r="E6769"/>
      <c r="F6769"/>
      <c r="H6769"/>
    </row>
    <row r="6770" spans="1:8" ht="15">
      <c r="A6770"/>
      <c r="B6770"/>
      <c r="D6770"/>
      <c r="E6770"/>
      <c r="F6770"/>
      <c r="H6770"/>
    </row>
    <row r="6771" spans="1:8" ht="15">
      <c r="A6771"/>
      <c r="B6771"/>
      <c r="D6771"/>
      <c r="E6771"/>
      <c r="F6771"/>
      <c r="H6771"/>
    </row>
    <row r="6772" spans="1:8" ht="15">
      <c r="A6772"/>
      <c r="B6772"/>
      <c r="D6772"/>
      <c r="E6772"/>
      <c r="F6772"/>
      <c r="H6772"/>
    </row>
    <row r="6773" spans="1:8" ht="15">
      <c r="A6773"/>
      <c r="B6773"/>
      <c r="D6773"/>
      <c r="E6773"/>
      <c r="F6773"/>
      <c r="H6773"/>
    </row>
    <row r="6774" spans="1:8" ht="15">
      <c r="A6774"/>
      <c r="B6774"/>
      <c r="D6774"/>
      <c r="E6774"/>
      <c r="F6774"/>
      <c r="H6774"/>
    </row>
    <row r="6775" spans="1:8" ht="15">
      <c r="A6775"/>
      <c r="B6775"/>
      <c r="D6775"/>
      <c r="E6775"/>
      <c r="F6775"/>
      <c r="H6775"/>
    </row>
    <row r="6776" spans="1:8" ht="15">
      <c r="A6776"/>
      <c r="B6776"/>
      <c r="D6776"/>
      <c r="E6776"/>
      <c r="F6776"/>
      <c r="H6776"/>
    </row>
    <row r="6777" spans="1:8" ht="15">
      <c r="A6777"/>
      <c r="B6777"/>
      <c r="D6777"/>
      <c r="E6777"/>
      <c r="F6777"/>
      <c r="H6777"/>
    </row>
    <row r="6778" spans="1:8" ht="15">
      <c r="A6778"/>
      <c r="B6778"/>
      <c r="D6778"/>
      <c r="E6778"/>
      <c r="F6778"/>
      <c r="H6778"/>
    </row>
    <row r="6779" spans="1:8" ht="15">
      <c r="A6779"/>
      <c r="B6779"/>
      <c r="D6779"/>
      <c r="E6779"/>
      <c r="F6779"/>
      <c r="H6779"/>
    </row>
    <row r="6780" spans="1:8" ht="15">
      <c r="A6780"/>
      <c r="B6780"/>
      <c r="D6780"/>
      <c r="E6780"/>
      <c r="F6780"/>
      <c r="H6780"/>
    </row>
    <row r="6781" spans="1:8" ht="15">
      <c r="A6781"/>
      <c r="B6781"/>
      <c r="D6781"/>
      <c r="E6781"/>
      <c r="F6781"/>
      <c r="H6781"/>
    </row>
    <row r="6782" spans="1:8" ht="15">
      <c r="A6782"/>
      <c r="B6782"/>
      <c r="D6782"/>
      <c r="E6782"/>
      <c r="F6782"/>
      <c r="H6782"/>
    </row>
    <row r="6783" spans="1:8" ht="15">
      <c r="A6783"/>
      <c r="B6783"/>
      <c r="D6783"/>
      <c r="E6783"/>
      <c r="F6783"/>
      <c r="H6783"/>
    </row>
    <row r="6784" spans="1:8" ht="15">
      <c r="A6784"/>
      <c r="B6784"/>
      <c r="D6784"/>
      <c r="E6784"/>
      <c r="F6784"/>
      <c r="H6784"/>
    </row>
    <row r="6785" spans="1:8" ht="15">
      <c r="A6785"/>
      <c r="B6785"/>
      <c r="D6785"/>
      <c r="E6785"/>
      <c r="F6785"/>
      <c r="H6785"/>
    </row>
    <row r="6786" spans="1:8" ht="15">
      <c r="A6786"/>
      <c r="B6786"/>
      <c r="D6786"/>
      <c r="E6786"/>
      <c r="F6786"/>
      <c r="H6786"/>
    </row>
    <row r="6787" spans="1:8" ht="15">
      <c r="A6787"/>
      <c r="B6787"/>
      <c r="D6787"/>
      <c r="E6787"/>
      <c r="F6787"/>
      <c r="H6787"/>
    </row>
    <row r="6788" spans="1:8" ht="15">
      <c r="A6788"/>
      <c r="B6788"/>
      <c r="D6788"/>
      <c r="E6788"/>
      <c r="F6788"/>
      <c r="H6788"/>
    </row>
    <row r="6789" spans="1:8" ht="15">
      <c r="A6789"/>
      <c r="B6789"/>
      <c r="D6789"/>
      <c r="E6789"/>
      <c r="F6789"/>
      <c r="H6789"/>
    </row>
    <row r="6790" spans="1:8" ht="15">
      <c r="A6790"/>
      <c r="B6790"/>
      <c r="D6790"/>
      <c r="E6790"/>
      <c r="F6790"/>
      <c r="H6790"/>
    </row>
    <row r="6791" spans="1:8" ht="15">
      <c r="A6791"/>
      <c r="B6791"/>
      <c r="D6791"/>
      <c r="E6791"/>
      <c r="F6791"/>
      <c r="H6791"/>
    </row>
    <row r="6792" spans="1:8" ht="15">
      <c r="A6792"/>
      <c r="B6792"/>
      <c r="D6792"/>
      <c r="E6792"/>
      <c r="F6792"/>
      <c r="H6792"/>
    </row>
    <row r="6793" spans="1:8" ht="15">
      <c r="A6793"/>
      <c r="B6793"/>
      <c r="D6793"/>
      <c r="E6793"/>
      <c r="F6793"/>
      <c r="H6793"/>
    </row>
    <row r="6794" spans="1:8" ht="15">
      <c r="A6794"/>
      <c r="B6794"/>
      <c r="D6794"/>
      <c r="E6794"/>
      <c r="F6794"/>
      <c r="H6794"/>
    </row>
    <row r="6795" spans="1:8" ht="15">
      <c r="A6795"/>
      <c r="B6795"/>
      <c r="D6795"/>
      <c r="E6795"/>
      <c r="F6795"/>
      <c r="H6795"/>
    </row>
    <row r="6796" spans="1:8" ht="15">
      <c r="A6796"/>
      <c r="B6796"/>
      <c r="D6796"/>
      <c r="E6796"/>
      <c r="F6796"/>
      <c r="H6796"/>
    </row>
    <row r="6797" spans="1:8" ht="15">
      <c r="A6797"/>
      <c r="B6797"/>
      <c r="D6797"/>
      <c r="E6797"/>
      <c r="F6797"/>
      <c r="H6797"/>
    </row>
    <row r="6798" spans="1:8" ht="15">
      <c r="A6798"/>
      <c r="B6798"/>
      <c r="D6798"/>
      <c r="E6798"/>
      <c r="F6798"/>
      <c r="H6798"/>
    </row>
    <row r="6799" spans="1:8" ht="15">
      <c r="A6799"/>
      <c r="B6799"/>
      <c r="D6799"/>
      <c r="E6799"/>
      <c r="F6799"/>
      <c r="H6799"/>
    </row>
    <row r="6800" spans="1:8" ht="15">
      <c r="A6800"/>
      <c r="B6800"/>
      <c r="D6800"/>
      <c r="E6800"/>
      <c r="F6800"/>
      <c r="H6800"/>
    </row>
    <row r="6801" spans="1:8" ht="15">
      <c r="A6801"/>
      <c r="B6801"/>
      <c r="D6801"/>
      <c r="E6801"/>
      <c r="F6801"/>
      <c r="H6801"/>
    </row>
    <row r="6802" spans="1:8" ht="15">
      <c r="A6802"/>
      <c r="B6802"/>
      <c r="D6802"/>
      <c r="E6802"/>
      <c r="F6802"/>
      <c r="H6802"/>
    </row>
    <row r="6803" spans="1:8" ht="15">
      <c r="A6803"/>
      <c r="B6803"/>
      <c r="D6803"/>
      <c r="E6803"/>
      <c r="F6803"/>
      <c r="H6803"/>
    </row>
    <row r="6804" spans="1:8" ht="15">
      <c r="A6804"/>
      <c r="B6804"/>
      <c r="D6804"/>
      <c r="E6804"/>
      <c r="F6804"/>
      <c r="H6804"/>
    </row>
    <row r="6805" spans="1:8" ht="15">
      <c r="A6805"/>
      <c r="B6805"/>
      <c r="D6805"/>
      <c r="E6805"/>
      <c r="F6805"/>
      <c r="H6805"/>
    </row>
    <row r="6806" spans="1:8" ht="15">
      <c r="A6806"/>
      <c r="B6806"/>
      <c r="D6806"/>
      <c r="E6806"/>
      <c r="F6806"/>
      <c r="H6806"/>
    </row>
    <row r="6807" spans="1:8" ht="15">
      <c r="A6807"/>
      <c r="B6807"/>
      <c r="D6807"/>
      <c r="E6807"/>
      <c r="F6807"/>
      <c r="H6807"/>
    </row>
    <row r="6808" spans="1:8" ht="15">
      <c r="A6808"/>
      <c r="B6808"/>
      <c r="D6808"/>
      <c r="E6808"/>
      <c r="F6808"/>
      <c r="H6808"/>
    </row>
    <row r="6809" spans="1:8" ht="15">
      <c r="A6809"/>
      <c r="B6809"/>
      <c r="D6809"/>
      <c r="E6809"/>
      <c r="F6809"/>
      <c r="H6809"/>
    </row>
    <row r="6810" spans="1:8" ht="15">
      <c r="A6810"/>
      <c r="B6810"/>
      <c r="D6810"/>
      <c r="E6810"/>
      <c r="F6810"/>
      <c r="H6810"/>
    </row>
    <row r="6811" spans="1:8" ht="15">
      <c r="A6811"/>
      <c r="B6811"/>
      <c r="D6811"/>
      <c r="E6811"/>
      <c r="F6811"/>
      <c r="H6811"/>
    </row>
    <row r="6812" spans="1:8" ht="15">
      <c r="A6812"/>
      <c r="B6812"/>
      <c r="D6812"/>
      <c r="E6812"/>
      <c r="F6812"/>
      <c r="H6812"/>
    </row>
    <row r="6813" spans="1:8" ht="15">
      <c r="A6813"/>
      <c r="B6813"/>
      <c r="D6813"/>
      <c r="E6813"/>
      <c r="F6813"/>
      <c r="H6813"/>
    </row>
    <row r="6814" spans="1:8" ht="15">
      <c r="A6814"/>
      <c r="B6814"/>
      <c r="D6814"/>
      <c r="E6814"/>
      <c r="F6814"/>
      <c r="H6814"/>
    </row>
    <row r="6815" spans="1:8" ht="15">
      <c r="A6815"/>
      <c r="B6815"/>
      <c r="D6815"/>
      <c r="E6815"/>
      <c r="F6815"/>
      <c r="H6815"/>
    </row>
    <row r="6816" spans="1:8" ht="15">
      <c r="A6816"/>
      <c r="B6816"/>
      <c r="D6816"/>
      <c r="E6816"/>
      <c r="F6816"/>
      <c r="H6816"/>
    </row>
    <row r="6817" spans="1:8" ht="15">
      <c r="A6817"/>
      <c r="B6817"/>
      <c r="D6817"/>
      <c r="E6817"/>
      <c r="F6817"/>
      <c r="H6817"/>
    </row>
    <row r="6818" spans="1:8" ht="15">
      <c r="A6818"/>
      <c r="B6818"/>
      <c r="D6818"/>
      <c r="E6818"/>
      <c r="F6818"/>
      <c r="H6818"/>
    </row>
    <row r="6819" spans="1:8" ht="15">
      <c r="A6819"/>
      <c r="B6819"/>
      <c r="D6819"/>
      <c r="E6819"/>
      <c r="F6819"/>
      <c r="H6819"/>
    </row>
    <row r="6820" spans="1:8" ht="15">
      <c r="A6820"/>
      <c r="B6820"/>
      <c r="D6820"/>
      <c r="E6820"/>
      <c r="F6820"/>
      <c r="H6820"/>
    </row>
    <row r="6821" spans="1:8" ht="15">
      <c r="A6821"/>
      <c r="B6821"/>
      <c r="D6821"/>
      <c r="E6821"/>
      <c r="F6821"/>
      <c r="H6821"/>
    </row>
    <row r="6822" spans="1:8" ht="15">
      <c r="A6822"/>
      <c r="B6822"/>
      <c r="D6822"/>
      <c r="E6822"/>
      <c r="F6822"/>
      <c r="H6822"/>
    </row>
    <row r="6823" spans="1:8" ht="15">
      <c r="A6823"/>
      <c r="B6823"/>
      <c r="D6823"/>
      <c r="E6823"/>
      <c r="F6823"/>
      <c r="H6823"/>
    </row>
    <row r="6824" spans="1:8" ht="15">
      <c r="A6824"/>
      <c r="B6824"/>
      <c r="D6824"/>
      <c r="E6824"/>
      <c r="F6824"/>
      <c r="H6824"/>
    </row>
    <row r="6825" spans="1:8" ht="15">
      <c r="A6825"/>
      <c r="B6825"/>
      <c r="D6825"/>
      <c r="E6825"/>
      <c r="F6825"/>
      <c r="H6825"/>
    </row>
    <row r="6826" spans="1:8" ht="15">
      <c r="A6826"/>
      <c r="B6826"/>
      <c r="D6826"/>
      <c r="E6826"/>
      <c r="F6826"/>
      <c r="H6826"/>
    </row>
    <row r="6827" spans="1:8" ht="15">
      <c r="A6827"/>
      <c r="B6827"/>
      <c r="D6827"/>
      <c r="E6827"/>
      <c r="F6827"/>
      <c r="H6827"/>
    </row>
    <row r="6828" spans="1:8" ht="15">
      <c r="A6828"/>
      <c r="B6828"/>
      <c r="D6828"/>
      <c r="E6828"/>
      <c r="F6828"/>
      <c r="H6828"/>
    </row>
    <row r="6829" spans="1:8" ht="15">
      <c r="A6829"/>
      <c r="B6829"/>
      <c r="D6829"/>
      <c r="E6829"/>
      <c r="F6829"/>
      <c r="H6829"/>
    </row>
    <row r="6830" spans="1:8" ht="15">
      <c r="A6830"/>
      <c r="B6830"/>
      <c r="D6830"/>
      <c r="E6830"/>
      <c r="F6830"/>
      <c r="H6830"/>
    </row>
    <row r="6831" spans="1:8" ht="15">
      <c r="A6831"/>
      <c r="B6831"/>
      <c r="D6831"/>
      <c r="E6831"/>
      <c r="F6831"/>
      <c r="H6831"/>
    </row>
    <row r="6832" spans="1:8" ht="15">
      <c r="A6832"/>
      <c r="B6832"/>
      <c r="D6832"/>
      <c r="E6832"/>
      <c r="F6832"/>
      <c r="H6832"/>
    </row>
    <row r="6833" spans="1:8" ht="15">
      <c r="A6833"/>
      <c r="B6833"/>
      <c r="D6833"/>
      <c r="E6833"/>
      <c r="F6833"/>
      <c r="H6833"/>
    </row>
    <row r="6834" spans="1:8" ht="15">
      <c r="A6834"/>
      <c r="B6834"/>
      <c r="D6834"/>
      <c r="E6834"/>
      <c r="F6834"/>
      <c r="H6834"/>
    </row>
    <row r="6835" spans="1:8" ht="15">
      <c r="A6835"/>
      <c r="B6835"/>
      <c r="D6835"/>
      <c r="E6835"/>
      <c r="F6835"/>
      <c r="H6835"/>
    </row>
    <row r="6836" spans="1:8" ht="15">
      <c r="A6836"/>
      <c r="B6836"/>
      <c r="D6836"/>
      <c r="E6836"/>
      <c r="F6836"/>
      <c r="H6836"/>
    </row>
    <row r="6837" spans="1:8" ht="15">
      <c r="A6837"/>
      <c r="B6837"/>
      <c r="D6837"/>
      <c r="E6837"/>
      <c r="F6837"/>
      <c r="H6837"/>
    </row>
    <row r="6838" spans="1:8" ht="15">
      <c r="A6838"/>
      <c r="B6838"/>
      <c r="D6838"/>
      <c r="E6838"/>
      <c r="F6838"/>
      <c r="H6838"/>
    </row>
    <row r="6839" spans="1:8" ht="15">
      <c r="A6839"/>
      <c r="B6839"/>
      <c r="D6839"/>
      <c r="E6839"/>
      <c r="F6839"/>
      <c r="H6839"/>
    </row>
    <row r="6840" spans="1:8" ht="15">
      <c r="A6840"/>
      <c r="B6840"/>
      <c r="D6840"/>
      <c r="E6840"/>
      <c r="F6840"/>
      <c r="H6840"/>
    </row>
    <row r="6841" spans="1:8" ht="15">
      <c r="A6841"/>
      <c r="B6841"/>
      <c r="D6841"/>
      <c r="E6841"/>
      <c r="F6841"/>
      <c r="H6841"/>
    </row>
    <row r="6842" spans="1:8" ht="15">
      <c r="A6842"/>
      <c r="B6842"/>
      <c r="D6842"/>
      <c r="E6842"/>
      <c r="F6842"/>
      <c r="H6842"/>
    </row>
    <row r="6843" spans="1:8" ht="15">
      <c r="A6843"/>
      <c r="B6843"/>
      <c r="D6843"/>
      <c r="E6843"/>
      <c r="F6843"/>
      <c r="H6843"/>
    </row>
    <row r="6844" spans="1:8" ht="15">
      <c r="A6844"/>
      <c r="B6844"/>
      <c r="D6844"/>
      <c r="E6844"/>
      <c r="F6844"/>
      <c r="H6844"/>
    </row>
    <row r="6845" spans="1:8" ht="15">
      <c r="A6845"/>
      <c r="B6845"/>
      <c r="D6845"/>
      <c r="E6845"/>
      <c r="F6845"/>
      <c r="H6845"/>
    </row>
    <row r="6846" spans="1:8" ht="15">
      <c r="A6846"/>
      <c r="B6846"/>
      <c r="D6846"/>
      <c r="E6846"/>
      <c r="F6846"/>
      <c r="H6846"/>
    </row>
    <row r="6847" spans="1:8" ht="15">
      <c r="A6847"/>
      <c r="B6847"/>
      <c r="D6847"/>
      <c r="E6847"/>
      <c r="F6847"/>
      <c r="H6847"/>
    </row>
    <row r="6848" spans="1:8" ht="15">
      <c r="A6848"/>
      <c r="B6848"/>
      <c r="D6848"/>
      <c r="E6848"/>
      <c r="F6848"/>
      <c r="H6848"/>
    </row>
    <row r="6849" spans="1:8" ht="15">
      <c r="A6849"/>
      <c r="B6849"/>
      <c r="D6849"/>
      <c r="E6849"/>
      <c r="F6849"/>
      <c r="H6849"/>
    </row>
    <row r="6850" spans="1:8" ht="15">
      <c r="A6850"/>
      <c r="B6850"/>
      <c r="D6850"/>
      <c r="E6850"/>
      <c r="F6850"/>
      <c r="H6850"/>
    </row>
    <row r="6851" spans="1:8" ht="15">
      <c r="A6851"/>
      <c r="B6851"/>
      <c r="D6851"/>
      <c r="E6851"/>
      <c r="F6851"/>
      <c r="H6851"/>
    </row>
    <row r="6852" spans="1:8" ht="15">
      <c r="A6852"/>
      <c r="B6852"/>
      <c r="D6852"/>
      <c r="E6852"/>
      <c r="F6852"/>
      <c r="H6852"/>
    </row>
    <row r="6853" spans="1:8" ht="15">
      <c r="A6853"/>
      <c r="B6853"/>
      <c r="D6853"/>
      <c r="E6853"/>
      <c r="F6853"/>
      <c r="H6853"/>
    </row>
    <row r="6854" spans="1:8" ht="15">
      <c r="A6854"/>
      <c r="B6854"/>
      <c r="D6854"/>
      <c r="E6854"/>
      <c r="F6854"/>
      <c r="H6854"/>
    </row>
    <row r="6855" spans="1:8" ht="15">
      <c r="A6855"/>
      <c r="B6855"/>
      <c r="D6855"/>
      <c r="E6855"/>
      <c r="F6855"/>
      <c r="H6855"/>
    </row>
    <row r="6856" spans="1:8" ht="15">
      <c r="A6856"/>
      <c r="B6856"/>
      <c r="D6856"/>
      <c r="E6856"/>
      <c r="F6856"/>
      <c r="H6856"/>
    </row>
    <row r="6857" spans="1:8" ht="15">
      <c r="A6857"/>
      <c r="B6857"/>
      <c r="D6857"/>
      <c r="E6857"/>
      <c r="F6857"/>
      <c r="H6857"/>
    </row>
    <row r="6858" spans="1:8" ht="15">
      <c r="A6858"/>
      <c r="B6858"/>
      <c r="D6858"/>
      <c r="E6858"/>
      <c r="F6858"/>
      <c r="H6858"/>
    </row>
    <row r="6859" spans="1:8" ht="15">
      <c r="A6859"/>
      <c r="B6859"/>
      <c r="D6859"/>
      <c r="E6859"/>
      <c r="F6859"/>
      <c r="H6859"/>
    </row>
    <row r="6860" spans="1:8" ht="15">
      <c r="A6860"/>
      <c r="B6860"/>
      <c r="D6860"/>
      <c r="E6860"/>
      <c r="F6860"/>
      <c r="H6860"/>
    </row>
    <row r="6861" spans="1:8" ht="15">
      <c r="A6861"/>
      <c r="B6861"/>
      <c r="D6861"/>
      <c r="E6861"/>
      <c r="F6861"/>
      <c r="H6861"/>
    </row>
    <row r="6862" spans="1:8" ht="15">
      <c r="A6862"/>
      <c r="B6862"/>
      <c r="D6862"/>
      <c r="E6862"/>
      <c r="F6862"/>
      <c r="H6862"/>
    </row>
    <row r="6863" spans="1:8" ht="15">
      <c r="A6863"/>
      <c r="B6863"/>
      <c r="D6863"/>
      <c r="E6863"/>
      <c r="F6863"/>
      <c r="H6863"/>
    </row>
    <row r="6864" spans="1:8" ht="15">
      <c r="A6864"/>
      <c r="B6864"/>
      <c r="D6864"/>
      <c r="E6864"/>
      <c r="F6864"/>
      <c r="H6864"/>
    </row>
    <row r="6865" spans="1:8" ht="15">
      <c r="A6865"/>
      <c r="B6865"/>
      <c r="D6865"/>
      <c r="E6865"/>
      <c r="F6865"/>
      <c r="H6865"/>
    </row>
    <row r="6866" spans="1:8" ht="15">
      <c r="A6866"/>
      <c r="B6866"/>
      <c r="D6866"/>
      <c r="E6866"/>
      <c r="F6866"/>
      <c r="H6866"/>
    </row>
    <row r="6867" spans="1:8" ht="15">
      <c r="A6867"/>
      <c r="B6867"/>
      <c r="D6867"/>
      <c r="E6867"/>
      <c r="F6867"/>
      <c r="H6867"/>
    </row>
    <row r="6868" spans="1:8" ht="15">
      <c r="A6868"/>
      <c r="B6868"/>
      <c r="D6868"/>
      <c r="E6868"/>
      <c r="F6868"/>
      <c r="H6868"/>
    </row>
    <row r="6869" spans="1:8" ht="15">
      <c r="A6869"/>
      <c r="B6869"/>
      <c r="D6869"/>
      <c r="E6869"/>
      <c r="F6869"/>
      <c r="H6869"/>
    </row>
    <row r="6870" spans="1:8" ht="15">
      <c r="A6870"/>
      <c r="B6870"/>
      <c r="D6870"/>
      <c r="E6870"/>
      <c r="F6870"/>
      <c r="H6870"/>
    </row>
    <row r="6871" spans="1:8" ht="15">
      <c r="A6871"/>
      <c r="B6871"/>
      <c r="D6871"/>
      <c r="E6871"/>
      <c r="F6871"/>
      <c r="H6871"/>
    </row>
    <row r="6872" spans="1:8" ht="15">
      <c r="A6872"/>
      <c r="B6872"/>
      <c r="D6872"/>
      <c r="E6872"/>
      <c r="F6872"/>
      <c r="H6872"/>
    </row>
    <row r="6873" spans="1:8" ht="15">
      <c r="A6873"/>
      <c r="B6873"/>
      <c r="D6873"/>
      <c r="E6873"/>
      <c r="F6873"/>
      <c r="H6873"/>
    </row>
    <row r="6874" spans="1:8" ht="15">
      <c r="A6874"/>
      <c r="B6874"/>
      <c r="D6874"/>
      <c r="E6874"/>
      <c r="F6874"/>
      <c r="H6874"/>
    </row>
    <row r="6875" spans="1:8" ht="15">
      <c r="A6875"/>
      <c r="B6875"/>
      <c r="D6875"/>
      <c r="E6875"/>
      <c r="F6875"/>
      <c r="H6875"/>
    </row>
    <row r="6876" spans="1:8" ht="15">
      <c r="A6876"/>
      <c r="B6876"/>
      <c r="D6876"/>
      <c r="E6876"/>
      <c r="F6876"/>
      <c r="H6876"/>
    </row>
    <row r="6877" spans="1:8" ht="15">
      <c r="A6877"/>
      <c r="B6877"/>
      <c r="D6877"/>
      <c r="E6877"/>
      <c r="F6877"/>
      <c r="H6877"/>
    </row>
    <row r="6878" spans="1:8" ht="15">
      <c r="A6878"/>
      <c r="B6878"/>
      <c r="D6878"/>
      <c r="E6878"/>
      <c r="F6878"/>
      <c r="H6878"/>
    </row>
    <row r="6879" spans="1:8" ht="15">
      <c r="A6879"/>
      <c r="B6879"/>
      <c r="D6879"/>
      <c r="E6879"/>
      <c r="F6879"/>
      <c r="H6879"/>
    </row>
    <row r="6880" spans="1:8" ht="15">
      <c r="A6880"/>
      <c r="B6880"/>
      <c r="D6880"/>
      <c r="E6880"/>
      <c r="F6880"/>
      <c r="H6880"/>
    </row>
    <row r="6881" spans="1:8" ht="15">
      <c r="A6881"/>
      <c r="B6881"/>
      <c r="D6881"/>
      <c r="E6881"/>
      <c r="F6881"/>
      <c r="H6881"/>
    </row>
    <row r="6882" spans="1:8" ht="15">
      <c r="A6882"/>
      <c r="B6882"/>
      <c r="D6882"/>
      <c r="E6882"/>
      <c r="F6882"/>
      <c r="H6882"/>
    </row>
    <row r="6883" spans="1:8" ht="15">
      <c r="A6883"/>
      <c r="B6883"/>
      <c r="D6883"/>
      <c r="E6883"/>
      <c r="F6883"/>
      <c r="H6883"/>
    </row>
    <row r="6884" spans="1:8" ht="15">
      <c r="A6884"/>
      <c r="B6884"/>
      <c r="D6884"/>
      <c r="E6884"/>
      <c r="F6884"/>
      <c r="H6884"/>
    </row>
    <row r="6885" spans="1:8" ht="15">
      <c r="A6885"/>
      <c r="B6885"/>
      <c r="D6885"/>
      <c r="E6885"/>
      <c r="F6885"/>
      <c r="H6885"/>
    </row>
    <row r="6886" spans="1:8" ht="15">
      <c r="A6886"/>
      <c r="B6886"/>
      <c r="D6886"/>
      <c r="E6886"/>
      <c r="F6886"/>
      <c r="H6886"/>
    </row>
    <row r="6887" spans="1:8" ht="15">
      <c r="A6887"/>
      <c r="B6887"/>
      <c r="D6887"/>
      <c r="E6887"/>
      <c r="F6887"/>
      <c r="H6887"/>
    </row>
    <row r="6888" spans="1:8" ht="15">
      <c r="A6888"/>
      <c r="B6888"/>
      <c r="D6888"/>
      <c r="E6888"/>
      <c r="F6888"/>
      <c r="H6888"/>
    </row>
    <row r="6889" spans="1:8" ht="15">
      <c r="A6889"/>
      <c r="B6889"/>
      <c r="D6889"/>
      <c r="E6889"/>
      <c r="F6889"/>
      <c r="H6889"/>
    </row>
    <row r="6890" spans="1:8" ht="15">
      <c r="A6890"/>
      <c r="B6890"/>
      <c r="D6890"/>
      <c r="E6890"/>
      <c r="F6890"/>
      <c r="H6890"/>
    </row>
    <row r="6891" spans="1:8" ht="15">
      <c r="A6891"/>
      <c r="B6891"/>
      <c r="D6891"/>
      <c r="E6891"/>
      <c r="F6891"/>
      <c r="H6891"/>
    </row>
    <row r="6892" spans="1:8" ht="15">
      <c r="A6892"/>
      <c r="B6892"/>
      <c r="D6892"/>
      <c r="E6892"/>
      <c r="F6892"/>
      <c r="H6892"/>
    </row>
    <row r="6893" spans="1:8" ht="15">
      <c r="A6893"/>
      <c r="B6893"/>
      <c r="D6893"/>
      <c r="E6893"/>
      <c r="F6893"/>
      <c r="H6893"/>
    </row>
    <row r="6894" spans="1:8" ht="15">
      <c r="A6894"/>
      <c r="B6894"/>
      <c r="D6894"/>
      <c r="E6894"/>
      <c r="F6894"/>
      <c r="H6894"/>
    </row>
    <row r="6895" spans="1:8" ht="15">
      <c r="A6895"/>
      <c r="B6895"/>
      <c r="D6895"/>
      <c r="E6895"/>
      <c r="F6895"/>
      <c r="H6895"/>
    </row>
    <row r="6896" spans="1:8" ht="15">
      <c r="A6896"/>
      <c r="B6896"/>
      <c r="D6896"/>
      <c r="E6896"/>
      <c r="F6896"/>
      <c r="H6896"/>
    </row>
    <row r="6897" spans="1:8" ht="15">
      <c r="A6897"/>
      <c r="B6897"/>
      <c r="D6897"/>
      <c r="E6897"/>
      <c r="F6897"/>
      <c r="H6897"/>
    </row>
    <row r="6898" spans="1:8" ht="15">
      <c r="A6898"/>
      <c r="B6898"/>
      <c r="D6898"/>
      <c r="E6898"/>
      <c r="F6898"/>
      <c r="H6898"/>
    </row>
    <row r="6899" spans="1:8" ht="15">
      <c r="A6899"/>
      <c r="B6899"/>
      <c r="D6899"/>
      <c r="E6899"/>
      <c r="F6899"/>
      <c r="H6899"/>
    </row>
    <row r="6900" spans="1:8" ht="15">
      <c r="A6900"/>
      <c r="B6900"/>
      <c r="D6900"/>
      <c r="E6900"/>
      <c r="F6900"/>
      <c r="H6900"/>
    </row>
    <row r="6901" spans="1:8" ht="15">
      <c r="A6901"/>
      <c r="B6901"/>
      <c r="D6901"/>
      <c r="E6901"/>
      <c r="F6901"/>
      <c r="H6901"/>
    </row>
    <row r="6902" spans="1:8" ht="15">
      <c r="A6902"/>
      <c r="B6902"/>
      <c r="D6902"/>
      <c r="E6902"/>
      <c r="F6902"/>
      <c r="H6902"/>
    </row>
    <row r="6903" spans="1:8" ht="15">
      <c r="A6903"/>
      <c r="B6903"/>
      <c r="D6903"/>
      <c r="E6903"/>
      <c r="F6903"/>
      <c r="H6903"/>
    </row>
    <row r="6904" spans="1:8" ht="15">
      <c r="A6904"/>
      <c r="B6904"/>
      <c r="D6904"/>
      <c r="E6904"/>
      <c r="F6904"/>
      <c r="H6904"/>
    </row>
    <row r="6905" spans="1:8" ht="15">
      <c r="A6905"/>
      <c r="B6905"/>
      <c r="D6905"/>
      <c r="E6905"/>
      <c r="F6905"/>
      <c r="H6905"/>
    </row>
    <row r="6906" spans="1:8" ht="15">
      <c r="A6906"/>
      <c r="B6906"/>
      <c r="D6906"/>
      <c r="E6906"/>
      <c r="F6906"/>
      <c r="H6906"/>
    </row>
    <row r="6907" spans="1:8" ht="15">
      <c r="A6907"/>
      <c r="B6907"/>
      <c r="D6907"/>
      <c r="E6907"/>
      <c r="F6907"/>
      <c r="H6907"/>
    </row>
    <row r="6908" spans="1:8" ht="15">
      <c r="A6908"/>
      <c r="B6908"/>
      <c r="D6908"/>
      <c r="E6908"/>
      <c r="F6908"/>
      <c r="H6908"/>
    </row>
    <row r="6909" spans="1:8" ht="15">
      <c r="A6909"/>
      <c r="B6909"/>
      <c r="D6909"/>
      <c r="E6909"/>
      <c r="F6909"/>
      <c r="H6909"/>
    </row>
    <row r="6910" spans="1:8" ht="15">
      <c r="A6910"/>
      <c r="B6910"/>
      <c r="D6910"/>
      <c r="E6910"/>
      <c r="F6910"/>
      <c r="H6910"/>
    </row>
    <row r="6911" spans="1:8" ht="15">
      <c r="A6911"/>
      <c r="B6911"/>
      <c r="D6911"/>
      <c r="E6911"/>
      <c r="F6911"/>
      <c r="H6911"/>
    </row>
    <row r="6912" spans="1:8" ht="15">
      <c r="A6912"/>
      <c r="B6912"/>
      <c r="D6912"/>
      <c r="E6912"/>
      <c r="F6912"/>
      <c r="H6912"/>
    </row>
    <row r="6913" spans="1:8" ht="15">
      <c r="A6913"/>
      <c r="B6913"/>
      <c r="D6913"/>
      <c r="E6913"/>
      <c r="F6913"/>
      <c r="H6913"/>
    </row>
    <row r="6914" spans="1:8" ht="15">
      <c r="A6914"/>
      <c r="B6914"/>
      <c r="D6914"/>
      <c r="E6914"/>
      <c r="F6914"/>
      <c r="H6914"/>
    </row>
    <row r="6915" spans="1:8" ht="15">
      <c r="A6915"/>
      <c r="B6915"/>
      <c r="D6915"/>
      <c r="E6915"/>
      <c r="F6915"/>
      <c r="H6915"/>
    </row>
    <row r="6916" spans="1:8" ht="15">
      <c r="A6916"/>
      <c r="B6916"/>
      <c r="D6916"/>
      <c r="E6916"/>
      <c r="F6916"/>
      <c r="H6916"/>
    </row>
    <row r="6917" spans="1:8" ht="15">
      <c r="A6917"/>
      <c r="B6917"/>
      <c r="D6917"/>
      <c r="E6917"/>
      <c r="F6917"/>
      <c r="H6917"/>
    </row>
    <row r="6918" spans="1:8" ht="15">
      <c r="A6918"/>
      <c r="B6918"/>
      <c r="D6918"/>
      <c r="E6918"/>
      <c r="F6918"/>
      <c r="H6918"/>
    </row>
    <row r="6919" spans="1:8" ht="15">
      <c r="A6919"/>
      <c r="B6919"/>
      <c r="D6919"/>
      <c r="E6919"/>
      <c r="F6919"/>
      <c r="H6919"/>
    </row>
    <row r="6920" spans="1:8" ht="15">
      <c r="A6920"/>
      <c r="B6920"/>
      <c r="D6920"/>
      <c r="E6920"/>
      <c r="F6920"/>
      <c r="H6920"/>
    </row>
    <row r="6921" spans="1:8" ht="15">
      <c r="A6921"/>
      <c r="B6921"/>
      <c r="D6921"/>
      <c r="E6921"/>
      <c r="F6921"/>
      <c r="H6921"/>
    </row>
    <row r="6922" spans="1:8" ht="15">
      <c r="A6922"/>
      <c r="B6922"/>
      <c r="D6922"/>
      <c r="E6922"/>
      <c r="F6922"/>
      <c r="H6922"/>
    </row>
    <row r="6923" spans="1:8" ht="15">
      <c r="A6923"/>
      <c r="B6923"/>
      <c r="D6923"/>
      <c r="E6923"/>
      <c r="F6923"/>
      <c r="H6923"/>
    </row>
    <row r="6924" spans="1:8" ht="15">
      <c r="A6924"/>
      <c r="B6924"/>
      <c r="D6924"/>
      <c r="E6924"/>
      <c r="F6924"/>
      <c r="H6924"/>
    </row>
    <row r="6925" spans="1:8" ht="15">
      <c r="A6925"/>
      <c r="B6925"/>
      <c r="D6925"/>
      <c r="E6925"/>
      <c r="F6925"/>
      <c r="H6925"/>
    </row>
    <row r="6926" spans="1:8" ht="15">
      <c r="A6926"/>
      <c r="B6926"/>
      <c r="D6926"/>
      <c r="E6926"/>
      <c r="F6926"/>
      <c r="H6926"/>
    </row>
    <row r="6927" spans="1:8" ht="15">
      <c r="A6927"/>
      <c r="B6927"/>
      <c r="D6927"/>
      <c r="E6927"/>
      <c r="F6927"/>
      <c r="H6927"/>
    </row>
    <row r="6928" spans="1:8" ht="15">
      <c r="A6928"/>
      <c r="B6928"/>
      <c r="D6928"/>
      <c r="E6928"/>
      <c r="F6928"/>
      <c r="H6928"/>
    </row>
    <row r="6929" spans="1:8" ht="15">
      <c r="A6929"/>
      <c r="B6929"/>
      <c r="D6929"/>
      <c r="E6929"/>
      <c r="F6929"/>
      <c r="H6929"/>
    </row>
    <row r="6930" spans="1:8" ht="15">
      <c r="A6930"/>
      <c r="B6930"/>
      <c r="D6930"/>
      <c r="E6930"/>
      <c r="F6930"/>
      <c r="H6930"/>
    </row>
    <row r="6931" spans="1:8" ht="15">
      <c r="A6931"/>
      <c r="B6931"/>
      <c r="D6931"/>
      <c r="E6931"/>
      <c r="F6931"/>
      <c r="H6931"/>
    </row>
    <row r="6932" spans="1:8" ht="15">
      <c r="A6932"/>
      <c r="B6932"/>
      <c r="D6932"/>
      <c r="E6932"/>
      <c r="F6932"/>
      <c r="H6932"/>
    </row>
    <row r="6933" spans="1:8" ht="15">
      <c r="A6933"/>
      <c r="B6933"/>
      <c r="D6933"/>
      <c r="E6933"/>
      <c r="F6933"/>
      <c r="H6933"/>
    </row>
    <row r="6934" spans="1:8" ht="15">
      <c r="A6934"/>
      <c r="B6934"/>
      <c r="D6934"/>
      <c r="E6934"/>
      <c r="F6934"/>
      <c r="H6934"/>
    </row>
    <row r="6935" spans="1:8" ht="15">
      <c r="A6935"/>
      <c r="B6935"/>
      <c r="D6935"/>
      <c r="E6935"/>
      <c r="F6935"/>
      <c r="H6935"/>
    </row>
    <row r="6936" spans="1:8" ht="15">
      <c r="A6936"/>
      <c r="B6936"/>
      <c r="D6936"/>
      <c r="E6936"/>
      <c r="F6936"/>
      <c r="H6936"/>
    </row>
    <row r="6937" spans="1:8" ht="15">
      <c r="A6937"/>
      <c r="B6937"/>
      <c r="D6937"/>
      <c r="E6937"/>
      <c r="F6937"/>
      <c r="H6937"/>
    </row>
    <row r="6938" spans="1:8" ht="15">
      <c r="A6938"/>
      <c r="B6938"/>
      <c r="D6938"/>
      <c r="E6938"/>
      <c r="F6938"/>
      <c r="H6938"/>
    </row>
    <row r="6939" spans="1:8" ht="15">
      <c r="A6939"/>
      <c r="B6939"/>
      <c r="D6939"/>
      <c r="E6939"/>
      <c r="F6939"/>
      <c r="H6939"/>
    </row>
    <row r="6940" spans="1:8" ht="15">
      <c r="A6940"/>
      <c r="B6940"/>
      <c r="D6940"/>
      <c r="E6940"/>
      <c r="F6940"/>
      <c r="H6940"/>
    </row>
    <row r="6941" spans="1:8" ht="15">
      <c r="A6941"/>
      <c r="B6941"/>
      <c r="D6941"/>
      <c r="E6941"/>
      <c r="F6941"/>
      <c r="H6941"/>
    </row>
    <row r="6942" spans="1:8" ht="15">
      <c r="A6942"/>
      <c r="B6942"/>
      <c r="D6942"/>
      <c r="E6942"/>
      <c r="F6942"/>
      <c r="H6942"/>
    </row>
    <row r="6943" spans="1:8" ht="15">
      <c r="A6943"/>
      <c r="B6943"/>
      <c r="D6943"/>
      <c r="E6943"/>
      <c r="F6943"/>
      <c r="H6943"/>
    </row>
    <row r="6944" spans="1:8" ht="15">
      <c r="A6944"/>
      <c r="B6944"/>
      <c r="D6944"/>
      <c r="E6944"/>
      <c r="F6944"/>
      <c r="H6944"/>
    </row>
    <row r="6945" spans="1:8" ht="15">
      <c r="A6945"/>
      <c r="B6945"/>
      <c r="D6945"/>
      <c r="E6945"/>
      <c r="F6945"/>
      <c r="H6945"/>
    </row>
    <row r="6946" spans="1:8" ht="15">
      <c r="A6946"/>
      <c r="B6946"/>
      <c r="D6946"/>
      <c r="E6946"/>
      <c r="F6946"/>
      <c r="H6946"/>
    </row>
    <row r="6947" spans="1:8" ht="15">
      <c r="A6947"/>
      <c r="B6947"/>
      <c r="D6947"/>
      <c r="E6947"/>
      <c r="F6947"/>
      <c r="H6947"/>
    </row>
    <row r="6948" spans="1:8" ht="15">
      <c r="A6948"/>
      <c r="B6948"/>
      <c r="D6948"/>
      <c r="E6948"/>
      <c r="F6948"/>
      <c r="H6948"/>
    </row>
    <row r="6949" spans="1:8" ht="15">
      <c r="A6949"/>
      <c r="B6949"/>
      <c r="D6949"/>
      <c r="E6949"/>
      <c r="F6949"/>
      <c r="H6949"/>
    </row>
    <row r="6950" spans="1:8" ht="15">
      <c r="A6950"/>
      <c r="B6950"/>
      <c r="D6950"/>
      <c r="E6950"/>
      <c r="F6950"/>
      <c r="H6950"/>
    </row>
    <row r="6951" spans="1:8" ht="15">
      <c r="A6951"/>
      <c r="B6951"/>
      <c r="D6951"/>
      <c r="E6951"/>
      <c r="F6951"/>
      <c r="H6951"/>
    </row>
    <row r="6952" spans="1:8" ht="15">
      <c r="A6952"/>
      <c r="B6952"/>
      <c r="D6952"/>
      <c r="E6952"/>
      <c r="F6952"/>
      <c r="H6952"/>
    </row>
    <row r="6953" spans="1:8" ht="15">
      <c r="A6953"/>
      <c r="B6953"/>
      <c r="D6953"/>
      <c r="E6953"/>
      <c r="F6953"/>
      <c r="H6953"/>
    </row>
    <row r="6954" spans="1:8" ht="15">
      <c r="A6954"/>
      <c r="B6954"/>
      <c r="D6954"/>
      <c r="E6954"/>
      <c r="F6954"/>
      <c r="H6954"/>
    </row>
    <row r="6955" spans="1:8" ht="15">
      <c r="A6955"/>
      <c r="B6955"/>
      <c r="D6955"/>
      <c r="E6955"/>
      <c r="F6955"/>
      <c r="H6955"/>
    </row>
    <row r="6956" spans="1:8" ht="15">
      <c r="A6956"/>
      <c r="B6956"/>
      <c r="D6956"/>
      <c r="E6956"/>
      <c r="F6956"/>
      <c r="H6956"/>
    </row>
    <row r="6957" spans="1:8" ht="15">
      <c r="A6957"/>
      <c r="B6957"/>
      <c r="D6957"/>
      <c r="E6957"/>
      <c r="F6957"/>
      <c r="H6957"/>
    </row>
    <row r="6958" spans="1:8" ht="15">
      <c r="A6958"/>
      <c r="B6958"/>
      <c r="D6958"/>
      <c r="E6958"/>
      <c r="F6958"/>
      <c r="H6958"/>
    </row>
    <row r="6959" spans="1:8" ht="15">
      <c r="A6959"/>
      <c r="B6959"/>
      <c r="D6959"/>
      <c r="E6959"/>
      <c r="F6959"/>
      <c r="H6959"/>
    </row>
    <row r="6960" spans="1:8" ht="15">
      <c r="A6960"/>
      <c r="B6960"/>
      <c r="D6960"/>
      <c r="E6960"/>
      <c r="F6960"/>
      <c r="H6960"/>
    </row>
    <row r="6961" spans="1:8" ht="15">
      <c r="A6961"/>
      <c r="B6961"/>
      <c r="D6961"/>
      <c r="E6961"/>
      <c r="F6961"/>
      <c r="H6961"/>
    </row>
    <row r="6962" spans="1:8" ht="15">
      <c r="A6962"/>
      <c r="B6962"/>
      <c r="D6962"/>
      <c r="E6962"/>
      <c r="F6962"/>
      <c r="H6962"/>
    </row>
    <row r="6963" spans="1:8" ht="15">
      <c r="A6963"/>
      <c r="B6963"/>
      <c r="D6963"/>
      <c r="E6963"/>
      <c r="F6963"/>
      <c r="H6963"/>
    </row>
    <row r="6964" spans="1:8" ht="15">
      <c r="A6964"/>
      <c r="B6964"/>
      <c r="D6964"/>
      <c r="E6964"/>
      <c r="F6964"/>
      <c r="H6964"/>
    </row>
    <row r="6965" spans="1:8" ht="15">
      <c r="A6965"/>
      <c r="B6965"/>
      <c r="D6965"/>
      <c r="E6965"/>
      <c r="F6965"/>
      <c r="H6965"/>
    </row>
    <row r="6966" spans="1:8" ht="15">
      <c r="A6966"/>
      <c r="B6966"/>
      <c r="D6966"/>
      <c r="E6966"/>
      <c r="F6966"/>
      <c r="H6966"/>
    </row>
    <row r="6967" spans="1:8" ht="15">
      <c r="A6967"/>
      <c r="B6967"/>
      <c r="D6967"/>
      <c r="E6967"/>
      <c r="F6967"/>
      <c r="H6967"/>
    </row>
    <row r="6968" spans="1:8" ht="15">
      <c r="A6968"/>
      <c r="B6968"/>
      <c r="D6968"/>
      <c r="E6968"/>
      <c r="F6968"/>
      <c r="H6968"/>
    </row>
    <row r="6969" spans="1:8" ht="15">
      <c r="A6969"/>
      <c r="B6969"/>
      <c r="D6969"/>
      <c r="E6969"/>
      <c r="F6969"/>
      <c r="H6969"/>
    </row>
    <row r="6970" spans="1:8" ht="15">
      <c r="A6970"/>
      <c r="B6970"/>
      <c r="D6970"/>
      <c r="E6970"/>
      <c r="F6970"/>
      <c r="H6970"/>
    </row>
    <row r="6971" spans="1:8" ht="15">
      <c r="A6971"/>
      <c r="B6971"/>
      <c r="D6971"/>
      <c r="E6971"/>
      <c r="F6971"/>
      <c r="H6971"/>
    </row>
    <row r="6972" spans="1:8" ht="15">
      <c r="A6972"/>
      <c r="B6972"/>
      <c r="D6972"/>
      <c r="E6972"/>
      <c r="F6972"/>
      <c r="H6972"/>
    </row>
    <row r="6973" spans="1:8" ht="15">
      <c r="A6973"/>
      <c r="B6973"/>
      <c r="D6973"/>
      <c r="E6973"/>
      <c r="F6973"/>
      <c r="H6973"/>
    </row>
    <row r="6974" spans="1:8" ht="15">
      <c r="A6974"/>
      <c r="B6974"/>
      <c r="D6974"/>
      <c r="E6974"/>
      <c r="F6974"/>
      <c r="H6974"/>
    </row>
    <row r="6975" spans="1:8" ht="15">
      <c r="A6975"/>
      <c r="B6975"/>
      <c r="D6975"/>
      <c r="E6975"/>
      <c r="F6975"/>
      <c r="H6975"/>
    </row>
    <row r="6976" spans="1:8" ht="15">
      <c r="A6976"/>
      <c r="B6976"/>
      <c r="D6976"/>
      <c r="E6976"/>
      <c r="F6976"/>
      <c r="H6976"/>
    </row>
    <row r="6977" spans="1:8" ht="15">
      <c r="A6977"/>
      <c r="B6977"/>
      <c r="D6977"/>
      <c r="E6977"/>
      <c r="F6977"/>
      <c r="H6977"/>
    </row>
    <row r="6978" spans="1:8" ht="15">
      <c r="A6978"/>
      <c r="B6978"/>
      <c r="D6978"/>
      <c r="E6978"/>
      <c r="F6978"/>
      <c r="H6978"/>
    </row>
    <row r="6979" spans="1:8" ht="15">
      <c r="A6979"/>
      <c r="B6979"/>
      <c r="D6979"/>
      <c r="E6979"/>
      <c r="F6979"/>
      <c r="H6979"/>
    </row>
    <row r="6980" spans="1:8" ht="15">
      <c r="A6980"/>
      <c r="B6980"/>
      <c r="D6980"/>
      <c r="E6980"/>
      <c r="F6980"/>
      <c r="H6980"/>
    </row>
    <row r="6981" spans="1:8" ht="15">
      <c r="A6981"/>
      <c r="B6981"/>
      <c r="D6981"/>
      <c r="E6981"/>
      <c r="F6981"/>
      <c r="H6981"/>
    </row>
    <row r="6982" spans="1:8" ht="15">
      <c r="A6982"/>
      <c r="B6982"/>
      <c r="D6982"/>
      <c r="E6982"/>
      <c r="F6982"/>
      <c r="H6982"/>
    </row>
    <row r="6983" spans="1:8" ht="15">
      <c r="A6983"/>
      <c r="B6983"/>
      <c r="D6983"/>
      <c r="E6983"/>
      <c r="F6983"/>
      <c r="H6983"/>
    </row>
    <row r="6984" spans="1:8" ht="15">
      <c r="A6984"/>
      <c r="B6984"/>
      <c r="D6984"/>
      <c r="E6984"/>
      <c r="F6984"/>
      <c r="H6984"/>
    </row>
    <row r="6985" spans="1:8" ht="15">
      <c r="A6985"/>
      <c r="B6985"/>
      <c r="D6985"/>
      <c r="E6985"/>
      <c r="F6985"/>
      <c r="H6985"/>
    </row>
    <row r="6986" spans="1:8" ht="15">
      <c r="A6986"/>
      <c r="B6986"/>
      <c r="D6986"/>
      <c r="E6986"/>
      <c r="F6986"/>
      <c r="H6986"/>
    </row>
    <row r="6987" spans="1:8" ht="15">
      <c r="A6987"/>
      <c r="B6987"/>
      <c r="D6987"/>
      <c r="E6987"/>
      <c r="F6987"/>
      <c r="H6987"/>
    </row>
    <row r="6988" spans="1:8" ht="15">
      <c r="A6988"/>
      <c r="B6988"/>
      <c r="D6988"/>
      <c r="E6988"/>
      <c r="F6988"/>
      <c r="H6988"/>
    </row>
    <row r="6989" spans="1:8" ht="15">
      <c r="A6989"/>
      <c r="B6989"/>
      <c r="D6989"/>
      <c r="E6989"/>
      <c r="F6989"/>
      <c r="H6989"/>
    </row>
    <row r="6990" spans="1:8" ht="15">
      <c r="A6990"/>
      <c r="B6990"/>
      <c r="D6990"/>
      <c r="E6990"/>
      <c r="F6990"/>
      <c r="H6990"/>
    </row>
    <row r="6991" spans="1:8" ht="15">
      <c r="A6991"/>
      <c r="B6991"/>
      <c r="D6991"/>
      <c r="E6991"/>
      <c r="F6991"/>
      <c r="H6991"/>
    </row>
    <row r="6992" spans="1:8" ht="15">
      <c r="A6992"/>
      <c r="B6992"/>
      <c r="D6992"/>
      <c r="E6992"/>
      <c r="F6992"/>
      <c r="H6992"/>
    </row>
    <row r="6993" spans="1:8" ht="15">
      <c r="A6993"/>
      <c r="B6993"/>
      <c r="D6993"/>
      <c r="E6993"/>
      <c r="F6993"/>
      <c r="H6993"/>
    </row>
    <row r="6994" spans="1:8" ht="15">
      <c r="A6994"/>
      <c r="B6994"/>
      <c r="D6994"/>
      <c r="E6994"/>
      <c r="F6994"/>
      <c r="H6994"/>
    </row>
    <row r="6995" spans="1:8" ht="15">
      <c r="A6995"/>
      <c r="B6995"/>
      <c r="D6995"/>
      <c r="E6995"/>
      <c r="F6995"/>
      <c r="H6995"/>
    </row>
    <row r="6996" spans="1:8" ht="15">
      <c r="A6996"/>
      <c r="B6996"/>
      <c r="D6996"/>
      <c r="E6996"/>
      <c r="F6996"/>
      <c r="H6996"/>
    </row>
    <row r="6997" spans="1:8" ht="15">
      <c r="A6997"/>
      <c r="B6997"/>
      <c r="D6997"/>
      <c r="E6997"/>
      <c r="F6997"/>
      <c r="H6997"/>
    </row>
    <row r="6998" spans="1:8" ht="15">
      <c r="A6998"/>
      <c r="B6998"/>
      <c r="D6998"/>
      <c r="E6998"/>
      <c r="F6998"/>
      <c r="H6998"/>
    </row>
    <row r="6999" spans="1:8" ht="15">
      <c r="A6999"/>
      <c r="B6999"/>
      <c r="D6999"/>
      <c r="E6999"/>
      <c r="F6999"/>
      <c r="H6999"/>
    </row>
    <row r="7000" spans="1:8" ht="15">
      <c r="A7000"/>
      <c r="B7000"/>
      <c r="D7000"/>
      <c r="E7000"/>
      <c r="F7000"/>
      <c r="H7000"/>
    </row>
    <row r="7001" spans="1:8" ht="15">
      <c r="A7001"/>
      <c r="B7001"/>
      <c r="D7001"/>
      <c r="E7001"/>
      <c r="F7001"/>
      <c r="H7001"/>
    </row>
    <row r="7002" spans="1:8" ht="15">
      <c r="A7002"/>
      <c r="B7002"/>
      <c r="D7002"/>
      <c r="E7002"/>
      <c r="F7002"/>
      <c r="H7002"/>
    </row>
    <row r="7003" spans="1:8" ht="15">
      <c r="A7003"/>
      <c r="B7003"/>
      <c r="D7003"/>
      <c r="E7003"/>
      <c r="F7003"/>
      <c r="H7003"/>
    </row>
    <row r="7004" spans="1:8" ht="15">
      <c r="A7004"/>
      <c r="B7004"/>
      <c r="D7004"/>
      <c r="E7004"/>
      <c r="F7004"/>
      <c r="H7004"/>
    </row>
    <row r="7005" spans="1:8" ht="15">
      <c r="A7005"/>
      <c r="B7005"/>
      <c r="D7005"/>
      <c r="E7005"/>
      <c r="F7005"/>
      <c r="H7005"/>
    </row>
    <row r="7006" spans="1:8" ht="15">
      <c r="A7006"/>
      <c r="B7006"/>
      <c r="D7006"/>
      <c r="E7006"/>
      <c r="F7006"/>
      <c r="H7006"/>
    </row>
    <row r="7007" spans="1:8" ht="15">
      <c r="A7007"/>
      <c r="B7007"/>
      <c r="D7007"/>
      <c r="E7007"/>
      <c r="F7007"/>
      <c r="H7007"/>
    </row>
    <row r="7008" spans="1:8" ht="15">
      <c r="A7008"/>
      <c r="B7008"/>
      <c r="D7008"/>
      <c r="E7008"/>
      <c r="F7008"/>
      <c r="H7008"/>
    </row>
    <row r="7009" spans="1:8" ht="15">
      <c r="A7009"/>
      <c r="B7009"/>
      <c r="D7009"/>
      <c r="E7009"/>
      <c r="F7009"/>
      <c r="H7009"/>
    </row>
    <row r="7010" spans="1:8" ht="15">
      <c r="A7010"/>
      <c r="B7010"/>
      <c r="D7010"/>
      <c r="E7010"/>
      <c r="F7010"/>
      <c r="H7010"/>
    </row>
    <row r="7011" spans="1:8" ht="15">
      <c r="A7011"/>
      <c r="B7011"/>
      <c r="D7011"/>
      <c r="E7011"/>
      <c r="F7011"/>
      <c r="H7011"/>
    </row>
    <row r="7012" spans="1:8" ht="15">
      <c r="A7012"/>
      <c r="B7012"/>
      <c r="D7012"/>
      <c r="E7012"/>
      <c r="F7012"/>
      <c r="H7012"/>
    </row>
    <row r="7013" spans="1:8" ht="15">
      <c r="A7013"/>
      <c r="B7013"/>
      <c r="D7013"/>
      <c r="E7013"/>
      <c r="F7013"/>
      <c r="H7013"/>
    </row>
    <row r="7014" spans="1:8" ht="15">
      <c r="A7014"/>
      <c r="B7014"/>
      <c r="D7014"/>
      <c r="E7014"/>
      <c r="F7014"/>
      <c r="H7014"/>
    </row>
    <row r="7015" spans="1:8" ht="15">
      <c r="A7015"/>
      <c r="B7015"/>
      <c r="D7015"/>
      <c r="E7015"/>
      <c r="F7015"/>
      <c r="H7015"/>
    </row>
    <row r="7016" spans="1:8" ht="15">
      <c r="A7016"/>
      <c r="B7016"/>
      <c r="D7016"/>
      <c r="E7016"/>
      <c r="F7016"/>
      <c r="H7016"/>
    </row>
    <row r="7017" spans="1:8" ht="15">
      <c r="A7017"/>
      <c r="B7017"/>
      <c r="D7017"/>
      <c r="E7017"/>
      <c r="F7017"/>
      <c r="H7017"/>
    </row>
    <row r="7018" spans="1:8" ht="15">
      <c r="A7018"/>
      <c r="B7018"/>
      <c r="D7018"/>
      <c r="E7018"/>
      <c r="F7018"/>
      <c r="H7018"/>
    </row>
    <row r="7019" spans="1:8" ht="15">
      <c r="A7019"/>
      <c r="B7019"/>
      <c r="D7019"/>
      <c r="E7019"/>
      <c r="F7019"/>
      <c r="H7019"/>
    </row>
    <row r="7020" spans="1:8" ht="15">
      <c r="A7020"/>
      <c r="B7020"/>
      <c r="D7020"/>
      <c r="E7020"/>
      <c r="F7020"/>
      <c r="H7020"/>
    </row>
    <row r="7021" spans="1:8" ht="15">
      <c r="A7021"/>
      <c r="B7021"/>
      <c r="D7021"/>
      <c r="E7021"/>
      <c r="F7021"/>
      <c r="H7021"/>
    </row>
    <row r="7022" spans="1:8" ht="15">
      <c r="A7022"/>
      <c r="B7022"/>
      <c r="D7022"/>
      <c r="E7022"/>
      <c r="F7022"/>
      <c r="H7022"/>
    </row>
    <row r="7023" spans="1:8" ht="15">
      <c r="A7023"/>
      <c r="B7023"/>
      <c r="D7023"/>
      <c r="E7023"/>
      <c r="F7023"/>
      <c r="H7023"/>
    </row>
    <row r="7024" spans="1:8" ht="15">
      <c r="A7024"/>
      <c r="B7024"/>
      <c r="D7024"/>
      <c r="E7024"/>
      <c r="F7024"/>
      <c r="H7024"/>
    </row>
    <row r="7025" spans="1:8" ht="15">
      <c r="A7025"/>
      <c r="B7025"/>
      <c r="D7025"/>
      <c r="E7025"/>
      <c r="F7025"/>
      <c r="H7025"/>
    </row>
    <row r="7026" spans="1:8" ht="15">
      <c r="A7026"/>
      <c r="B7026"/>
      <c r="D7026"/>
      <c r="E7026"/>
      <c r="F7026"/>
      <c r="H7026"/>
    </row>
    <row r="7027" spans="1:8" ht="15">
      <c r="A7027"/>
      <c r="B7027"/>
      <c r="D7027"/>
      <c r="E7027"/>
      <c r="F7027"/>
      <c r="H7027"/>
    </row>
    <row r="7028" spans="1:8" ht="15">
      <c r="A7028"/>
      <c r="B7028"/>
      <c r="D7028"/>
      <c r="E7028"/>
      <c r="F7028"/>
      <c r="H7028"/>
    </row>
    <row r="7029" spans="1:8" ht="15">
      <c r="A7029"/>
      <c r="B7029"/>
      <c r="D7029"/>
      <c r="E7029"/>
      <c r="F7029"/>
      <c r="H7029"/>
    </row>
    <row r="7030" spans="1:8" ht="15">
      <c r="A7030"/>
      <c r="B7030"/>
      <c r="D7030"/>
      <c r="E7030"/>
      <c r="F7030"/>
      <c r="H7030"/>
    </row>
    <row r="7031" spans="1:8" ht="15">
      <c r="A7031"/>
      <c r="B7031"/>
      <c r="D7031"/>
      <c r="E7031"/>
      <c r="F7031"/>
      <c r="H7031"/>
    </row>
    <row r="7032" spans="1:8" ht="15">
      <c r="A7032"/>
      <c r="B7032"/>
      <c r="D7032"/>
      <c r="E7032"/>
      <c r="F7032"/>
      <c r="H7032"/>
    </row>
    <row r="7033" spans="1:8" ht="15">
      <c r="A7033"/>
      <c r="B7033"/>
      <c r="D7033"/>
      <c r="E7033"/>
      <c r="F7033"/>
      <c r="H7033"/>
    </row>
    <row r="7034" spans="1:8" ht="15">
      <c r="A7034"/>
      <c r="B7034"/>
      <c r="D7034"/>
      <c r="E7034"/>
      <c r="F7034"/>
      <c r="H7034"/>
    </row>
    <row r="7035" spans="1:8" ht="15">
      <c r="A7035"/>
      <c r="B7035"/>
      <c r="D7035"/>
      <c r="E7035"/>
      <c r="F7035"/>
      <c r="H7035"/>
    </row>
    <row r="7036" spans="1:8" ht="15">
      <c r="A7036"/>
      <c r="B7036"/>
      <c r="D7036"/>
      <c r="E7036"/>
      <c r="F7036"/>
      <c r="H7036"/>
    </row>
    <row r="7037" spans="1:8" ht="15">
      <c r="A7037"/>
      <c r="B7037"/>
      <c r="D7037"/>
      <c r="E7037"/>
      <c r="F7037"/>
      <c r="H7037"/>
    </row>
    <row r="7038" spans="1:8" ht="15">
      <c r="A7038"/>
      <c r="B7038"/>
      <c r="D7038"/>
      <c r="E7038"/>
      <c r="F7038"/>
      <c r="H7038"/>
    </row>
    <row r="7039" spans="1:8" ht="15">
      <c r="A7039"/>
      <c r="B7039"/>
      <c r="D7039"/>
      <c r="E7039"/>
      <c r="F7039"/>
      <c r="H7039"/>
    </row>
    <row r="7040" spans="1:8" ht="15">
      <c r="A7040"/>
      <c r="B7040"/>
      <c r="D7040"/>
      <c r="E7040"/>
      <c r="F7040"/>
      <c r="H7040"/>
    </row>
    <row r="7041" spans="1:8" ht="15">
      <c r="A7041"/>
      <c r="B7041"/>
      <c r="D7041"/>
      <c r="E7041"/>
      <c r="F7041"/>
      <c r="H7041"/>
    </row>
    <row r="7042" spans="1:8" ht="15">
      <c r="A7042"/>
      <c r="B7042"/>
      <c r="D7042"/>
      <c r="E7042"/>
      <c r="F7042"/>
      <c r="H7042"/>
    </row>
    <row r="7043" spans="1:8" ht="15">
      <c r="A7043"/>
      <c r="B7043"/>
      <c r="D7043"/>
      <c r="E7043"/>
      <c r="F7043"/>
      <c r="H7043"/>
    </row>
    <row r="7044" spans="1:8" ht="15">
      <c r="A7044"/>
      <c r="B7044"/>
      <c r="D7044"/>
      <c r="E7044"/>
      <c r="F7044"/>
      <c r="H7044"/>
    </row>
    <row r="7045" spans="1:8" ht="15">
      <c r="A7045"/>
      <c r="B7045"/>
      <c r="D7045"/>
      <c r="E7045"/>
      <c r="F7045"/>
      <c r="H7045"/>
    </row>
    <row r="7046" spans="1:8" ht="15">
      <c r="A7046"/>
      <c r="B7046"/>
      <c r="D7046"/>
      <c r="E7046"/>
      <c r="F7046"/>
      <c r="H7046"/>
    </row>
    <row r="7047" spans="1:8" ht="15">
      <c r="A7047"/>
      <c r="B7047"/>
      <c r="D7047"/>
      <c r="E7047"/>
      <c r="F7047"/>
      <c r="H7047"/>
    </row>
    <row r="7048" spans="1:8" ht="15">
      <c r="A7048"/>
      <c r="B7048"/>
      <c r="D7048"/>
      <c r="E7048"/>
      <c r="F7048"/>
      <c r="H7048"/>
    </row>
    <row r="7049" spans="1:8" ht="15">
      <c r="A7049"/>
      <c r="B7049"/>
      <c r="D7049"/>
      <c r="E7049"/>
      <c r="F7049"/>
      <c r="H7049"/>
    </row>
    <row r="7050" spans="1:8" ht="15">
      <c r="A7050"/>
      <c r="B7050"/>
      <c r="D7050"/>
      <c r="E7050"/>
      <c r="F7050"/>
      <c r="H7050"/>
    </row>
    <row r="7051" spans="1:8" ht="15">
      <c r="A7051"/>
      <c r="B7051"/>
      <c r="D7051"/>
      <c r="E7051"/>
      <c r="F7051"/>
      <c r="H7051"/>
    </row>
    <row r="7052" spans="1:8" ht="15">
      <c r="A7052"/>
      <c r="B7052"/>
      <c r="D7052"/>
      <c r="E7052"/>
      <c r="F7052"/>
      <c r="H7052"/>
    </row>
    <row r="7053" spans="1:8" ht="15">
      <c r="A7053"/>
      <c r="B7053"/>
      <c r="D7053"/>
      <c r="E7053"/>
      <c r="F7053"/>
      <c r="H7053"/>
    </row>
    <row r="7054" spans="1:8" ht="15">
      <c r="A7054"/>
      <c r="B7054"/>
      <c r="D7054"/>
      <c r="E7054"/>
      <c r="F7054"/>
      <c r="H7054"/>
    </row>
    <row r="7055" spans="1:8" ht="15">
      <c r="A7055"/>
      <c r="B7055"/>
      <c r="D7055"/>
      <c r="E7055"/>
      <c r="F7055"/>
      <c r="H7055"/>
    </row>
    <row r="7056" spans="1:8" ht="15">
      <c r="A7056"/>
      <c r="B7056"/>
      <c r="D7056"/>
      <c r="E7056"/>
      <c r="F7056"/>
      <c r="H7056"/>
    </row>
    <row r="7057" spans="1:8" ht="15">
      <c r="A7057"/>
      <c r="B7057"/>
      <c r="D7057"/>
      <c r="E7057"/>
      <c r="F7057"/>
      <c r="H7057"/>
    </row>
    <row r="7058" spans="1:8" ht="15">
      <c r="A7058"/>
      <c r="B7058"/>
      <c r="D7058"/>
      <c r="E7058"/>
      <c r="F7058"/>
      <c r="H7058"/>
    </row>
    <row r="7059" spans="1:8" ht="15">
      <c r="A7059"/>
      <c r="B7059"/>
      <c r="D7059"/>
      <c r="E7059"/>
      <c r="F7059"/>
      <c r="H7059"/>
    </row>
    <row r="7060" spans="1:8" ht="15">
      <c r="A7060"/>
      <c r="B7060"/>
      <c r="D7060"/>
      <c r="E7060"/>
      <c r="F7060"/>
      <c r="H7060"/>
    </row>
    <row r="7061" spans="1:8" ht="15">
      <c r="A7061"/>
      <c r="B7061"/>
      <c r="D7061"/>
      <c r="E7061"/>
      <c r="F7061"/>
      <c r="H7061"/>
    </row>
    <row r="7062" spans="1:8" ht="15">
      <c r="A7062"/>
      <c r="B7062"/>
      <c r="D7062"/>
      <c r="E7062"/>
      <c r="F7062"/>
      <c r="H7062"/>
    </row>
    <row r="7063" spans="1:8" ht="15">
      <c r="A7063"/>
      <c r="B7063"/>
      <c r="D7063"/>
      <c r="E7063"/>
      <c r="F7063"/>
      <c r="H7063"/>
    </row>
    <row r="7064" spans="1:8" ht="15">
      <c r="A7064"/>
      <c r="B7064"/>
      <c r="D7064"/>
      <c r="E7064"/>
      <c r="F7064"/>
      <c r="H7064"/>
    </row>
    <row r="7065" spans="1:8" ht="15">
      <c r="A7065"/>
      <c r="B7065"/>
      <c r="D7065"/>
      <c r="E7065"/>
      <c r="F7065"/>
      <c r="H7065"/>
    </row>
    <row r="7066" spans="1:8" ht="15">
      <c r="A7066"/>
      <c r="B7066"/>
      <c r="D7066"/>
      <c r="E7066"/>
      <c r="F7066"/>
      <c r="H7066"/>
    </row>
    <row r="7067" spans="1:8" ht="15">
      <c r="A7067"/>
      <c r="B7067"/>
      <c r="D7067"/>
      <c r="E7067"/>
      <c r="F7067"/>
      <c r="H7067"/>
    </row>
    <row r="7068" spans="1:8" ht="15">
      <c r="A7068"/>
      <c r="B7068"/>
      <c r="D7068"/>
      <c r="E7068"/>
      <c r="F7068"/>
      <c r="H7068"/>
    </row>
    <row r="7069" spans="1:8" ht="15">
      <c r="A7069"/>
      <c r="B7069"/>
      <c r="D7069"/>
      <c r="E7069"/>
      <c r="F7069"/>
      <c r="H7069"/>
    </row>
    <row r="7070" spans="1:8" ht="15">
      <c r="A7070"/>
      <c r="B7070"/>
      <c r="D7070"/>
      <c r="E7070"/>
      <c r="F7070"/>
      <c r="H7070"/>
    </row>
    <row r="7071" spans="1:8" ht="15">
      <c r="A7071"/>
      <c r="B7071"/>
      <c r="D7071"/>
      <c r="E7071"/>
      <c r="F7071"/>
      <c r="H7071"/>
    </row>
    <row r="7072" spans="1:8" ht="15">
      <c r="A7072"/>
      <c r="B7072"/>
      <c r="D7072"/>
      <c r="E7072"/>
      <c r="F7072"/>
      <c r="H7072"/>
    </row>
    <row r="7073" spans="1:8" ht="15">
      <c r="A7073"/>
      <c r="B7073"/>
      <c r="D7073"/>
      <c r="E7073"/>
      <c r="F7073"/>
      <c r="H7073"/>
    </row>
    <row r="7074" spans="1:8" ht="15">
      <c r="A7074"/>
      <c r="B7074"/>
      <c r="D7074"/>
      <c r="E7074"/>
      <c r="F7074"/>
      <c r="H7074"/>
    </row>
    <row r="7075" spans="1:8" ht="15">
      <c r="A7075"/>
      <c r="B7075"/>
      <c r="D7075"/>
      <c r="E7075"/>
      <c r="F7075"/>
      <c r="H7075"/>
    </row>
    <row r="7076" spans="1:8" ht="15">
      <c r="A7076"/>
      <c r="B7076"/>
      <c r="D7076"/>
      <c r="E7076"/>
      <c r="F7076"/>
      <c r="H7076"/>
    </row>
    <row r="7077" spans="1:8" ht="15">
      <c r="A7077"/>
      <c r="B7077"/>
      <c r="D7077"/>
      <c r="E7077"/>
      <c r="F7077"/>
      <c r="H7077"/>
    </row>
    <row r="7078" spans="1:8" ht="15">
      <c r="A7078"/>
      <c r="B7078"/>
      <c r="D7078"/>
      <c r="E7078"/>
      <c r="F7078"/>
      <c r="H7078"/>
    </row>
    <row r="7079" spans="1:8" ht="15">
      <c r="A7079"/>
      <c r="B7079"/>
      <c r="D7079"/>
      <c r="E7079"/>
      <c r="F7079"/>
      <c r="H7079"/>
    </row>
    <row r="7080" spans="1:8" ht="15">
      <c r="A7080"/>
      <c r="B7080"/>
      <c r="D7080"/>
      <c r="E7080"/>
      <c r="F7080"/>
      <c r="H7080"/>
    </row>
    <row r="7081" spans="1:8" ht="15">
      <c r="A7081"/>
      <c r="B7081"/>
      <c r="D7081"/>
      <c r="E7081"/>
      <c r="F7081"/>
      <c r="H7081"/>
    </row>
    <row r="7082" spans="1:8" ht="15">
      <c r="A7082"/>
      <c r="B7082"/>
      <c r="D7082"/>
      <c r="E7082"/>
      <c r="F7082"/>
      <c r="H7082"/>
    </row>
    <row r="7083" spans="1:8" ht="15">
      <c r="A7083"/>
      <c r="B7083"/>
      <c r="D7083"/>
      <c r="E7083"/>
      <c r="F7083"/>
      <c r="H7083"/>
    </row>
    <row r="7084" spans="1:8" ht="15">
      <c r="A7084"/>
      <c r="B7084"/>
      <c r="D7084"/>
      <c r="E7084"/>
      <c r="F7084"/>
      <c r="H7084"/>
    </row>
    <row r="7085" spans="1:8" ht="15">
      <c r="A7085"/>
      <c r="B7085"/>
      <c r="D7085"/>
      <c r="E7085"/>
      <c r="F7085"/>
      <c r="H7085"/>
    </row>
    <row r="7086" spans="1:8" ht="15">
      <c r="A7086"/>
      <c r="B7086"/>
      <c r="D7086"/>
      <c r="E7086"/>
      <c r="F7086"/>
      <c r="H7086"/>
    </row>
    <row r="7087" spans="1:8" ht="15">
      <c r="A7087"/>
      <c r="B7087"/>
      <c r="D7087"/>
      <c r="E7087"/>
      <c r="F7087"/>
      <c r="H7087"/>
    </row>
    <row r="7088" spans="1:8" ht="15">
      <c r="A7088"/>
      <c r="B7088"/>
      <c r="D7088"/>
      <c r="E7088"/>
      <c r="F7088"/>
      <c r="H7088"/>
    </row>
    <row r="7089" spans="1:8" ht="15">
      <c r="A7089"/>
      <c r="B7089"/>
      <c r="D7089"/>
      <c r="E7089"/>
      <c r="F7089"/>
      <c r="H7089"/>
    </row>
    <row r="7090" spans="1:8" ht="15">
      <c r="A7090"/>
      <c r="B7090"/>
      <c r="D7090"/>
      <c r="E7090"/>
      <c r="F7090"/>
      <c r="H7090"/>
    </row>
    <row r="7091" spans="1:8" ht="15">
      <c r="A7091"/>
      <c r="B7091"/>
      <c r="D7091"/>
      <c r="E7091"/>
      <c r="F7091"/>
      <c r="H7091"/>
    </row>
    <row r="7092" spans="1:8" ht="15">
      <c r="A7092"/>
      <c r="B7092"/>
      <c r="D7092"/>
      <c r="E7092"/>
      <c r="F7092"/>
      <c r="H7092"/>
    </row>
    <row r="7093" spans="1:8" ht="15">
      <c r="A7093"/>
      <c r="B7093"/>
      <c r="D7093"/>
      <c r="E7093"/>
      <c r="F7093"/>
      <c r="H7093"/>
    </row>
    <row r="7094" spans="1:8" ht="15">
      <c r="A7094"/>
      <c r="B7094"/>
      <c r="D7094"/>
      <c r="E7094"/>
      <c r="F7094"/>
      <c r="H7094"/>
    </row>
    <row r="7095" spans="1:8" ht="15">
      <c r="A7095"/>
      <c r="B7095"/>
      <c r="D7095"/>
      <c r="E7095"/>
      <c r="F7095"/>
      <c r="H7095"/>
    </row>
    <row r="7096" spans="1:8" ht="15">
      <c r="A7096"/>
      <c r="B7096"/>
      <c r="D7096"/>
      <c r="E7096"/>
      <c r="F7096"/>
      <c r="H7096"/>
    </row>
    <row r="7097" spans="1:8" ht="15">
      <c r="A7097"/>
      <c r="B7097"/>
      <c r="D7097"/>
      <c r="E7097"/>
      <c r="F7097"/>
      <c r="H7097"/>
    </row>
    <row r="7098" spans="1:8" ht="15">
      <c r="A7098"/>
      <c r="B7098"/>
      <c r="D7098"/>
      <c r="E7098"/>
      <c r="F7098"/>
      <c r="H7098"/>
    </row>
    <row r="7099" spans="1:8" ht="15">
      <c r="A7099"/>
      <c r="B7099"/>
      <c r="D7099"/>
      <c r="E7099"/>
      <c r="F7099"/>
      <c r="H7099"/>
    </row>
    <row r="7100" spans="1:8" ht="15">
      <c r="A7100"/>
      <c r="B7100"/>
      <c r="D7100"/>
      <c r="E7100"/>
      <c r="F7100"/>
      <c r="H7100"/>
    </row>
    <row r="7101" spans="1:8" ht="15">
      <c r="A7101"/>
      <c r="B7101"/>
      <c r="D7101"/>
      <c r="E7101"/>
      <c r="F7101"/>
      <c r="H7101"/>
    </row>
    <row r="7102" spans="1:8" ht="15">
      <c r="A7102"/>
      <c r="B7102"/>
      <c r="D7102"/>
      <c r="E7102"/>
      <c r="F7102"/>
      <c r="H7102"/>
    </row>
    <row r="7103" spans="1:8" ht="15">
      <c r="A7103"/>
      <c r="B7103"/>
      <c r="D7103"/>
      <c r="E7103"/>
      <c r="F7103"/>
      <c r="H7103"/>
    </row>
    <row r="7104" spans="1:8" ht="15">
      <c r="A7104"/>
      <c r="B7104"/>
      <c r="D7104"/>
      <c r="E7104"/>
      <c r="F7104"/>
      <c r="H7104"/>
    </row>
    <row r="7105" spans="1:8" ht="15">
      <c r="A7105"/>
      <c r="B7105"/>
      <c r="D7105"/>
      <c r="E7105"/>
      <c r="F7105"/>
      <c r="H7105"/>
    </row>
    <row r="7106" spans="1:8" ht="15">
      <c r="A7106"/>
      <c r="B7106"/>
      <c r="D7106"/>
      <c r="E7106"/>
      <c r="F7106"/>
      <c r="H7106"/>
    </row>
    <row r="7107" spans="1:8" ht="15">
      <c r="A7107"/>
      <c r="B7107"/>
      <c r="D7107"/>
      <c r="E7107"/>
      <c r="F7107"/>
      <c r="H7107"/>
    </row>
    <row r="7108" spans="1:8" ht="15">
      <c r="A7108"/>
      <c r="B7108"/>
      <c r="D7108"/>
      <c r="E7108"/>
      <c r="F7108"/>
      <c r="H7108"/>
    </row>
    <row r="7109" spans="1:8" ht="15">
      <c r="A7109"/>
      <c r="B7109"/>
      <c r="D7109"/>
      <c r="E7109"/>
      <c r="F7109"/>
      <c r="H7109"/>
    </row>
    <row r="7110" spans="1:8" ht="15">
      <c r="A7110"/>
      <c r="B7110"/>
      <c r="D7110"/>
      <c r="E7110"/>
      <c r="F7110"/>
      <c r="H7110"/>
    </row>
    <row r="7111" spans="1:8" ht="15">
      <c r="A7111"/>
      <c r="B7111"/>
      <c r="D7111"/>
      <c r="E7111"/>
      <c r="F7111"/>
      <c r="H7111"/>
    </row>
    <row r="7112" spans="1:8" ht="15">
      <c r="A7112"/>
      <c r="B7112"/>
      <c r="D7112"/>
      <c r="E7112"/>
      <c r="F7112"/>
      <c r="H7112"/>
    </row>
    <row r="7113" spans="1:8" ht="15">
      <c r="A7113"/>
      <c r="B7113"/>
      <c r="D7113"/>
      <c r="E7113"/>
      <c r="F7113"/>
      <c r="H7113"/>
    </row>
    <row r="7114" spans="1:8" ht="15">
      <c r="A7114"/>
      <c r="B7114"/>
      <c r="D7114"/>
      <c r="E7114"/>
      <c r="F7114"/>
      <c r="H7114"/>
    </row>
    <row r="7115" spans="1:8" ht="15">
      <c r="A7115"/>
      <c r="B7115"/>
      <c r="D7115"/>
      <c r="E7115"/>
      <c r="F7115"/>
      <c r="H7115"/>
    </row>
    <row r="7116" spans="1:8" ht="15">
      <c r="A7116"/>
      <c r="B7116"/>
      <c r="D7116"/>
      <c r="E7116"/>
      <c r="F7116"/>
      <c r="H7116"/>
    </row>
    <row r="7117" spans="1:8" ht="15">
      <c r="A7117"/>
      <c r="B7117"/>
      <c r="D7117"/>
      <c r="E7117"/>
      <c r="F7117"/>
      <c r="H7117"/>
    </row>
    <row r="7118" spans="1:8" ht="15">
      <c r="A7118"/>
      <c r="B7118"/>
      <c r="D7118"/>
      <c r="E7118"/>
      <c r="F7118"/>
      <c r="H7118"/>
    </row>
    <row r="7119" spans="1:8" ht="15">
      <c r="A7119"/>
      <c r="B7119"/>
      <c r="D7119"/>
      <c r="E7119"/>
      <c r="F7119"/>
      <c r="H7119"/>
    </row>
    <row r="7120" spans="1:8" ht="15">
      <c r="A7120"/>
      <c r="B7120"/>
      <c r="D7120"/>
      <c r="E7120"/>
      <c r="F7120"/>
      <c r="H7120"/>
    </row>
    <row r="7121" spans="1:8" ht="15">
      <c r="A7121"/>
      <c r="B7121"/>
      <c r="D7121"/>
      <c r="E7121"/>
      <c r="F7121"/>
      <c r="H7121"/>
    </row>
    <row r="7122" spans="1:8" ht="15">
      <c r="A7122"/>
      <c r="B7122"/>
      <c r="D7122"/>
      <c r="E7122"/>
      <c r="F7122"/>
      <c r="H7122"/>
    </row>
    <row r="7123" spans="1:8" ht="15">
      <c r="A7123"/>
      <c r="B7123"/>
      <c r="D7123"/>
      <c r="E7123"/>
      <c r="F7123"/>
      <c r="H7123"/>
    </row>
    <row r="7124" spans="1:8" ht="15">
      <c r="A7124"/>
      <c r="B7124"/>
      <c r="D7124"/>
      <c r="E7124"/>
      <c r="F7124"/>
      <c r="H7124"/>
    </row>
    <row r="7125" spans="1:8" ht="15">
      <c r="A7125"/>
      <c r="B7125"/>
      <c r="D7125"/>
      <c r="E7125"/>
      <c r="F7125"/>
      <c r="H7125"/>
    </row>
    <row r="7126" spans="1:8" ht="15">
      <c r="A7126"/>
      <c r="B7126"/>
      <c r="D7126"/>
      <c r="E7126"/>
      <c r="F7126"/>
      <c r="H7126"/>
    </row>
    <row r="7127" spans="1:8" ht="15">
      <c r="A7127"/>
      <c r="B7127"/>
      <c r="D7127"/>
      <c r="E7127"/>
      <c r="F7127"/>
      <c r="H7127"/>
    </row>
    <row r="7128" spans="1:8" ht="15">
      <c r="A7128"/>
      <c r="B7128"/>
      <c r="D7128"/>
      <c r="E7128"/>
      <c r="F7128"/>
      <c r="H7128"/>
    </row>
    <row r="7129" spans="1:8" ht="15">
      <c r="A7129"/>
      <c r="B7129"/>
      <c r="D7129"/>
      <c r="E7129"/>
      <c r="F7129"/>
      <c r="H7129"/>
    </row>
    <row r="7130" spans="1:8" ht="15">
      <c r="A7130"/>
      <c r="B7130"/>
      <c r="D7130"/>
      <c r="E7130"/>
      <c r="F7130"/>
      <c r="H7130"/>
    </row>
    <row r="7131" spans="1:8" ht="15">
      <c r="A7131"/>
      <c r="B7131"/>
      <c r="D7131"/>
      <c r="E7131"/>
      <c r="F7131"/>
      <c r="H7131"/>
    </row>
    <row r="7132" spans="1:8" ht="15">
      <c r="A7132"/>
      <c r="B7132"/>
      <c r="D7132"/>
      <c r="E7132"/>
      <c r="F7132"/>
      <c r="H7132"/>
    </row>
    <row r="7133" spans="1:8" ht="15">
      <c r="A7133"/>
      <c r="B7133"/>
      <c r="D7133"/>
      <c r="E7133"/>
      <c r="F7133"/>
      <c r="H7133"/>
    </row>
    <row r="7134" spans="1:8" ht="15">
      <c r="A7134"/>
      <c r="B7134"/>
      <c r="D7134"/>
      <c r="E7134"/>
      <c r="F7134"/>
      <c r="H7134"/>
    </row>
    <row r="7135" spans="1:8" ht="15">
      <c r="A7135"/>
      <c r="B7135"/>
      <c r="D7135"/>
      <c r="E7135"/>
      <c r="F7135"/>
      <c r="H7135"/>
    </row>
    <row r="7136" spans="1:8" ht="15">
      <c r="A7136"/>
      <c r="B7136"/>
      <c r="D7136"/>
      <c r="E7136"/>
      <c r="F7136"/>
      <c r="H7136"/>
    </row>
    <row r="7137" spans="1:8" ht="15">
      <c r="A7137"/>
      <c r="B7137"/>
      <c r="D7137"/>
      <c r="E7137"/>
      <c r="F7137"/>
      <c r="H7137"/>
    </row>
    <row r="7138" spans="1:8" ht="15">
      <c r="A7138"/>
      <c r="B7138"/>
      <c r="D7138"/>
      <c r="E7138"/>
      <c r="F7138"/>
      <c r="H7138"/>
    </row>
    <row r="7139" spans="1:8" ht="15">
      <c r="A7139"/>
      <c r="B7139"/>
      <c r="D7139"/>
      <c r="E7139"/>
      <c r="F7139"/>
      <c r="H7139"/>
    </row>
    <row r="7140" spans="1:8" ht="15">
      <c r="A7140"/>
      <c r="B7140"/>
      <c r="D7140"/>
      <c r="E7140"/>
      <c r="F7140"/>
      <c r="H7140"/>
    </row>
    <row r="7141" spans="1:8" ht="15">
      <c r="A7141"/>
      <c r="B7141"/>
      <c r="D7141"/>
      <c r="E7141"/>
      <c r="F7141"/>
      <c r="H7141"/>
    </row>
    <row r="7142" spans="1:8" ht="15">
      <c r="A7142"/>
      <c r="B7142"/>
      <c r="D7142"/>
      <c r="E7142"/>
      <c r="F7142"/>
      <c r="H7142"/>
    </row>
    <row r="7143" spans="1:8" ht="15">
      <c r="A7143"/>
      <c r="B7143"/>
      <c r="D7143"/>
      <c r="E7143"/>
      <c r="F7143"/>
      <c r="H7143"/>
    </row>
    <row r="7144" spans="1:8" ht="15">
      <c r="A7144"/>
      <c r="B7144"/>
      <c r="D7144"/>
      <c r="E7144"/>
      <c r="F7144"/>
      <c r="H7144"/>
    </row>
    <row r="7145" spans="1:8" ht="15">
      <c r="A7145"/>
      <c r="B7145"/>
      <c r="D7145"/>
      <c r="E7145"/>
      <c r="F7145"/>
      <c r="H7145"/>
    </row>
    <row r="7146" spans="1:8" ht="15">
      <c r="A7146"/>
      <c r="B7146"/>
      <c r="D7146"/>
      <c r="E7146"/>
      <c r="F7146"/>
      <c r="H7146"/>
    </row>
    <row r="7147" spans="1:8" ht="15">
      <c r="A7147"/>
      <c r="B7147"/>
      <c r="D7147"/>
      <c r="E7147"/>
      <c r="F7147"/>
      <c r="H7147"/>
    </row>
    <row r="7148" spans="1:8" ht="15">
      <c r="A7148"/>
      <c r="B7148"/>
      <c r="D7148"/>
      <c r="E7148"/>
      <c r="F7148"/>
      <c r="H7148"/>
    </row>
    <row r="7149" spans="1:8" ht="15">
      <c r="A7149"/>
      <c r="B7149"/>
      <c r="D7149"/>
      <c r="E7149"/>
      <c r="F7149"/>
      <c r="H7149"/>
    </row>
    <row r="7150" spans="1:8" ht="15">
      <c r="A7150"/>
      <c r="B7150"/>
      <c r="D7150"/>
      <c r="E7150"/>
      <c r="F7150"/>
      <c r="H7150"/>
    </row>
    <row r="7151" spans="1:8" ht="15">
      <c r="A7151"/>
      <c r="B7151"/>
      <c r="D7151"/>
      <c r="E7151"/>
      <c r="F7151"/>
      <c r="H7151"/>
    </row>
    <row r="7152" spans="1:8" ht="15">
      <c r="A7152"/>
      <c r="B7152"/>
      <c r="D7152"/>
      <c r="E7152"/>
      <c r="F7152"/>
      <c r="H7152"/>
    </row>
    <row r="7153" spans="1:8" ht="15">
      <c r="A7153"/>
      <c r="B7153"/>
      <c r="D7153"/>
      <c r="E7153"/>
      <c r="F7153"/>
      <c r="H7153"/>
    </row>
    <row r="7154" spans="1:8" ht="15">
      <c r="A7154"/>
      <c r="B7154"/>
      <c r="D7154"/>
      <c r="E7154"/>
      <c r="F7154"/>
      <c r="H7154"/>
    </row>
    <row r="7155" spans="1:8" ht="15">
      <c r="A7155"/>
      <c r="B7155"/>
      <c r="D7155"/>
      <c r="E7155"/>
      <c r="F7155"/>
      <c r="H7155"/>
    </row>
    <row r="7156" spans="1:8" ht="15">
      <c r="A7156"/>
      <c r="B7156"/>
      <c r="D7156"/>
      <c r="E7156"/>
      <c r="F7156"/>
      <c r="H7156"/>
    </row>
    <row r="7157" spans="1:8" ht="15">
      <c r="A7157"/>
      <c r="B7157"/>
      <c r="D7157"/>
      <c r="E7157"/>
      <c r="F7157"/>
      <c r="H7157"/>
    </row>
    <row r="7158" spans="1:8" ht="15">
      <c r="A7158"/>
      <c r="B7158"/>
      <c r="D7158"/>
      <c r="E7158"/>
      <c r="F7158"/>
      <c r="H7158"/>
    </row>
    <row r="7159" spans="1:8" ht="15">
      <c r="A7159"/>
      <c r="B7159"/>
      <c r="D7159"/>
      <c r="E7159"/>
      <c r="F7159"/>
      <c r="H7159"/>
    </row>
    <row r="7160" spans="1:8" ht="15">
      <c r="A7160"/>
      <c r="B7160"/>
      <c r="D7160"/>
      <c r="E7160"/>
      <c r="F7160"/>
      <c r="H7160"/>
    </row>
    <row r="7161" spans="1:8" ht="15">
      <c r="A7161"/>
      <c r="B7161"/>
      <c r="D7161"/>
      <c r="E7161"/>
      <c r="F7161"/>
      <c r="H7161"/>
    </row>
    <row r="7162" spans="1:8" ht="15">
      <c r="A7162"/>
      <c r="B7162"/>
      <c r="D7162"/>
      <c r="E7162"/>
      <c r="F7162"/>
      <c r="H7162"/>
    </row>
    <row r="7163" spans="1:8" ht="15">
      <c r="A7163"/>
      <c r="B7163"/>
      <c r="D7163"/>
      <c r="E7163"/>
      <c r="F7163"/>
      <c r="H7163"/>
    </row>
    <row r="7164" spans="1:8" ht="15">
      <c r="A7164"/>
      <c r="B7164"/>
      <c r="D7164"/>
      <c r="E7164"/>
      <c r="F7164"/>
      <c r="H7164"/>
    </row>
    <row r="7165" spans="1:8" ht="15">
      <c r="A7165"/>
      <c r="B7165"/>
      <c r="D7165"/>
      <c r="E7165"/>
      <c r="F7165"/>
      <c r="H7165"/>
    </row>
    <row r="7166" spans="1:8" ht="15">
      <c r="A7166"/>
      <c r="B7166"/>
      <c r="D7166"/>
      <c r="E7166"/>
      <c r="F7166"/>
      <c r="H7166"/>
    </row>
    <row r="7167" spans="1:8" ht="15">
      <c r="A7167"/>
      <c r="B7167"/>
      <c r="D7167"/>
      <c r="E7167"/>
      <c r="F7167"/>
      <c r="H7167"/>
    </row>
    <row r="7168" spans="1:8" ht="15">
      <c r="A7168"/>
      <c r="B7168"/>
      <c r="D7168"/>
      <c r="E7168"/>
      <c r="F7168"/>
      <c r="H7168"/>
    </row>
    <row r="7169" spans="1:8" ht="15">
      <c r="A7169"/>
      <c r="B7169"/>
      <c r="D7169"/>
      <c r="E7169"/>
      <c r="F7169"/>
      <c r="H7169"/>
    </row>
    <row r="7170" spans="1:8" ht="15">
      <c r="A7170"/>
      <c r="B7170"/>
      <c r="D7170"/>
      <c r="E7170"/>
      <c r="F7170"/>
      <c r="H7170"/>
    </row>
    <row r="7171" spans="1:8" ht="15">
      <c r="A7171"/>
      <c r="B7171"/>
      <c r="D7171"/>
      <c r="E7171"/>
      <c r="F7171"/>
      <c r="H7171"/>
    </row>
    <row r="7172" spans="1:8" ht="15">
      <c r="A7172"/>
      <c r="B7172"/>
      <c r="D7172"/>
      <c r="E7172"/>
      <c r="F7172"/>
      <c r="H7172"/>
    </row>
    <row r="7173" spans="1:8" ht="15">
      <c r="A7173"/>
      <c r="B7173"/>
      <c r="D7173"/>
      <c r="E7173"/>
      <c r="F7173"/>
      <c r="H7173"/>
    </row>
    <row r="7174" spans="1:8" ht="15">
      <c r="A7174"/>
      <c r="B7174"/>
      <c r="D7174"/>
      <c r="E7174"/>
      <c r="F7174"/>
      <c r="H7174"/>
    </row>
    <row r="7175" spans="1:8" ht="15">
      <c r="A7175"/>
      <c r="B7175"/>
      <c r="D7175"/>
      <c r="E7175"/>
      <c r="F7175"/>
      <c r="H7175"/>
    </row>
    <row r="7176" spans="1:8" ht="15">
      <c r="A7176"/>
      <c r="B7176"/>
      <c r="D7176"/>
      <c r="E7176"/>
      <c r="F7176"/>
      <c r="H7176"/>
    </row>
    <row r="7177" spans="1:8" ht="15">
      <c r="A7177"/>
      <c r="B7177"/>
      <c r="D7177"/>
      <c r="E7177"/>
      <c r="F7177"/>
      <c r="H7177"/>
    </row>
    <row r="7178" spans="1:8" ht="15">
      <c r="A7178"/>
      <c r="B7178"/>
      <c r="D7178"/>
      <c r="E7178"/>
      <c r="F7178"/>
      <c r="H7178"/>
    </row>
    <row r="7179" spans="1:8" ht="15">
      <c r="A7179"/>
      <c r="B7179"/>
      <c r="D7179"/>
      <c r="E7179"/>
      <c r="F7179"/>
      <c r="H7179"/>
    </row>
    <row r="7180" spans="1:8" ht="15">
      <c r="A7180"/>
      <c r="B7180"/>
      <c r="D7180"/>
      <c r="E7180"/>
      <c r="F7180"/>
      <c r="H7180"/>
    </row>
    <row r="7181" spans="1:8" ht="15">
      <c r="A7181"/>
      <c r="B7181"/>
      <c r="D7181"/>
      <c r="E7181"/>
      <c r="F7181"/>
      <c r="H7181"/>
    </row>
    <row r="7182" spans="1:8" ht="15">
      <c r="A7182"/>
      <c r="B7182"/>
      <c r="D7182"/>
      <c r="E7182"/>
      <c r="F7182"/>
      <c r="H7182"/>
    </row>
    <row r="7183" spans="1:8" ht="15">
      <c r="A7183"/>
      <c r="B7183"/>
      <c r="D7183"/>
      <c r="E7183"/>
      <c r="F7183"/>
      <c r="H7183"/>
    </row>
    <row r="7184" spans="1:8" ht="15">
      <c r="A7184"/>
      <c r="B7184"/>
      <c r="D7184"/>
      <c r="E7184"/>
      <c r="F7184"/>
      <c r="H7184"/>
    </row>
    <row r="7185" spans="1:8" ht="15">
      <c r="A7185"/>
      <c r="B7185"/>
      <c r="D7185"/>
      <c r="E7185"/>
      <c r="F7185"/>
      <c r="H7185"/>
    </row>
    <row r="7186" spans="1:8" ht="15">
      <c r="A7186"/>
      <c r="B7186"/>
      <c r="D7186"/>
      <c r="E7186"/>
      <c r="F7186"/>
      <c r="H7186"/>
    </row>
    <row r="7187" spans="1:8" ht="15">
      <c r="A7187"/>
      <c r="B7187"/>
      <c r="D7187"/>
      <c r="E7187"/>
      <c r="F7187"/>
      <c r="H7187"/>
    </row>
    <row r="7188" spans="1:8" ht="15">
      <c r="A7188"/>
      <c r="B7188"/>
      <c r="D7188"/>
      <c r="E7188"/>
      <c r="F7188"/>
      <c r="H7188"/>
    </row>
    <row r="7189" spans="1:8" ht="15">
      <c r="A7189"/>
      <c r="B7189"/>
      <c r="D7189"/>
      <c r="E7189"/>
      <c r="F7189"/>
      <c r="H7189"/>
    </row>
    <row r="7190" spans="1:8" ht="15">
      <c r="A7190"/>
      <c r="B7190"/>
      <c r="D7190"/>
      <c r="E7190"/>
      <c r="F7190"/>
      <c r="H7190"/>
    </row>
    <row r="7191" spans="1:8" ht="15">
      <c r="A7191"/>
      <c r="B7191"/>
      <c r="D7191"/>
      <c r="E7191"/>
      <c r="F7191"/>
      <c r="H7191"/>
    </row>
    <row r="7192" spans="1:8" ht="15">
      <c r="A7192"/>
      <c r="B7192"/>
      <c r="D7192"/>
      <c r="E7192"/>
      <c r="F7192"/>
      <c r="H7192"/>
    </row>
    <row r="7193" spans="1:8" ht="15">
      <c r="A7193"/>
      <c r="B7193"/>
      <c r="D7193"/>
      <c r="E7193"/>
      <c r="F7193"/>
      <c r="H7193"/>
    </row>
    <row r="7194" spans="1:8" ht="15">
      <c r="A7194"/>
      <c r="B7194"/>
      <c r="D7194"/>
      <c r="E7194"/>
      <c r="F7194"/>
      <c r="H7194"/>
    </row>
    <row r="7195" spans="1:8" ht="15">
      <c r="A7195"/>
      <c r="B7195"/>
      <c r="D7195"/>
      <c r="E7195"/>
      <c r="F7195"/>
      <c r="H7195"/>
    </row>
    <row r="7196" spans="1:8" ht="15">
      <c r="A7196"/>
      <c r="B7196"/>
      <c r="D7196"/>
      <c r="E7196"/>
      <c r="F7196"/>
      <c r="H7196"/>
    </row>
    <row r="7197" spans="1:8" ht="15">
      <c r="A7197"/>
      <c r="B7197"/>
      <c r="D7197"/>
      <c r="E7197"/>
      <c r="F7197"/>
      <c r="H7197"/>
    </row>
    <row r="7198" spans="1:8" ht="15">
      <c r="A7198"/>
      <c r="B7198"/>
      <c r="D7198"/>
      <c r="E7198"/>
      <c r="F7198"/>
      <c r="H7198"/>
    </row>
    <row r="7199" spans="1:8" ht="15">
      <c r="A7199"/>
      <c r="B7199"/>
      <c r="D7199"/>
      <c r="E7199"/>
      <c r="F7199"/>
      <c r="H7199"/>
    </row>
    <row r="7200" spans="1:8" ht="15">
      <c r="A7200"/>
      <c r="B7200"/>
      <c r="D7200"/>
      <c r="E7200"/>
      <c r="F7200"/>
      <c r="H7200"/>
    </row>
    <row r="7201" spans="1:8" ht="15">
      <c r="A7201"/>
      <c r="B7201"/>
      <c r="D7201"/>
      <c r="E7201"/>
      <c r="F7201"/>
      <c r="H7201"/>
    </row>
    <row r="7202" spans="1:8" ht="15">
      <c r="A7202"/>
      <c r="B7202"/>
      <c r="D7202"/>
      <c r="E7202"/>
      <c r="F7202"/>
      <c r="H7202"/>
    </row>
    <row r="7203" spans="1:8" ht="15">
      <c r="A7203"/>
      <c r="B7203"/>
      <c r="D7203"/>
      <c r="E7203"/>
      <c r="F7203"/>
      <c r="H7203"/>
    </row>
    <row r="7204" spans="1:8" ht="15">
      <c r="A7204"/>
      <c r="B7204"/>
      <c r="D7204"/>
      <c r="E7204"/>
      <c r="F7204"/>
      <c r="H7204"/>
    </row>
    <row r="7205" spans="1:8" ht="15">
      <c r="A7205"/>
      <c r="B7205"/>
      <c r="D7205"/>
      <c r="E7205"/>
      <c r="F7205"/>
      <c r="H7205"/>
    </row>
    <row r="7206" spans="1:8" ht="15">
      <c r="A7206"/>
      <c r="B7206"/>
      <c r="D7206"/>
      <c r="E7206"/>
      <c r="F7206"/>
      <c r="H7206"/>
    </row>
    <row r="7207" spans="1:8" ht="15">
      <c r="A7207"/>
      <c r="B7207"/>
      <c r="D7207"/>
      <c r="E7207"/>
      <c r="F7207"/>
      <c r="H7207"/>
    </row>
    <row r="7208" spans="1:8" ht="15">
      <c r="A7208"/>
      <c r="B7208"/>
      <c r="D7208"/>
      <c r="E7208"/>
      <c r="F7208"/>
      <c r="H7208"/>
    </row>
    <row r="7209" spans="1:8" ht="15">
      <c r="A7209"/>
      <c r="B7209"/>
      <c r="D7209"/>
      <c r="E7209"/>
      <c r="F7209"/>
      <c r="H7209"/>
    </row>
    <row r="7210" spans="1:8" ht="15">
      <c r="A7210"/>
      <c r="B7210"/>
      <c r="D7210"/>
      <c r="E7210"/>
      <c r="F7210"/>
      <c r="H7210"/>
    </row>
    <row r="7211" spans="1:8" ht="15">
      <c r="A7211"/>
      <c r="B7211"/>
      <c r="D7211"/>
      <c r="E7211"/>
      <c r="F7211"/>
      <c r="H7211"/>
    </row>
    <row r="7212" spans="1:8" ht="15">
      <c r="A7212"/>
      <c r="B7212"/>
      <c r="D7212"/>
      <c r="E7212"/>
      <c r="F7212"/>
      <c r="H7212"/>
    </row>
    <row r="7213" spans="1:8" ht="15">
      <c r="A7213"/>
      <c r="B7213"/>
      <c r="D7213"/>
      <c r="E7213"/>
      <c r="F7213"/>
      <c r="H7213"/>
    </row>
    <row r="7214" spans="1:8" ht="15">
      <c r="A7214"/>
      <c r="B7214"/>
      <c r="D7214"/>
      <c r="E7214"/>
      <c r="F7214"/>
      <c r="H7214"/>
    </row>
    <row r="7215" spans="1:8" ht="15">
      <c r="A7215"/>
      <c r="B7215"/>
      <c r="D7215"/>
      <c r="E7215"/>
      <c r="F7215"/>
      <c r="H7215"/>
    </row>
    <row r="7216" spans="1:8" ht="15">
      <c r="A7216"/>
      <c r="B7216"/>
      <c r="D7216"/>
      <c r="E7216"/>
      <c r="F7216"/>
      <c r="H7216"/>
    </row>
    <row r="7217" spans="1:8" ht="15">
      <c r="A7217"/>
      <c r="B7217"/>
      <c r="D7217"/>
      <c r="E7217"/>
      <c r="F7217"/>
      <c r="H7217"/>
    </row>
    <row r="7218" spans="1:8" ht="15">
      <c r="A7218"/>
      <c r="B7218"/>
      <c r="D7218"/>
      <c r="E7218"/>
      <c r="F7218"/>
      <c r="H7218"/>
    </row>
    <row r="7219" spans="1:8" ht="15">
      <c r="A7219"/>
      <c r="B7219"/>
      <c r="D7219"/>
      <c r="E7219"/>
      <c r="F7219"/>
      <c r="H7219"/>
    </row>
    <row r="7220" spans="1:8" ht="15">
      <c r="A7220"/>
      <c r="B7220"/>
      <c r="D7220"/>
      <c r="E7220"/>
      <c r="F7220"/>
      <c r="H7220"/>
    </row>
    <row r="7221" spans="1:8" ht="15">
      <c r="A7221"/>
      <c r="B7221"/>
      <c r="D7221"/>
      <c r="E7221"/>
      <c r="F7221"/>
      <c r="H7221"/>
    </row>
    <row r="7222" spans="1:8" ht="15">
      <c r="A7222"/>
      <c r="B7222"/>
      <c r="D7222"/>
      <c r="E7222"/>
      <c r="F7222"/>
      <c r="H7222"/>
    </row>
    <row r="7223" spans="1:8" ht="15">
      <c r="A7223"/>
      <c r="B7223"/>
      <c r="D7223"/>
      <c r="E7223"/>
      <c r="F7223"/>
      <c r="H7223"/>
    </row>
    <row r="7224" spans="1:8" ht="15">
      <c r="A7224"/>
      <c r="B7224"/>
      <c r="D7224"/>
      <c r="E7224"/>
      <c r="F7224"/>
      <c r="H7224"/>
    </row>
    <row r="7225" spans="1:8" ht="15">
      <c r="A7225"/>
      <c r="B7225"/>
      <c r="D7225"/>
      <c r="E7225"/>
      <c r="F7225"/>
      <c r="H7225"/>
    </row>
    <row r="7226" spans="1:8" ht="15">
      <c r="A7226"/>
      <c r="B7226"/>
      <c r="D7226"/>
      <c r="E7226"/>
      <c r="F7226"/>
      <c r="H7226"/>
    </row>
    <row r="7227" spans="1:8" ht="15">
      <c r="A7227"/>
      <c r="B7227"/>
      <c r="D7227"/>
      <c r="E7227"/>
      <c r="F7227"/>
      <c r="H7227"/>
    </row>
    <row r="7228" spans="1:8" ht="15">
      <c r="A7228"/>
      <c r="B7228"/>
      <c r="D7228"/>
      <c r="E7228"/>
      <c r="F7228"/>
      <c r="H7228"/>
    </row>
    <row r="7229" spans="1:8" ht="15">
      <c r="A7229"/>
      <c r="B7229"/>
      <c r="D7229"/>
      <c r="E7229"/>
      <c r="F7229"/>
      <c r="H7229"/>
    </row>
    <row r="7230" spans="1:8" ht="15">
      <c r="A7230"/>
      <c r="B7230"/>
      <c r="D7230"/>
      <c r="E7230"/>
      <c r="F7230"/>
      <c r="H7230"/>
    </row>
    <row r="7231" spans="1:8" ht="15">
      <c r="A7231"/>
      <c r="B7231"/>
      <c r="D7231"/>
      <c r="E7231"/>
      <c r="F7231"/>
      <c r="H7231"/>
    </row>
    <row r="7232" spans="1:8" ht="15">
      <c r="A7232"/>
      <c r="B7232"/>
      <c r="D7232"/>
      <c r="E7232"/>
      <c r="F7232"/>
      <c r="H7232"/>
    </row>
    <row r="7233" spans="1:8" ht="15">
      <c r="A7233"/>
      <c r="B7233"/>
      <c r="D7233"/>
      <c r="E7233"/>
      <c r="F7233"/>
      <c r="H7233"/>
    </row>
    <row r="7234" spans="1:8" ht="15">
      <c r="A7234"/>
      <c r="B7234"/>
      <c r="D7234"/>
      <c r="E7234"/>
      <c r="F7234"/>
      <c r="H7234"/>
    </row>
    <row r="7235" spans="1:8" ht="15">
      <c r="A7235"/>
      <c r="B7235"/>
      <c r="D7235"/>
      <c r="E7235"/>
      <c r="F7235"/>
      <c r="H7235"/>
    </row>
    <row r="7236" spans="1:8" ht="15">
      <c r="A7236"/>
      <c r="B7236"/>
      <c r="D7236"/>
      <c r="E7236"/>
      <c r="F7236"/>
      <c r="H7236"/>
    </row>
    <row r="7237" spans="1:8" ht="15">
      <c r="A7237"/>
      <c r="B7237"/>
      <c r="D7237"/>
      <c r="E7237"/>
      <c r="F7237"/>
      <c r="H7237"/>
    </row>
    <row r="7238" spans="1:8" ht="15">
      <c r="A7238"/>
      <c r="B7238"/>
      <c r="D7238"/>
      <c r="E7238"/>
      <c r="F7238"/>
      <c r="H7238"/>
    </row>
    <row r="7239" spans="1:8" ht="15">
      <c r="A7239"/>
      <c r="B7239"/>
      <c r="D7239"/>
      <c r="E7239"/>
      <c r="F7239"/>
      <c r="H7239"/>
    </row>
    <row r="7240" spans="1:8" ht="15">
      <c r="A7240"/>
      <c r="B7240"/>
      <c r="D7240"/>
      <c r="E7240"/>
      <c r="F7240"/>
      <c r="H7240"/>
    </row>
    <row r="7241" spans="1:8" ht="15">
      <c r="A7241"/>
      <c r="B7241"/>
      <c r="D7241"/>
      <c r="E7241"/>
      <c r="F7241"/>
      <c r="H7241"/>
    </row>
    <row r="7242" spans="1:8" ht="15">
      <c r="A7242"/>
      <c r="B7242"/>
      <c r="D7242"/>
      <c r="E7242"/>
      <c r="F7242"/>
      <c r="H7242"/>
    </row>
    <row r="7243" spans="1:8" ht="15">
      <c r="A7243"/>
      <c r="B7243"/>
      <c r="D7243"/>
      <c r="E7243"/>
      <c r="F7243"/>
      <c r="H7243"/>
    </row>
    <row r="7244" spans="1:8" ht="15">
      <c r="A7244"/>
      <c r="B7244"/>
      <c r="D7244"/>
      <c r="E7244"/>
      <c r="F7244"/>
      <c r="H7244"/>
    </row>
    <row r="7245" spans="1:8" ht="15">
      <c r="A7245"/>
      <c r="B7245"/>
      <c r="D7245"/>
      <c r="E7245"/>
      <c r="F7245"/>
      <c r="H7245"/>
    </row>
    <row r="7246" spans="1:8" ht="15">
      <c r="A7246"/>
      <c r="B7246"/>
      <c r="D7246"/>
      <c r="E7246"/>
      <c r="F7246"/>
      <c r="H7246"/>
    </row>
    <row r="7247" spans="1:8" ht="15">
      <c r="A7247"/>
      <c r="B7247"/>
      <c r="D7247"/>
      <c r="E7247"/>
      <c r="F7247"/>
      <c r="H7247"/>
    </row>
    <row r="7248" spans="1:8" ht="15">
      <c r="A7248"/>
      <c r="B7248"/>
      <c r="D7248"/>
      <c r="E7248"/>
      <c r="F7248"/>
      <c r="H7248"/>
    </row>
    <row r="7249" spans="1:8" ht="15">
      <c r="A7249"/>
      <c r="B7249"/>
      <c r="D7249"/>
      <c r="E7249"/>
      <c r="F7249"/>
      <c r="H7249"/>
    </row>
    <row r="7250" spans="1:8" ht="15">
      <c r="A7250"/>
      <c r="B7250"/>
      <c r="D7250"/>
      <c r="E7250"/>
      <c r="F7250"/>
      <c r="H7250"/>
    </row>
    <row r="7251" spans="1:8" ht="15">
      <c r="A7251"/>
      <c r="B7251"/>
      <c r="D7251"/>
      <c r="E7251"/>
      <c r="F7251"/>
      <c r="H7251"/>
    </row>
    <row r="7252" spans="1:8" ht="15">
      <c r="A7252"/>
      <c r="B7252"/>
      <c r="D7252"/>
      <c r="E7252"/>
      <c r="F7252"/>
      <c r="H7252"/>
    </row>
    <row r="7253" spans="1:8" ht="15">
      <c r="A7253"/>
      <c r="B7253"/>
      <c r="D7253"/>
      <c r="E7253"/>
      <c r="F7253"/>
      <c r="H7253"/>
    </row>
    <row r="7254" spans="1:8" ht="15">
      <c r="A7254"/>
      <c r="B7254"/>
      <c r="D7254"/>
      <c r="E7254"/>
      <c r="F7254"/>
      <c r="H7254"/>
    </row>
    <row r="7255" spans="1:8" ht="15">
      <c r="A7255"/>
      <c r="B7255"/>
      <c r="D7255"/>
      <c r="E7255"/>
      <c r="F7255"/>
      <c r="H7255"/>
    </row>
    <row r="7256" spans="1:8" ht="15">
      <c r="A7256"/>
      <c r="B7256"/>
      <c r="D7256"/>
      <c r="E7256"/>
      <c r="F7256"/>
      <c r="H7256"/>
    </row>
    <row r="7257" spans="1:8" ht="15">
      <c r="A7257"/>
      <c r="B7257"/>
      <c r="D7257"/>
      <c r="E7257"/>
      <c r="F7257"/>
      <c r="H7257"/>
    </row>
    <row r="7258" spans="1:8" ht="15">
      <c r="A7258"/>
      <c r="B7258"/>
      <c r="D7258"/>
      <c r="E7258"/>
      <c r="F7258"/>
      <c r="H7258"/>
    </row>
    <row r="7259" spans="1:8" ht="15">
      <c r="A7259"/>
      <c r="B7259"/>
      <c r="D7259"/>
      <c r="E7259"/>
      <c r="F7259"/>
      <c r="H7259"/>
    </row>
    <row r="7260" spans="1:8" ht="15">
      <c r="A7260"/>
      <c r="B7260"/>
      <c r="D7260"/>
      <c r="E7260"/>
      <c r="F7260"/>
      <c r="H7260"/>
    </row>
    <row r="7261" spans="1:8" ht="15">
      <c r="A7261"/>
      <c r="B7261"/>
      <c r="D7261"/>
      <c r="E7261"/>
      <c r="F7261"/>
      <c r="H7261"/>
    </row>
    <row r="7262" spans="1:8" ht="15">
      <c r="A7262"/>
      <c r="B7262"/>
      <c r="D7262"/>
      <c r="E7262"/>
      <c r="F7262"/>
      <c r="H7262"/>
    </row>
    <row r="7263" spans="1:8" ht="15">
      <c r="A7263"/>
      <c r="B7263"/>
      <c r="D7263"/>
      <c r="E7263"/>
      <c r="F7263"/>
      <c r="H7263"/>
    </row>
    <row r="7264" spans="1:8" ht="15">
      <c r="A7264"/>
      <c r="B7264"/>
      <c r="D7264"/>
      <c r="E7264"/>
      <c r="F7264"/>
      <c r="H7264"/>
    </row>
    <row r="7265" spans="1:8" ht="15">
      <c r="A7265"/>
      <c r="B7265"/>
      <c r="D7265"/>
      <c r="E7265"/>
      <c r="F7265"/>
      <c r="H7265"/>
    </row>
    <row r="7266" spans="1:8" ht="15">
      <c r="A7266"/>
      <c r="B7266"/>
      <c r="D7266"/>
      <c r="E7266"/>
      <c r="F7266"/>
      <c r="H7266"/>
    </row>
    <row r="7267" spans="1:8" ht="15">
      <c r="A7267"/>
      <c r="B7267"/>
      <c r="D7267"/>
      <c r="E7267"/>
      <c r="F7267"/>
      <c r="H7267"/>
    </row>
    <row r="7268" spans="1:8" ht="15">
      <c r="A7268"/>
      <c r="B7268"/>
      <c r="D7268"/>
      <c r="E7268"/>
      <c r="F7268"/>
      <c r="H7268"/>
    </row>
    <row r="7269" spans="1:8" ht="15">
      <c r="A7269"/>
      <c r="B7269"/>
      <c r="D7269"/>
      <c r="E7269"/>
      <c r="F7269"/>
      <c r="H7269"/>
    </row>
    <row r="7270" spans="1:8" ht="15">
      <c r="A7270"/>
      <c r="B7270"/>
      <c r="D7270"/>
      <c r="E7270"/>
      <c r="F7270"/>
      <c r="H7270"/>
    </row>
    <row r="7271" spans="1:8" ht="15">
      <c r="A7271"/>
      <c r="B7271"/>
      <c r="D7271"/>
      <c r="E7271"/>
      <c r="F7271"/>
      <c r="H7271"/>
    </row>
    <row r="7272" spans="1:8" ht="15">
      <c r="A7272"/>
      <c r="B7272"/>
      <c r="D7272"/>
      <c r="E7272"/>
      <c r="F7272"/>
      <c r="H7272"/>
    </row>
    <row r="7273" spans="1:8" ht="15">
      <c r="A7273"/>
      <c r="B7273"/>
      <c r="D7273"/>
      <c r="E7273"/>
      <c r="F7273"/>
      <c r="H7273"/>
    </row>
    <row r="7274" spans="1:8" ht="15">
      <c r="A7274"/>
      <c r="B7274"/>
      <c r="D7274"/>
      <c r="E7274"/>
      <c r="F7274"/>
      <c r="H7274"/>
    </row>
    <row r="7275" spans="1:8" ht="15">
      <c r="A7275"/>
      <c r="B7275"/>
      <c r="D7275"/>
      <c r="E7275"/>
      <c r="F7275"/>
      <c r="H7275"/>
    </row>
    <row r="7276" spans="1:8" ht="15">
      <c r="A7276"/>
      <c r="B7276"/>
      <c r="D7276"/>
      <c r="E7276"/>
      <c r="F7276"/>
      <c r="H7276"/>
    </row>
    <row r="7277" spans="1:8" ht="15">
      <c r="A7277"/>
      <c r="B7277"/>
      <c r="D7277"/>
      <c r="E7277"/>
      <c r="F7277"/>
      <c r="H7277"/>
    </row>
    <row r="7278" spans="1:8" ht="15">
      <c r="A7278"/>
      <c r="B7278"/>
      <c r="D7278"/>
      <c r="E7278"/>
      <c r="F7278"/>
      <c r="H7278"/>
    </row>
    <row r="7279" spans="1:8" ht="15">
      <c r="A7279"/>
      <c r="B7279"/>
      <c r="D7279"/>
      <c r="E7279"/>
      <c r="F7279"/>
      <c r="H7279"/>
    </row>
    <row r="7280" spans="1:8" ht="15">
      <c r="A7280"/>
      <c r="B7280"/>
      <c r="D7280"/>
      <c r="E7280"/>
      <c r="F7280"/>
      <c r="H7280"/>
    </row>
    <row r="7281" spans="1:8" ht="15">
      <c r="A7281"/>
      <c r="B7281"/>
      <c r="D7281"/>
      <c r="E7281"/>
      <c r="F7281"/>
      <c r="H7281"/>
    </row>
    <row r="7282" spans="1:8" ht="15">
      <c r="A7282"/>
      <c r="B7282"/>
      <c r="D7282"/>
      <c r="E7282"/>
      <c r="F7282"/>
      <c r="H7282"/>
    </row>
    <row r="7283" spans="1:8" ht="15">
      <c r="A7283"/>
      <c r="B7283"/>
      <c r="D7283"/>
      <c r="E7283"/>
      <c r="F7283"/>
      <c r="H7283"/>
    </row>
    <row r="7284" spans="1:8" ht="15">
      <c r="A7284"/>
      <c r="B7284"/>
      <c r="D7284"/>
      <c r="E7284"/>
      <c r="F7284"/>
      <c r="H7284"/>
    </row>
    <row r="7285" spans="1:8" ht="15">
      <c r="A7285"/>
      <c r="B7285"/>
      <c r="D7285"/>
      <c r="E7285"/>
      <c r="F7285"/>
      <c r="H7285"/>
    </row>
    <row r="7286" spans="1:8" ht="15">
      <c r="A7286"/>
      <c r="B7286"/>
      <c r="D7286"/>
      <c r="E7286"/>
      <c r="F7286"/>
      <c r="H7286"/>
    </row>
    <row r="7287" spans="1:8" ht="15">
      <c r="A7287"/>
      <c r="B7287"/>
      <c r="D7287"/>
      <c r="E7287"/>
      <c r="F7287"/>
      <c r="H7287"/>
    </row>
    <row r="7288" spans="1:8" ht="15">
      <c r="A7288"/>
      <c r="B7288"/>
      <c r="D7288"/>
      <c r="E7288"/>
      <c r="F7288"/>
      <c r="H7288"/>
    </row>
    <row r="7289" spans="1:8" ht="15">
      <c r="A7289"/>
      <c r="B7289"/>
      <c r="D7289"/>
      <c r="E7289"/>
      <c r="F7289"/>
      <c r="H7289"/>
    </row>
    <row r="7290" spans="1:8" ht="15">
      <c r="A7290"/>
      <c r="B7290"/>
      <c r="D7290"/>
      <c r="E7290"/>
      <c r="F7290"/>
      <c r="H7290"/>
    </row>
    <row r="7291" spans="1:8" ht="15">
      <c r="A7291"/>
      <c r="B7291"/>
      <c r="D7291"/>
      <c r="E7291"/>
      <c r="F7291"/>
      <c r="H7291"/>
    </row>
    <row r="7292" spans="1:8" ht="15">
      <c r="A7292"/>
      <c r="B7292"/>
      <c r="D7292"/>
      <c r="E7292"/>
      <c r="F7292"/>
      <c r="H7292"/>
    </row>
    <row r="7293" spans="1:8" ht="15">
      <c r="A7293"/>
      <c r="B7293"/>
      <c r="D7293"/>
      <c r="E7293"/>
      <c r="F7293"/>
      <c r="H7293"/>
    </row>
    <row r="7294" spans="1:8" ht="15">
      <c r="A7294"/>
      <c r="B7294"/>
      <c r="D7294"/>
      <c r="E7294"/>
      <c r="F7294"/>
      <c r="H7294"/>
    </row>
    <row r="7295" spans="1:8" ht="15">
      <c r="A7295"/>
      <c r="B7295"/>
      <c r="D7295"/>
      <c r="E7295"/>
      <c r="F7295"/>
      <c r="H7295"/>
    </row>
    <row r="7296" spans="1:8" ht="15">
      <c r="A7296"/>
      <c r="B7296"/>
      <c r="D7296"/>
      <c r="E7296"/>
      <c r="F7296"/>
      <c r="H7296"/>
    </row>
    <row r="7297" spans="1:8" ht="15">
      <c r="A7297"/>
      <c r="B7297"/>
      <c r="D7297"/>
      <c r="E7297"/>
      <c r="F7297"/>
      <c r="H7297"/>
    </row>
    <row r="7298" spans="1:8" ht="15">
      <c r="A7298"/>
      <c r="B7298"/>
      <c r="D7298"/>
      <c r="E7298"/>
      <c r="F7298"/>
      <c r="H7298"/>
    </row>
    <row r="7299" spans="1:8" ht="15">
      <c r="A7299"/>
      <c r="B7299"/>
      <c r="D7299"/>
      <c r="E7299"/>
      <c r="F7299"/>
      <c r="H7299"/>
    </row>
    <row r="7300" spans="1:8" ht="15">
      <c r="A7300"/>
      <c r="B7300"/>
      <c r="D7300"/>
      <c r="E7300"/>
      <c r="F7300"/>
      <c r="H7300"/>
    </row>
    <row r="7301" spans="1:8" ht="15">
      <c r="A7301"/>
      <c r="B7301"/>
      <c r="D7301"/>
      <c r="E7301"/>
      <c r="F7301"/>
      <c r="H7301"/>
    </row>
    <row r="7302" spans="1:8" ht="15">
      <c r="A7302"/>
      <c r="B7302"/>
      <c r="D7302"/>
      <c r="E7302"/>
      <c r="F7302"/>
      <c r="H7302"/>
    </row>
    <row r="7303" spans="1:8" ht="15">
      <c r="A7303"/>
      <c r="B7303"/>
      <c r="D7303"/>
      <c r="E7303"/>
      <c r="F7303"/>
      <c r="H7303"/>
    </row>
    <row r="7304" spans="1:8" ht="15">
      <c r="A7304"/>
      <c r="B7304"/>
      <c r="D7304"/>
      <c r="E7304"/>
      <c r="F7304"/>
      <c r="H7304"/>
    </row>
    <row r="7305" spans="1:8" ht="15">
      <c r="A7305"/>
      <c r="B7305"/>
      <c r="D7305"/>
      <c r="E7305"/>
      <c r="F7305"/>
      <c r="H7305"/>
    </row>
    <row r="7306" spans="1:8" ht="15">
      <c r="A7306"/>
      <c r="B7306"/>
      <c r="D7306"/>
      <c r="E7306"/>
      <c r="F7306"/>
      <c r="H7306"/>
    </row>
    <row r="7307" spans="1:8" ht="15">
      <c r="A7307"/>
      <c r="B7307"/>
      <c r="D7307"/>
      <c r="E7307"/>
      <c r="F7307"/>
      <c r="H7307"/>
    </row>
    <row r="7308" spans="1:8" ht="15">
      <c r="A7308"/>
      <c r="B7308"/>
      <c r="D7308"/>
      <c r="E7308"/>
      <c r="F7308"/>
      <c r="H7308"/>
    </row>
    <row r="7309" spans="1:8" ht="15">
      <c r="A7309"/>
      <c r="B7309"/>
      <c r="D7309"/>
      <c r="E7309"/>
      <c r="F7309"/>
      <c r="H7309"/>
    </row>
    <row r="7310" spans="1:8" ht="15">
      <c r="A7310"/>
      <c r="B7310"/>
      <c r="D7310"/>
      <c r="E7310"/>
      <c r="F7310"/>
      <c r="H7310"/>
    </row>
    <row r="7311" spans="1:8" ht="15">
      <c r="A7311"/>
      <c r="B7311"/>
      <c r="D7311"/>
      <c r="E7311"/>
      <c r="F7311"/>
      <c r="H7311"/>
    </row>
    <row r="7312" spans="1:8" ht="15">
      <c r="A7312"/>
      <c r="B7312"/>
      <c r="D7312"/>
      <c r="E7312"/>
      <c r="F7312"/>
      <c r="H7312"/>
    </row>
    <row r="7313" spans="1:8" ht="15">
      <c r="A7313"/>
      <c r="B7313"/>
      <c r="D7313"/>
      <c r="E7313"/>
      <c r="F7313"/>
      <c r="H7313"/>
    </row>
    <row r="7314" spans="1:8" ht="15">
      <c r="A7314"/>
      <c r="B7314"/>
      <c r="D7314"/>
      <c r="E7314"/>
      <c r="F7314"/>
      <c r="H7314"/>
    </row>
    <row r="7315" spans="1:8" ht="15">
      <c r="A7315"/>
      <c r="B7315"/>
      <c r="D7315"/>
      <c r="E7315"/>
      <c r="F7315"/>
      <c r="H7315"/>
    </row>
    <row r="7316" spans="1:8" ht="15">
      <c r="A7316"/>
      <c r="B7316"/>
      <c r="D7316"/>
      <c r="E7316"/>
      <c r="F7316"/>
      <c r="H7316"/>
    </row>
    <row r="7317" spans="1:8" ht="15">
      <c r="A7317"/>
      <c r="B7317"/>
      <c r="D7317"/>
      <c r="E7317"/>
      <c r="F7317"/>
      <c r="H7317"/>
    </row>
    <row r="7318" spans="1:8" ht="15">
      <c r="A7318"/>
      <c r="B7318"/>
      <c r="D7318"/>
      <c r="E7318"/>
      <c r="F7318"/>
      <c r="H7318"/>
    </row>
    <row r="7319" spans="1:8" ht="15">
      <c r="A7319"/>
      <c r="B7319"/>
      <c r="D7319"/>
      <c r="E7319"/>
      <c r="F7319"/>
      <c r="H7319"/>
    </row>
    <row r="7320" spans="1:8" ht="15">
      <c r="A7320"/>
      <c r="B7320"/>
      <c r="D7320"/>
      <c r="E7320"/>
      <c r="F7320"/>
      <c r="H7320"/>
    </row>
    <row r="7321" spans="1:8" ht="15">
      <c r="A7321"/>
      <c r="B7321"/>
      <c r="D7321"/>
      <c r="E7321"/>
      <c r="F7321"/>
      <c r="H7321"/>
    </row>
    <row r="7322" spans="1:8" ht="15">
      <c r="A7322"/>
      <c r="B7322"/>
      <c r="D7322"/>
      <c r="E7322"/>
      <c r="F7322"/>
      <c r="H7322"/>
    </row>
    <row r="7323" spans="1:8" ht="15">
      <c r="A7323"/>
      <c r="B7323"/>
      <c r="D7323"/>
      <c r="E7323"/>
      <c r="F7323"/>
      <c r="H7323"/>
    </row>
    <row r="7324" spans="1:8" ht="15">
      <c r="A7324"/>
      <c r="B7324"/>
      <c r="D7324"/>
      <c r="E7324"/>
      <c r="F7324"/>
      <c r="H7324"/>
    </row>
    <row r="7325" spans="1:8" ht="15">
      <c r="A7325"/>
      <c r="B7325"/>
      <c r="D7325"/>
      <c r="E7325"/>
      <c r="F7325"/>
      <c r="H7325"/>
    </row>
    <row r="7326" spans="1:8" ht="15">
      <c r="A7326"/>
      <c r="B7326"/>
      <c r="D7326"/>
      <c r="E7326"/>
      <c r="F7326"/>
      <c r="H7326"/>
    </row>
    <row r="7327" spans="1:8" ht="15">
      <c r="A7327"/>
      <c r="B7327"/>
      <c r="D7327"/>
      <c r="E7327"/>
      <c r="F7327"/>
      <c r="H7327"/>
    </row>
    <row r="7328" spans="1:8" ht="15">
      <c r="A7328"/>
      <c r="B7328"/>
      <c r="D7328"/>
      <c r="E7328"/>
      <c r="F7328"/>
      <c r="H7328"/>
    </row>
    <row r="7329" spans="1:8" ht="15">
      <c r="A7329"/>
      <c r="B7329"/>
      <c r="D7329"/>
      <c r="E7329"/>
      <c r="F7329"/>
      <c r="H7329"/>
    </row>
    <row r="7330" spans="1:8" ht="15">
      <c r="A7330"/>
      <c r="B7330"/>
      <c r="D7330"/>
      <c r="E7330"/>
      <c r="F7330"/>
      <c r="H7330"/>
    </row>
    <row r="7331" spans="1:8" ht="15">
      <c r="A7331"/>
      <c r="B7331"/>
      <c r="D7331"/>
      <c r="E7331"/>
      <c r="F7331"/>
      <c r="H7331"/>
    </row>
    <row r="7332" spans="1:8" ht="15">
      <c r="A7332"/>
      <c r="B7332"/>
      <c r="D7332"/>
      <c r="E7332"/>
      <c r="F7332"/>
      <c r="H7332"/>
    </row>
    <row r="7333" spans="1:8" ht="15">
      <c r="A7333"/>
      <c r="B7333"/>
      <c r="D7333"/>
      <c r="E7333"/>
      <c r="F7333"/>
      <c r="H7333"/>
    </row>
    <row r="7334" spans="1:8" ht="15">
      <c r="A7334"/>
      <c r="B7334"/>
      <c r="D7334"/>
      <c r="E7334"/>
      <c r="F7334"/>
      <c r="H7334"/>
    </row>
    <row r="7335" spans="1:8" ht="15">
      <c r="A7335"/>
      <c r="B7335"/>
      <c r="D7335"/>
      <c r="E7335"/>
      <c r="F7335"/>
      <c r="H7335"/>
    </row>
    <row r="7336" spans="1:8" ht="15">
      <c r="A7336"/>
      <c r="B7336"/>
      <c r="D7336"/>
      <c r="E7336"/>
      <c r="F7336"/>
      <c r="H7336"/>
    </row>
    <row r="7337" spans="1:8" ht="15">
      <c r="A7337"/>
      <c r="B7337"/>
      <c r="D7337"/>
      <c r="E7337"/>
      <c r="F7337"/>
      <c r="H7337"/>
    </row>
    <row r="7338" spans="1:8" ht="15">
      <c r="A7338"/>
      <c r="B7338"/>
      <c r="D7338"/>
      <c r="E7338"/>
      <c r="F7338"/>
      <c r="H7338"/>
    </row>
    <row r="7339" spans="1:8" ht="15">
      <c r="A7339"/>
      <c r="B7339"/>
      <c r="D7339"/>
      <c r="E7339"/>
      <c r="F7339"/>
      <c r="H7339"/>
    </row>
    <row r="7340" spans="1:8" ht="15">
      <c r="A7340"/>
      <c r="B7340"/>
      <c r="D7340"/>
      <c r="E7340"/>
      <c r="F7340"/>
      <c r="H7340"/>
    </row>
    <row r="7341" spans="1:8" ht="15">
      <c r="A7341"/>
      <c r="B7341"/>
      <c r="D7341"/>
      <c r="E7341"/>
      <c r="F7341"/>
      <c r="H7341"/>
    </row>
    <row r="7342" spans="1:8" ht="15">
      <c r="A7342"/>
      <c r="B7342"/>
      <c r="D7342"/>
      <c r="E7342"/>
      <c r="F7342"/>
      <c r="H7342"/>
    </row>
    <row r="7343" spans="1:8" ht="15">
      <c r="A7343"/>
      <c r="B7343"/>
      <c r="D7343"/>
      <c r="E7343"/>
      <c r="F7343"/>
      <c r="H7343"/>
    </row>
    <row r="7344" spans="1:8" ht="15">
      <c r="A7344"/>
      <c r="B7344"/>
      <c r="D7344"/>
      <c r="E7344"/>
      <c r="F7344"/>
      <c r="H7344"/>
    </row>
    <row r="7345" spans="1:8" ht="15">
      <c r="A7345"/>
      <c r="B7345"/>
      <c r="D7345"/>
      <c r="E7345"/>
      <c r="F7345"/>
      <c r="H7345"/>
    </row>
    <row r="7346" spans="1:8" ht="15">
      <c r="A7346"/>
      <c r="B7346"/>
      <c r="D7346"/>
      <c r="E7346"/>
      <c r="F7346"/>
      <c r="H7346"/>
    </row>
    <row r="7347" spans="1:8" ht="15">
      <c r="A7347"/>
      <c r="B7347"/>
      <c r="D7347"/>
      <c r="E7347"/>
      <c r="F7347"/>
      <c r="H7347"/>
    </row>
    <row r="7348" spans="1:8" ht="15">
      <c r="A7348"/>
      <c r="B7348"/>
      <c r="D7348"/>
      <c r="E7348"/>
      <c r="F7348"/>
      <c r="H7348"/>
    </row>
    <row r="7349" spans="1:8" ht="15">
      <c r="A7349"/>
      <c r="B7349"/>
      <c r="D7349"/>
      <c r="E7349"/>
      <c r="F7349"/>
      <c r="H7349"/>
    </row>
    <row r="7350" spans="1:8" ht="15">
      <c r="A7350"/>
      <c r="B7350"/>
      <c r="D7350"/>
      <c r="E7350"/>
      <c r="F7350"/>
      <c r="H7350"/>
    </row>
    <row r="7351" spans="1:8" ht="15">
      <c r="A7351"/>
      <c r="B7351"/>
      <c r="D7351"/>
      <c r="E7351"/>
      <c r="F7351"/>
      <c r="H7351"/>
    </row>
    <row r="7352" spans="1:8" ht="15">
      <c r="A7352"/>
      <c r="B7352"/>
      <c r="D7352"/>
      <c r="E7352"/>
      <c r="F7352"/>
      <c r="H7352"/>
    </row>
    <row r="7353" spans="1:8" ht="15">
      <c r="A7353"/>
      <c r="B7353"/>
      <c r="D7353"/>
      <c r="E7353"/>
      <c r="F7353"/>
      <c r="H7353"/>
    </row>
    <row r="7354" spans="1:8" ht="15">
      <c r="A7354"/>
      <c r="B7354"/>
      <c r="D7354"/>
      <c r="E7354"/>
      <c r="F7354"/>
      <c r="H7354"/>
    </row>
    <row r="7355" spans="1:8" ht="15">
      <c r="A7355"/>
      <c r="B7355"/>
      <c r="D7355"/>
      <c r="E7355"/>
      <c r="F7355"/>
      <c r="H7355"/>
    </row>
    <row r="7356" spans="1:8" ht="15">
      <c r="A7356"/>
      <c r="B7356"/>
      <c r="D7356"/>
      <c r="E7356"/>
      <c r="F7356"/>
      <c r="H7356"/>
    </row>
    <row r="7357" spans="1:8" ht="15">
      <c r="A7357"/>
      <c r="B7357"/>
      <c r="D7357"/>
      <c r="E7357"/>
      <c r="F7357"/>
      <c r="H7357"/>
    </row>
    <row r="7358" spans="1:8" ht="15">
      <c r="A7358"/>
      <c r="B7358"/>
      <c r="D7358"/>
      <c r="E7358"/>
      <c r="F7358"/>
      <c r="H7358"/>
    </row>
    <row r="7359" spans="1:8" ht="15">
      <c r="A7359"/>
      <c r="B7359"/>
      <c r="D7359"/>
      <c r="E7359"/>
      <c r="F7359"/>
      <c r="H7359"/>
    </row>
    <row r="7360" spans="1:8" ht="15">
      <c r="A7360"/>
      <c r="B7360"/>
      <c r="D7360"/>
      <c r="E7360"/>
      <c r="F7360"/>
      <c r="H7360"/>
    </row>
    <row r="7361" spans="1:8" ht="15">
      <c r="A7361"/>
      <c r="B7361"/>
      <c r="D7361"/>
      <c r="E7361"/>
      <c r="F7361"/>
      <c r="H7361"/>
    </row>
    <row r="7362" spans="1:8" ht="15">
      <c r="A7362"/>
      <c r="B7362"/>
      <c r="D7362"/>
      <c r="E7362"/>
      <c r="F7362"/>
      <c r="H7362"/>
    </row>
    <row r="7363" spans="1:8" ht="15">
      <c r="A7363"/>
      <c r="B7363"/>
      <c r="D7363"/>
      <c r="E7363"/>
      <c r="F7363"/>
      <c r="H7363"/>
    </row>
    <row r="7364" spans="1:8" ht="15">
      <c r="A7364"/>
      <c r="B7364"/>
      <c r="D7364"/>
      <c r="E7364"/>
      <c r="F7364"/>
      <c r="H7364"/>
    </row>
    <row r="7365" spans="1:8" ht="15">
      <c r="A7365"/>
      <c r="B7365"/>
      <c r="D7365"/>
      <c r="E7365"/>
      <c r="F7365"/>
      <c r="H7365"/>
    </row>
    <row r="7366" spans="1:8" ht="15">
      <c r="A7366"/>
      <c r="B7366"/>
      <c r="D7366"/>
      <c r="E7366"/>
      <c r="F7366"/>
      <c r="H7366"/>
    </row>
    <row r="7367" spans="1:8" ht="15">
      <c r="A7367"/>
      <c r="B7367"/>
      <c r="D7367"/>
      <c r="E7367"/>
      <c r="F7367"/>
      <c r="H7367"/>
    </row>
    <row r="7368" spans="1:8" ht="15">
      <c r="A7368"/>
      <c r="B7368"/>
      <c r="D7368"/>
      <c r="E7368"/>
      <c r="F7368"/>
      <c r="H7368"/>
    </row>
    <row r="7369" spans="1:8" ht="15">
      <c r="A7369"/>
      <c r="B7369"/>
      <c r="D7369"/>
      <c r="E7369"/>
      <c r="F7369"/>
      <c r="H7369"/>
    </row>
    <row r="7370" spans="1:8" ht="15">
      <c r="A7370"/>
      <c r="B7370"/>
      <c r="D7370"/>
      <c r="E7370"/>
      <c r="F7370"/>
      <c r="H7370"/>
    </row>
    <row r="7371" spans="1:8" ht="15">
      <c r="A7371"/>
      <c r="B7371"/>
      <c r="D7371"/>
      <c r="E7371"/>
      <c r="F7371"/>
      <c r="H7371"/>
    </row>
    <row r="7372" spans="1:8" ht="15">
      <c r="A7372"/>
      <c r="B7372"/>
      <c r="D7372"/>
      <c r="E7372"/>
      <c r="F7372"/>
      <c r="H7372"/>
    </row>
    <row r="7373" spans="1:8" ht="15">
      <c r="A7373"/>
      <c r="B7373"/>
      <c r="D7373"/>
      <c r="E7373"/>
      <c r="F7373"/>
      <c r="H7373"/>
    </row>
    <row r="7374" spans="1:8" ht="15">
      <c r="A7374"/>
      <c r="B7374"/>
      <c r="D7374"/>
      <c r="E7374"/>
      <c r="F7374"/>
      <c r="H7374"/>
    </row>
    <row r="7375" spans="1:8" ht="15">
      <c r="A7375"/>
      <c r="B7375"/>
      <c r="D7375"/>
      <c r="E7375"/>
      <c r="F7375"/>
      <c r="H7375"/>
    </row>
    <row r="7376" spans="1:8" ht="15">
      <c r="A7376"/>
      <c r="B7376"/>
      <c r="D7376"/>
      <c r="E7376"/>
      <c r="F7376"/>
      <c r="H7376"/>
    </row>
    <row r="7377" spans="1:8" ht="15">
      <c r="A7377"/>
      <c r="B7377"/>
      <c r="D7377"/>
      <c r="E7377"/>
      <c r="F7377"/>
      <c r="H7377"/>
    </row>
    <row r="7378" spans="1:8" ht="15">
      <c r="A7378"/>
      <c r="B7378"/>
      <c r="D7378"/>
      <c r="E7378"/>
      <c r="F7378"/>
      <c r="H7378"/>
    </row>
    <row r="7379" spans="1:8" ht="15">
      <c r="A7379"/>
      <c r="B7379"/>
      <c r="D7379"/>
      <c r="E7379"/>
      <c r="F7379"/>
      <c r="H7379"/>
    </row>
    <row r="7380" spans="1:8" ht="15">
      <c r="A7380"/>
      <c r="B7380"/>
      <c r="D7380"/>
      <c r="E7380"/>
      <c r="F7380"/>
      <c r="H7380"/>
    </row>
    <row r="7381" spans="1:8" ht="15">
      <c r="A7381"/>
      <c r="B7381"/>
      <c r="D7381"/>
      <c r="E7381"/>
      <c r="F7381"/>
      <c r="H7381"/>
    </row>
    <row r="7382" spans="1:8" ht="15">
      <c r="A7382"/>
      <c r="B7382"/>
      <c r="D7382"/>
      <c r="E7382"/>
      <c r="F7382"/>
      <c r="H7382"/>
    </row>
    <row r="7383" spans="1:8" ht="15">
      <c r="A7383"/>
      <c r="B7383"/>
      <c r="D7383"/>
      <c r="E7383"/>
      <c r="F7383"/>
      <c r="H7383"/>
    </row>
    <row r="7384" spans="1:8" ht="15">
      <c r="A7384"/>
      <c r="B7384"/>
      <c r="D7384"/>
      <c r="E7384"/>
      <c r="F7384"/>
      <c r="H7384"/>
    </row>
    <row r="7385" spans="1:8" ht="15">
      <c r="A7385"/>
      <c r="B7385"/>
      <c r="D7385"/>
      <c r="E7385"/>
      <c r="F7385"/>
      <c r="H7385"/>
    </row>
    <row r="7386" spans="1:8" ht="15">
      <c r="A7386"/>
      <c r="B7386"/>
      <c r="D7386"/>
      <c r="E7386"/>
      <c r="F7386"/>
      <c r="H7386"/>
    </row>
    <row r="7387" spans="1:8" ht="15">
      <c r="A7387"/>
      <c r="B7387"/>
      <c r="D7387"/>
      <c r="E7387"/>
      <c r="F7387"/>
      <c r="H7387"/>
    </row>
    <row r="7388" spans="1:8" ht="15">
      <c r="A7388"/>
      <c r="B7388"/>
      <c r="D7388"/>
      <c r="E7388"/>
      <c r="F7388"/>
      <c r="H7388"/>
    </row>
    <row r="7389" spans="1:8" ht="15">
      <c r="A7389"/>
      <c r="B7389"/>
      <c r="D7389"/>
      <c r="E7389"/>
      <c r="F7389"/>
      <c r="H7389"/>
    </row>
    <row r="7390" spans="1:8" ht="15">
      <c r="A7390"/>
      <c r="B7390"/>
      <c r="D7390"/>
      <c r="E7390"/>
      <c r="F7390"/>
      <c r="H7390"/>
    </row>
    <row r="7391" spans="1:8" ht="15">
      <c r="A7391"/>
      <c r="B7391"/>
      <c r="D7391"/>
      <c r="E7391"/>
      <c r="F7391"/>
      <c r="H7391"/>
    </row>
    <row r="7392" spans="1:8" ht="15">
      <c r="A7392"/>
      <c r="B7392"/>
      <c r="D7392"/>
      <c r="E7392"/>
      <c r="F7392"/>
      <c r="H7392"/>
    </row>
    <row r="7393" spans="1:8" ht="15">
      <c r="A7393"/>
      <c r="B7393"/>
      <c r="D7393"/>
      <c r="E7393"/>
      <c r="F7393"/>
      <c r="H7393"/>
    </row>
    <row r="7394" spans="1:8" ht="15">
      <c r="A7394"/>
      <c r="B7394"/>
      <c r="D7394"/>
      <c r="E7394"/>
      <c r="F7394"/>
      <c r="H7394"/>
    </row>
    <row r="7395" spans="1:8" ht="15">
      <c r="A7395"/>
      <c r="B7395"/>
      <c r="D7395"/>
      <c r="E7395"/>
      <c r="F7395"/>
      <c r="H7395"/>
    </row>
    <row r="7396" spans="1:8" ht="15">
      <c r="A7396"/>
      <c r="B7396"/>
      <c r="D7396"/>
      <c r="E7396"/>
      <c r="F7396"/>
      <c r="H7396"/>
    </row>
    <row r="7397" spans="1:8" ht="15">
      <c r="A7397"/>
      <c r="B7397"/>
      <c r="D7397"/>
      <c r="E7397"/>
      <c r="F7397"/>
      <c r="H7397"/>
    </row>
    <row r="7398" spans="1:8" ht="15">
      <c r="A7398"/>
      <c r="B7398"/>
      <c r="D7398"/>
      <c r="E7398"/>
      <c r="F7398"/>
      <c r="H7398"/>
    </row>
    <row r="7399" spans="1:8" ht="15">
      <c r="A7399"/>
      <c r="B7399"/>
      <c r="D7399"/>
      <c r="E7399"/>
      <c r="F7399"/>
      <c r="H7399"/>
    </row>
    <row r="7400" spans="1:8" ht="15">
      <c r="A7400"/>
      <c r="B7400"/>
      <c r="D7400"/>
      <c r="E7400"/>
      <c r="F7400"/>
      <c r="H7400"/>
    </row>
    <row r="7401" spans="1:8" ht="15">
      <c r="A7401"/>
      <c r="B7401"/>
      <c r="D7401"/>
      <c r="E7401"/>
      <c r="F7401"/>
      <c r="H7401"/>
    </row>
    <row r="7402" spans="1:8" ht="15">
      <c r="A7402"/>
      <c r="B7402"/>
      <c r="D7402"/>
      <c r="E7402"/>
      <c r="F7402"/>
      <c r="H7402"/>
    </row>
    <row r="7403" spans="1:8" ht="15">
      <c r="A7403"/>
      <c r="B7403"/>
      <c r="D7403"/>
      <c r="E7403"/>
      <c r="F7403"/>
      <c r="H7403"/>
    </row>
    <row r="7404" spans="1:8" ht="15">
      <c r="A7404"/>
      <c r="B7404"/>
      <c r="D7404"/>
      <c r="E7404"/>
      <c r="F7404"/>
      <c r="H7404"/>
    </row>
    <row r="7405" spans="1:8" ht="15">
      <c r="A7405"/>
      <c r="B7405"/>
      <c r="D7405"/>
      <c r="E7405"/>
      <c r="F7405"/>
      <c r="H7405"/>
    </row>
    <row r="7406" spans="1:8" ht="15">
      <c r="A7406"/>
      <c r="B7406"/>
      <c r="D7406"/>
      <c r="E7406"/>
      <c r="F7406"/>
      <c r="H7406"/>
    </row>
    <row r="7407" spans="1:8" ht="15">
      <c r="A7407"/>
      <c r="B7407"/>
      <c r="D7407"/>
      <c r="E7407"/>
      <c r="F7407"/>
      <c r="H7407"/>
    </row>
    <row r="7408" spans="1:8" ht="15">
      <c r="A7408"/>
      <c r="B7408"/>
      <c r="D7408"/>
      <c r="E7408"/>
      <c r="F7408"/>
      <c r="H7408"/>
    </row>
    <row r="7409" spans="1:8" ht="15">
      <c r="A7409"/>
      <c r="B7409"/>
      <c r="D7409"/>
      <c r="E7409"/>
      <c r="F7409"/>
      <c r="H7409"/>
    </row>
    <row r="7410" spans="1:8" ht="15">
      <c r="A7410"/>
      <c r="B7410"/>
      <c r="D7410"/>
      <c r="E7410"/>
      <c r="F7410"/>
      <c r="H7410"/>
    </row>
    <row r="7411" spans="1:8" ht="15">
      <c r="A7411"/>
      <c r="B7411"/>
      <c r="D7411"/>
      <c r="E7411"/>
      <c r="F7411"/>
      <c r="H7411"/>
    </row>
    <row r="7412" spans="1:8" ht="15">
      <c r="A7412"/>
      <c r="B7412"/>
      <c r="D7412"/>
      <c r="E7412"/>
      <c r="F7412"/>
      <c r="H7412"/>
    </row>
    <row r="7413" spans="1:8" ht="15">
      <c r="A7413"/>
      <c r="B7413"/>
      <c r="D7413"/>
      <c r="E7413"/>
      <c r="F7413"/>
      <c r="H7413"/>
    </row>
    <row r="7414" spans="1:8" ht="15">
      <c r="A7414"/>
      <c r="B7414"/>
      <c r="D7414"/>
      <c r="E7414"/>
      <c r="F7414"/>
      <c r="H7414"/>
    </row>
    <row r="7415" spans="1:8" ht="15">
      <c r="A7415"/>
      <c r="B7415"/>
      <c r="D7415"/>
      <c r="E7415"/>
      <c r="F7415"/>
      <c r="H7415"/>
    </row>
    <row r="7416" spans="1:8" ht="15">
      <c r="A7416"/>
      <c r="B7416"/>
      <c r="D7416"/>
      <c r="E7416"/>
      <c r="F7416"/>
      <c r="H7416"/>
    </row>
    <row r="7417" spans="1:8" ht="15">
      <c r="A7417"/>
      <c r="B7417"/>
      <c r="D7417"/>
      <c r="E7417"/>
      <c r="F7417"/>
      <c r="H7417"/>
    </row>
    <row r="7418" spans="1:8" ht="15">
      <c r="A7418"/>
      <c r="B7418"/>
      <c r="D7418"/>
      <c r="E7418"/>
      <c r="F7418"/>
      <c r="H7418"/>
    </row>
    <row r="7419" spans="1:8" ht="15">
      <c r="A7419"/>
      <c r="B7419"/>
      <c r="D7419"/>
      <c r="E7419"/>
      <c r="F7419"/>
      <c r="H7419"/>
    </row>
    <row r="7420" spans="1:8" ht="15">
      <c r="A7420"/>
      <c r="B7420"/>
      <c r="D7420"/>
      <c r="E7420"/>
      <c r="F7420"/>
      <c r="H7420"/>
    </row>
    <row r="7421" spans="1:8" ht="15">
      <c r="A7421"/>
      <c r="B7421"/>
      <c r="D7421"/>
      <c r="E7421"/>
      <c r="F7421"/>
      <c r="H7421"/>
    </row>
    <row r="7422" spans="1:8" ht="15">
      <c r="A7422"/>
      <c r="B7422"/>
      <c r="D7422"/>
      <c r="E7422"/>
      <c r="F7422"/>
      <c r="H7422"/>
    </row>
    <row r="7423" spans="1:8" ht="15">
      <c r="A7423"/>
      <c r="B7423"/>
      <c r="D7423"/>
      <c r="E7423"/>
      <c r="F7423"/>
      <c r="H7423"/>
    </row>
    <row r="7424" spans="1:8" ht="15">
      <c r="A7424"/>
      <c r="B7424"/>
      <c r="D7424"/>
      <c r="E7424"/>
      <c r="F7424"/>
      <c r="H7424"/>
    </row>
    <row r="7425" spans="1:8" ht="15">
      <c r="A7425"/>
      <c r="B7425"/>
      <c r="D7425"/>
      <c r="E7425"/>
      <c r="F7425"/>
      <c r="H7425"/>
    </row>
    <row r="7426" spans="1:8" ht="15">
      <c r="A7426"/>
      <c r="B7426"/>
      <c r="D7426"/>
      <c r="E7426"/>
      <c r="F7426"/>
      <c r="H7426"/>
    </row>
    <row r="7427" spans="1:8" ht="15">
      <c r="A7427"/>
      <c r="B7427"/>
      <c r="D7427"/>
      <c r="E7427"/>
      <c r="F7427"/>
      <c r="H7427"/>
    </row>
    <row r="7428" spans="1:8" ht="15">
      <c r="A7428"/>
      <c r="B7428"/>
      <c r="D7428"/>
      <c r="E7428"/>
      <c r="F7428"/>
      <c r="H7428"/>
    </row>
    <row r="7429" spans="1:8" ht="15">
      <c r="A7429"/>
      <c r="B7429"/>
      <c r="D7429"/>
      <c r="E7429"/>
      <c r="F7429"/>
      <c r="H7429"/>
    </row>
    <row r="7430" spans="1:8" ht="15">
      <c r="A7430"/>
      <c r="B7430"/>
      <c r="D7430"/>
      <c r="E7430"/>
      <c r="F7430"/>
      <c r="H7430"/>
    </row>
    <row r="7431" spans="1:8" ht="15">
      <c r="A7431"/>
      <c r="B7431"/>
      <c r="D7431"/>
      <c r="E7431"/>
      <c r="F7431"/>
      <c r="H7431"/>
    </row>
    <row r="7432" spans="1:8" ht="15">
      <c r="A7432"/>
      <c r="B7432"/>
      <c r="D7432"/>
      <c r="E7432"/>
      <c r="F7432"/>
      <c r="H7432"/>
    </row>
    <row r="7433" spans="1:8" ht="15">
      <c r="A7433"/>
      <c r="B7433"/>
      <c r="D7433"/>
      <c r="E7433"/>
      <c r="F7433"/>
      <c r="H7433"/>
    </row>
    <row r="7434" spans="1:8" ht="15">
      <c r="A7434"/>
      <c r="B7434"/>
      <c r="D7434"/>
      <c r="E7434"/>
      <c r="F7434"/>
      <c r="H7434"/>
    </row>
    <row r="7435" spans="1:8" ht="15">
      <c r="A7435"/>
      <c r="B7435"/>
      <c r="D7435"/>
      <c r="E7435"/>
      <c r="F7435"/>
      <c r="H7435"/>
    </row>
    <row r="7436" spans="1:8" ht="15">
      <c r="A7436"/>
      <c r="B7436"/>
      <c r="D7436"/>
      <c r="E7436"/>
      <c r="F7436"/>
      <c r="H7436"/>
    </row>
    <row r="7437" spans="1:8" ht="15">
      <c r="A7437"/>
      <c r="B7437"/>
      <c r="D7437"/>
      <c r="E7437"/>
      <c r="F7437"/>
      <c r="H7437"/>
    </row>
    <row r="7438" spans="1:8" ht="15">
      <c r="A7438"/>
      <c r="B7438"/>
      <c r="D7438"/>
      <c r="E7438"/>
      <c r="F7438"/>
      <c r="H7438"/>
    </row>
    <row r="7439" spans="1:8" ht="15">
      <c r="A7439"/>
      <c r="B7439"/>
      <c r="D7439"/>
      <c r="E7439"/>
      <c r="F7439"/>
      <c r="H7439"/>
    </row>
    <row r="7440" spans="1:8" ht="15">
      <c r="A7440"/>
      <c r="B7440"/>
      <c r="D7440"/>
      <c r="E7440"/>
      <c r="F7440"/>
      <c r="H7440"/>
    </row>
    <row r="7441" spans="1:8" ht="15">
      <c r="A7441"/>
      <c r="B7441"/>
      <c r="D7441"/>
      <c r="E7441"/>
      <c r="F7441"/>
      <c r="H7441"/>
    </row>
    <row r="7442" spans="1:8" ht="15">
      <c r="A7442"/>
      <c r="B7442"/>
      <c r="D7442"/>
      <c r="E7442"/>
      <c r="F7442"/>
      <c r="H7442"/>
    </row>
    <row r="7443" spans="1:8" ht="15">
      <c r="A7443"/>
      <c r="B7443"/>
      <c r="D7443"/>
      <c r="E7443"/>
      <c r="F7443"/>
      <c r="H7443"/>
    </row>
    <row r="7444" spans="1:8" ht="15">
      <c r="A7444"/>
      <c r="B7444"/>
      <c r="D7444"/>
      <c r="E7444"/>
      <c r="F7444"/>
      <c r="H7444"/>
    </row>
    <row r="7445" spans="1:8" ht="15">
      <c r="A7445"/>
      <c r="B7445"/>
      <c r="D7445"/>
      <c r="E7445"/>
      <c r="F7445"/>
      <c r="H7445"/>
    </row>
    <row r="7446" spans="1:8" ht="15">
      <c r="A7446"/>
      <c r="B7446"/>
      <c r="D7446"/>
      <c r="E7446"/>
      <c r="F7446"/>
      <c r="H7446"/>
    </row>
    <row r="7447" spans="1:8" ht="15">
      <c r="A7447"/>
      <c r="B7447"/>
      <c r="D7447"/>
      <c r="E7447"/>
      <c r="F7447"/>
      <c r="H7447"/>
    </row>
    <row r="7448" spans="1:8" ht="15">
      <c r="A7448"/>
      <c r="B7448"/>
      <c r="D7448"/>
      <c r="E7448"/>
      <c r="F7448"/>
      <c r="H7448"/>
    </row>
    <row r="7449" spans="1:8" ht="15">
      <c r="A7449"/>
      <c r="B7449"/>
      <c r="D7449"/>
      <c r="E7449"/>
      <c r="F7449"/>
      <c r="H7449"/>
    </row>
    <row r="7450" spans="1:8" ht="15">
      <c r="A7450"/>
      <c r="B7450"/>
      <c r="D7450"/>
      <c r="E7450"/>
      <c r="F7450"/>
      <c r="H7450"/>
    </row>
    <row r="7451" spans="1:8" ht="15">
      <c r="A7451"/>
      <c r="B7451"/>
      <c r="D7451"/>
      <c r="E7451"/>
      <c r="F7451"/>
      <c r="H7451"/>
    </row>
    <row r="7452" spans="1:8" ht="15">
      <c r="A7452"/>
      <c r="B7452"/>
      <c r="D7452"/>
      <c r="E7452"/>
      <c r="F7452"/>
      <c r="H7452"/>
    </row>
    <row r="7453" spans="1:8" ht="15">
      <c r="A7453"/>
      <c r="B7453"/>
      <c r="D7453"/>
      <c r="E7453"/>
      <c r="F7453"/>
      <c r="H7453"/>
    </row>
    <row r="7454" spans="1:8" ht="15">
      <c r="A7454"/>
      <c r="B7454"/>
      <c r="D7454"/>
      <c r="E7454"/>
      <c r="F7454"/>
      <c r="H7454"/>
    </row>
    <row r="7455" spans="1:8" ht="15">
      <c r="A7455"/>
      <c r="B7455"/>
      <c r="D7455"/>
      <c r="E7455"/>
      <c r="F7455"/>
      <c r="H7455"/>
    </row>
    <row r="7456" spans="1:8" ht="15">
      <c r="A7456"/>
      <c r="B7456"/>
      <c r="D7456"/>
      <c r="E7456"/>
      <c r="F7456"/>
      <c r="H7456"/>
    </row>
    <row r="7457" spans="1:8" ht="15">
      <c r="A7457"/>
      <c r="B7457"/>
      <c r="D7457"/>
      <c r="E7457"/>
      <c r="F7457"/>
      <c r="H7457"/>
    </row>
    <row r="7458" spans="1:8" ht="15">
      <c r="A7458"/>
      <c r="B7458"/>
      <c r="D7458"/>
      <c r="E7458"/>
      <c r="F7458"/>
      <c r="H7458"/>
    </row>
    <row r="7459" spans="1:8" ht="15">
      <c r="A7459"/>
      <c r="B7459"/>
      <c r="D7459"/>
      <c r="E7459"/>
      <c r="F7459"/>
      <c r="H7459"/>
    </row>
    <row r="7460" spans="1:8" ht="15">
      <c r="A7460"/>
      <c r="B7460"/>
      <c r="D7460"/>
      <c r="E7460"/>
      <c r="F7460"/>
      <c r="H7460"/>
    </row>
    <row r="7461" spans="1:8" ht="15">
      <c r="A7461"/>
      <c r="B7461"/>
      <c r="D7461"/>
      <c r="E7461"/>
      <c r="F7461"/>
      <c r="H7461"/>
    </row>
    <row r="7462" spans="1:8" ht="15">
      <c r="A7462"/>
      <c r="B7462"/>
      <c r="D7462"/>
      <c r="E7462"/>
      <c r="F7462"/>
      <c r="H7462"/>
    </row>
    <row r="7463" spans="1:8" ht="15">
      <c r="A7463"/>
      <c r="B7463"/>
      <c r="D7463"/>
      <c r="E7463"/>
      <c r="F7463"/>
      <c r="H7463"/>
    </row>
    <row r="7464" spans="1:8" ht="15">
      <c r="A7464"/>
      <c r="B7464"/>
      <c r="D7464"/>
      <c r="E7464"/>
      <c r="F7464"/>
      <c r="H7464"/>
    </row>
    <row r="7465" spans="1:8" ht="15">
      <c r="A7465"/>
      <c r="B7465"/>
      <c r="D7465"/>
      <c r="E7465"/>
      <c r="F7465"/>
      <c r="H7465"/>
    </row>
    <row r="7466" spans="1:8" ht="15">
      <c r="A7466"/>
      <c r="B7466"/>
      <c r="D7466"/>
      <c r="E7466"/>
      <c r="F7466"/>
      <c r="H7466"/>
    </row>
    <row r="7467" spans="1:8" ht="15">
      <c r="A7467"/>
      <c r="B7467"/>
      <c r="D7467"/>
      <c r="E7467"/>
      <c r="F7467"/>
      <c r="H7467"/>
    </row>
    <row r="7468" spans="1:8" ht="15">
      <c r="A7468"/>
      <c r="B7468"/>
      <c r="D7468"/>
      <c r="E7468"/>
      <c r="F7468"/>
      <c r="H7468"/>
    </row>
    <row r="7469" spans="1:8" ht="15">
      <c r="A7469"/>
      <c r="B7469"/>
      <c r="D7469"/>
      <c r="E7469"/>
      <c r="F7469"/>
      <c r="H7469"/>
    </row>
    <row r="7470" spans="1:8" ht="15">
      <c r="A7470"/>
      <c r="B7470"/>
      <c r="D7470"/>
      <c r="E7470"/>
      <c r="F7470"/>
      <c r="H7470"/>
    </row>
    <row r="7471" spans="1:8" ht="15">
      <c r="A7471"/>
      <c r="B7471"/>
      <c r="D7471"/>
      <c r="E7471"/>
      <c r="F7471"/>
      <c r="H7471"/>
    </row>
    <row r="7472" spans="1:8" ht="15">
      <c r="A7472"/>
      <c r="B7472"/>
      <c r="D7472"/>
      <c r="E7472"/>
      <c r="F7472"/>
      <c r="H7472"/>
    </row>
    <row r="7473" spans="1:8" ht="15">
      <c r="A7473"/>
      <c r="B7473"/>
      <c r="D7473"/>
      <c r="E7473"/>
      <c r="F7473"/>
      <c r="H7473"/>
    </row>
    <row r="7474" spans="1:8" ht="15">
      <c r="A7474"/>
      <c r="B7474"/>
      <c r="D7474"/>
      <c r="E7474"/>
      <c r="F7474"/>
      <c r="H7474"/>
    </row>
    <row r="7475" spans="1:8" ht="15">
      <c r="A7475"/>
      <c r="B7475"/>
      <c r="D7475"/>
      <c r="E7475"/>
      <c r="F7475"/>
      <c r="H7475"/>
    </row>
    <row r="7476" spans="1:8" ht="15">
      <c r="A7476"/>
      <c r="B7476"/>
      <c r="D7476"/>
      <c r="E7476"/>
      <c r="F7476"/>
      <c r="H7476"/>
    </row>
    <row r="7477" spans="1:8" ht="15">
      <c r="A7477"/>
      <c r="B7477"/>
      <c r="D7477"/>
      <c r="E7477"/>
      <c r="F7477"/>
      <c r="H7477"/>
    </row>
    <row r="7478" spans="1:8" ht="15">
      <c r="A7478"/>
      <c r="B7478"/>
      <c r="D7478"/>
      <c r="E7478"/>
      <c r="F7478"/>
      <c r="H7478"/>
    </row>
    <row r="7479" spans="1:8" ht="15">
      <c r="A7479"/>
      <c r="B7479"/>
      <c r="D7479"/>
      <c r="E7479"/>
      <c r="F7479"/>
      <c r="H7479"/>
    </row>
    <row r="7480" spans="1:8" ht="15">
      <c r="A7480"/>
      <c r="B7480"/>
      <c r="D7480"/>
      <c r="E7480"/>
      <c r="F7480"/>
      <c r="H7480"/>
    </row>
    <row r="7481" spans="1:8" ht="15">
      <c r="A7481"/>
      <c r="B7481"/>
      <c r="D7481"/>
      <c r="E7481"/>
      <c r="F7481"/>
      <c r="H7481"/>
    </row>
    <row r="7482" spans="1:8" ht="15">
      <c r="A7482"/>
      <c r="B7482"/>
      <c r="D7482"/>
      <c r="E7482"/>
      <c r="F7482"/>
      <c r="H7482"/>
    </row>
    <row r="7483" spans="1:8" ht="15">
      <c r="A7483"/>
      <c r="B7483"/>
      <c r="D7483"/>
      <c r="E7483"/>
      <c r="F7483"/>
      <c r="H7483"/>
    </row>
    <row r="7484" spans="1:8" ht="15">
      <c r="A7484"/>
      <c r="B7484"/>
      <c r="D7484"/>
      <c r="E7484"/>
      <c r="F7484"/>
      <c r="H7484"/>
    </row>
    <row r="7485" spans="1:8" ht="15">
      <c r="A7485"/>
      <c r="B7485"/>
      <c r="D7485"/>
      <c r="E7485"/>
      <c r="F7485"/>
      <c r="H7485"/>
    </row>
    <row r="7486" spans="1:8" ht="15">
      <c r="A7486"/>
      <c r="B7486"/>
      <c r="D7486"/>
      <c r="E7486"/>
      <c r="F7486"/>
      <c r="H7486"/>
    </row>
    <row r="7487" spans="1:8" ht="15">
      <c r="A7487"/>
      <c r="B7487"/>
      <c r="D7487"/>
      <c r="E7487"/>
      <c r="F7487"/>
      <c r="H7487"/>
    </row>
    <row r="7488" spans="1:8" ht="15">
      <c r="A7488"/>
      <c r="B7488"/>
      <c r="D7488"/>
      <c r="E7488"/>
      <c r="F7488"/>
      <c r="H7488"/>
    </row>
    <row r="7489" spans="1:8" ht="15">
      <c r="A7489"/>
      <c r="B7489"/>
      <c r="D7489"/>
      <c r="E7489"/>
      <c r="F7489"/>
      <c r="H7489"/>
    </row>
    <row r="7490" spans="1:8" ht="15">
      <c r="A7490"/>
      <c r="B7490"/>
      <c r="D7490"/>
      <c r="E7490"/>
      <c r="F7490"/>
      <c r="H7490"/>
    </row>
    <row r="7491" spans="1:8" ht="15">
      <c r="A7491"/>
      <c r="B7491"/>
      <c r="D7491"/>
      <c r="E7491"/>
      <c r="F7491"/>
      <c r="H7491"/>
    </row>
    <row r="7492" spans="1:8" ht="15">
      <c r="A7492"/>
      <c r="B7492"/>
      <c r="D7492"/>
      <c r="E7492"/>
      <c r="F7492"/>
      <c r="H7492"/>
    </row>
    <row r="7493" spans="1:8" ht="15">
      <c r="A7493"/>
      <c r="B7493"/>
      <c r="D7493"/>
      <c r="E7493"/>
      <c r="F7493"/>
      <c r="H7493"/>
    </row>
    <row r="7494" spans="1:8" ht="15">
      <c r="A7494"/>
      <c r="B7494"/>
      <c r="D7494"/>
      <c r="E7494"/>
      <c r="F7494"/>
      <c r="H7494"/>
    </row>
    <row r="7495" spans="1:8" ht="15">
      <c r="A7495"/>
      <c r="B7495"/>
      <c r="D7495"/>
      <c r="E7495"/>
      <c r="F7495"/>
      <c r="H7495"/>
    </row>
    <row r="7496" spans="1:8" ht="15">
      <c r="A7496"/>
      <c r="B7496"/>
      <c r="D7496"/>
      <c r="E7496"/>
      <c r="F7496"/>
      <c r="H7496"/>
    </row>
    <row r="7497" spans="1:8" ht="15">
      <c r="A7497"/>
      <c r="B7497"/>
      <c r="D7497"/>
      <c r="E7497"/>
      <c r="F7497"/>
      <c r="H7497"/>
    </row>
    <row r="7498" spans="1:8" ht="15">
      <c r="A7498"/>
      <c r="B7498"/>
      <c r="D7498"/>
      <c r="E7498"/>
      <c r="F7498"/>
      <c r="H7498"/>
    </row>
    <row r="7499" spans="1:8" ht="15">
      <c r="A7499"/>
      <c r="B7499"/>
      <c r="D7499"/>
      <c r="E7499"/>
      <c r="F7499"/>
      <c r="H7499"/>
    </row>
    <row r="7500" spans="1:8" ht="15">
      <c r="A7500"/>
      <c r="B7500"/>
      <c r="D7500"/>
      <c r="E7500"/>
      <c r="F7500"/>
      <c r="H7500"/>
    </row>
    <row r="7501" spans="1:8" ht="15">
      <c r="A7501"/>
      <c r="B7501"/>
      <c r="D7501"/>
      <c r="E7501"/>
      <c r="F7501"/>
      <c r="H7501"/>
    </row>
    <row r="7502" spans="1:8" ht="15">
      <c r="A7502"/>
      <c r="B7502"/>
      <c r="D7502"/>
      <c r="E7502"/>
      <c r="F7502"/>
      <c r="H7502"/>
    </row>
    <row r="7503" spans="1:8" ht="15">
      <c r="A7503"/>
      <c r="B7503"/>
      <c r="D7503"/>
      <c r="E7503"/>
      <c r="F7503"/>
      <c r="H7503"/>
    </row>
    <row r="7504" spans="1:8" ht="15">
      <c r="A7504"/>
      <c r="B7504"/>
      <c r="D7504"/>
      <c r="E7504"/>
      <c r="F7504"/>
      <c r="H7504"/>
    </row>
    <row r="7505" spans="1:8" ht="15">
      <c r="A7505"/>
      <c r="B7505"/>
      <c r="D7505"/>
      <c r="E7505"/>
      <c r="F7505"/>
      <c r="H7505"/>
    </row>
    <row r="7506" spans="1:8" ht="15">
      <c r="A7506"/>
      <c r="B7506"/>
      <c r="D7506"/>
      <c r="E7506"/>
      <c r="F7506"/>
      <c r="H7506"/>
    </row>
    <row r="7507" spans="1:8" ht="15">
      <c r="A7507"/>
      <c r="B7507"/>
      <c r="D7507"/>
      <c r="E7507"/>
      <c r="F7507"/>
      <c r="H7507"/>
    </row>
    <row r="7508" spans="1:8" ht="15">
      <c r="A7508"/>
      <c r="B7508"/>
      <c r="D7508"/>
      <c r="E7508"/>
      <c r="F7508"/>
      <c r="H7508"/>
    </row>
    <row r="7509" spans="1:8" ht="15">
      <c r="A7509"/>
      <c r="B7509"/>
      <c r="D7509"/>
      <c r="E7509"/>
      <c r="F7509"/>
      <c r="H7509"/>
    </row>
    <row r="7510" spans="1:8" ht="15">
      <c r="A7510"/>
      <c r="B7510"/>
      <c r="D7510"/>
      <c r="E7510"/>
      <c r="F7510"/>
      <c r="H7510"/>
    </row>
    <row r="7511" spans="1:8" ht="15">
      <c r="A7511"/>
      <c r="B7511"/>
      <c r="D7511"/>
      <c r="E7511"/>
      <c r="F7511"/>
      <c r="H7511"/>
    </row>
    <row r="7512" spans="1:8" ht="15">
      <c r="A7512"/>
      <c r="B7512"/>
      <c r="D7512"/>
      <c r="E7512"/>
      <c r="F7512"/>
      <c r="H7512"/>
    </row>
    <row r="7513" spans="1:8" ht="15">
      <c r="A7513"/>
      <c r="B7513"/>
      <c r="D7513"/>
      <c r="E7513"/>
      <c r="F7513"/>
      <c r="H7513"/>
    </row>
    <row r="7514" spans="1:8" ht="15">
      <c r="A7514"/>
      <c r="B7514"/>
      <c r="D7514"/>
      <c r="E7514"/>
      <c r="F7514"/>
      <c r="H7514"/>
    </row>
    <row r="7515" spans="1:8" ht="15">
      <c r="A7515"/>
      <c r="B7515"/>
      <c r="D7515"/>
      <c r="E7515"/>
      <c r="F7515"/>
      <c r="H7515"/>
    </row>
    <row r="7516" spans="1:8" ht="15">
      <c r="A7516"/>
      <c r="B7516"/>
      <c r="D7516"/>
      <c r="E7516"/>
      <c r="F7516"/>
      <c r="H7516"/>
    </row>
    <row r="7517" spans="1:8" ht="15">
      <c r="A7517"/>
      <c r="B7517"/>
      <c r="D7517"/>
      <c r="E7517"/>
      <c r="F7517"/>
      <c r="H7517"/>
    </row>
    <row r="7518" spans="1:8" ht="15">
      <c r="A7518"/>
      <c r="B7518"/>
      <c r="D7518"/>
      <c r="E7518"/>
      <c r="F7518"/>
      <c r="H7518"/>
    </row>
    <row r="7519" spans="1:8" ht="15">
      <c r="A7519"/>
      <c r="B7519"/>
      <c r="D7519"/>
      <c r="E7519"/>
      <c r="F7519"/>
      <c r="H7519"/>
    </row>
    <row r="7520" spans="1:8" ht="15">
      <c r="A7520"/>
      <c r="B7520"/>
      <c r="D7520"/>
      <c r="E7520"/>
      <c r="F7520"/>
      <c r="H7520"/>
    </row>
    <row r="7521" spans="1:8" ht="15">
      <c r="A7521"/>
      <c r="B7521"/>
      <c r="D7521"/>
      <c r="E7521"/>
      <c r="F7521"/>
      <c r="H7521"/>
    </row>
    <row r="7522" spans="1:8" ht="15">
      <c r="A7522"/>
      <c r="B7522"/>
      <c r="D7522"/>
      <c r="E7522"/>
      <c r="F7522"/>
      <c r="H7522"/>
    </row>
    <row r="7523" spans="1:8" ht="15">
      <c r="A7523"/>
      <c r="B7523"/>
      <c r="D7523"/>
      <c r="E7523"/>
      <c r="F7523"/>
      <c r="H7523"/>
    </row>
    <row r="7524" spans="1:8" ht="15">
      <c r="A7524"/>
      <c r="B7524"/>
      <c r="D7524"/>
      <c r="E7524"/>
      <c r="F7524"/>
      <c r="H7524"/>
    </row>
    <row r="7525" spans="1:8" ht="15">
      <c r="A7525"/>
      <c r="B7525"/>
      <c r="D7525"/>
      <c r="E7525"/>
      <c r="F7525"/>
      <c r="H7525"/>
    </row>
    <row r="7526" spans="1:8" ht="15">
      <c r="A7526"/>
      <c r="B7526"/>
      <c r="D7526"/>
      <c r="E7526"/>
      <c r="F7526"/>
      <c r="H7526"/>
    </row>
    <row r="7527" spans="1:8" ht="15">
      <c r="A7527"/>
      <c r="B7527"/>
      <c r="D7527"/>
      <c r="E7527"/>
      <c r="F7527"/>
      <c r="H7527"/>
    </row>
    <row r="7528" spans="1:8" ht="15">
      <c r="A7528"/>
      <c r="B7528"/>
      <c r="D7528"/>
      <c r="E7528"/>
      <c r="F7528"/>
      <c r="H7528"/>
    </row>
    <row r="7529" spans="1:8" ht="15">
      <c r="A7529"/>
      <c r="B7529"/>
      <c r="D7529"/>
      <c r="E7529"/>
      <c r="F7529"/>
      <c r="H7529"/>
    </row>
    <row r="7530" spans="1:8" ht="15">
      <c r="A7530"/>
      <c r="B7530"/>
      <c r="D7530"/>
      <c r="E7530"/>
      <c r="F7530"/>
      <c r="H7530"/>
    </row>
    <row r="7531" spans="1:8" ht="15">
      <c r="A7531"/>
      <c r="B7531"/>
      <c r="D7531"/>
      <c r="E7531"/>
      <c r="F7531"/>
      <c r="H7531"/>
    </row>
    <row r="7532" spans="1:8" ht="15">
      <c r="A7532"/>
      <c r="B7532"/>
      <c r="D7532"/>
      <c r="E7532"/>
      <c r="F7532"/>
      <c r="H7532"/>
    </row>
    <row r="7533" spans="1:8" ht="15">
      <c r="A7533"/>
      <c r="B7533"/>
      <c r="D7533"/>
      <c r="E7533"/>
      <c r="F7533"/>
      <c r="H7533"/>
    </row>
    <row r="7534" spans="1:8" ht="15">
      <c r="A7534"/>
      <c r="B7534"/>
      <c r="D7534"/>
      <c r="E7534"/>
      <c r="F7534"/>
      <c r="H7534"/>
    </row>
    <row r="7535" spans="1:8" ht="15">
      <c r="A7535"/>
      <c r="B7535"/>
      <c r="D7535"/>
      <c r="E7535"/>
      <c r="F7535"/>
      <c r="H7535"/>
    </row>
    <row r="7536" spans="1:8" ht="15">
      <c r="A7536"/>
      <c r="B7536"/>
      <c r="D7536"/>
      <c r="E7536"/>
      <c r="F7536"/>
      <c r="H7536"/>
    </row>
    <row r="7537" spans="1:8" ht="15">
      <c r="A7537"/>
      <c r="B7537"/>
      <c r="D7537"/>
      <c r="E7537"/>
      <c r="F7537"/>
      <c r="H7537"/>
    </row>
    <row r="7538" spans="1:8" ht="15">
      <c r="A7538"/>
      <c r="B7538"/>
      <c r="D7538"/>
      <c r="E7538"/>
      <c r="F7538"/>
      <c r="H7538"/>
    </row>
    <row r="7539" spans="1:8" ht="15">
      <c r="A7539"/>
      <c r="B7539"/>
      <c r="D7539"/>
      <c r="E7539"/>
      <c r="F7539"/>
      <c r="H7539"/>
    </row>
    <row r="7540" spans="1:8" ht="15">
      <c r="A7540"/>
      <c r="B7540"/>
      <c r="D7540"/>
      <c r="E7540"/>
      <c r="F7540"/>
      <c r="H7540"/>
    </row>
    <row r="7541" spans="1:8" ht="15">
      <c r="A7541"/>
      <c r="B7541"/>
      <c r="D7541"/>
      <c r="E7541"/>
      <c r="F7541"/>
      <c r="H7541"/>
    </row>
    <row r="7542" spans="1:8" ht="15">
      <c r="A7542"/>
      <c r="B7542"/>
      <c r="D7542"/>
      <c r="E7542"/>
      <c r="F7542"/>
      <c r="H7542"/>
    </row>
    <row r="7543" spans="1:8" ht="15">
      <c r="A7543"/>
      <c r="B7543"/>
      <c r="D7543"/>
      <c r="E7543"/>
      <c r="F7543"/>
      <c r="H7543"/>
    </row>
    <row r="7544" spans="1:8" ht="15">
      <c r="A7544"/>
      <c r="B7544"/>
      <c r="D7544"/>
      <c r="E7544"/>
      <c r="F7544"/>
      <c r="H7544"/>
    </row>
    <row r="7545" spans="1:8" ht="15">
      <c r="A7545"/>
      <c r="B7545"/>
      <c r="D7545"/>
      <c r="E7545"/>
      <c r="F7545"/>
      <c r="H7545"/>
    </row>
    <row r="7546" spans="1:8" ht="15">
      <c r="A7546"/>
      <c r="B7546"/>
      <c r="D7546"/>
      <c r="E7546"/>
      <c r="F7546"/>
      <c r="H7546"/>
    </row>
    <row r="7547" spans="1:8" ht="15">
      <c r="A7547"/>
      <c r="B7547"/>
      <c r="D7547"/>
      <c r="E7547"/>
      <c r="F7547"/>
      <c r="H7547"/>
    </row>
    <row r="7548" spans="1:8" ht="15">
      <c r="A7548"/>
      <c r="B7548"/>
      <c r="D7548"/>
      <c r="E7548"/>
      <c r="F7548"/>
      <c r="H7548"/>
    </row>
    <row r="7549" spans="1:8" ht="15">
      <c r="A7549"/>
      <c r="B7549"/>
      <c r="D7549"/>
      <c r="E7549"/>
      <c r="F7549"/>
      <c r="H7549"/>
    </row>
    <row r="7550" spans="1:8" ht="15">
      <c r="A7550"/>
      <c r="B7550"/>
      <c r="D7550"/>
      <c r="E7550"/>
      <c r="F7550"/>
      <c r="H7550"/>
    </row>
    <row r="7551" spans="1:8" ht="15">
      <c r="A7551"/>
      <c r="B7551"/>
      <c r="D7551"/>
      <c r="E7551"/>
      <c r="F7551"/>
      <c r="H7551"/>
    </row>
    <row r="7552" spans="1:8" ht="15">
      <c r="A7552"/>
      <c r="B7552"/>
      <c r="D7552"/>
      <c r="E7552"/>
      <c r="F7552"/>
      <c r="H7552"/>
    </row>
    <row r="7553" spans="1:8" ht="15">
      <c r="A7553"/>
      <c r="B7553"/>
      <c r="D7553"/>
      <c r="E7553"/>
      <c r="F7553"/>
      <c r="H7553"/>
    </row>
    <row r="7554" spans="1:8" ht="15">
      <c r="A7554"/>
      <c r="B7554"/>
      <c r="D7554"/>
      <c r="E7554"/>
      <c r="F7554"/>
      <c r="H7554"/>
    </row>
    <row r="7555" spans="1:8" ht="15">
      <c r="A7555"/>
      <c r="B7555"/>
      <c r="D7555"/>
      <c r="E7555"/>
      <c r="F7555"/>
      <c r="H7555"/>
    </row>
    <row r="7556" spans="1:8" ht="15">
      <c r="A7556"/>
      <c r="B7556"/>
      <c r="D7556"/>
      <c r="E7556"/>
      <c r="F7556"/>
      <c r="H7556"/>
    </row>
    <row r="7557" spans="1:8" ht="15">
      <c r="A7557"/>
      <c r="B7557"/>
      <c r="D7557"/>
      <c r="E7557"/>
      <c r="F7557"/>
      <c r="H7557"/>
    </row>
    <row r="7558" spans="1:8" ht="15">
      <c r="A7558"/>
      <c r="B7558"/>
      <c r="D7558"/>
      <c r="E7558"/>
      <c r="F7558"/>
      <c r="H7558"/>
    </row>
    <row r="7559" spans="1:8" ht="15">
      <c r="A7559"/>
      <c r="B7559"/>
      <c r="D7559"/>
      <c r="E7559"/>
      <c r="F7559"/>
      <c r="H7559"/>
    </row>
    <row r="7560" spans="1:8" ht="15">
      <c r="A7560"/>
      <c r="B7560"/>
      <c r="D7560"/>
      <c r="E7560"/>
      <c r="F7560"/>
      <c r="H7560"/>
    </row>
    <row r="7561" spans="1:8" ht="15">
      <c r="A7561"/>
      <c r="B7561"/>
      <c r="D7561"/>
      <c r="E7561"/>
      <c r="F7561"/>
      <c r="H7561"/>
    </row>
    <row r="7562" spans="1:8" ht="15">
      <c r="A7562"/>
      <c r="B7562"/>
      <c r="D7562"/>
      <c r="E7562"/>
      <c r="F7562"/>
      <c r="H7562"/>
    </row>
    <row r="7563" spans="1:8" ht="15">
      <c r="A7563"/>
      <c r="B7563"/>
      <c r="D7563"/>
      <c r="E7563"/>
      <c r="F7563"/>
      <c r="H7563"/>
    </row>
    <row r="7564" spans="1:8" ht="15">
      <c r="A7564"/>
      <c r="B7564"/>
      <c r="D7564"/>
      <c r="E7564"/>
      <c r="F7564"/>
      <c r="H7564"/>
    </row>
    <row r="7565" spans="1:8" ht="15">
      <c r="A7565"/>
      <c r="B7565"/>
      <c r="D7565"/>
      <c r="E7565"/>
      <c r="F7565"/>
      <c r="H7565"/>
    </row>
    <row r="7566" spans="1:8" ht="15">
      <c r="A7566"/>
      <c r="B7566"/>
      <c r="D7566"/>
      <c r="E7566"/>
      <c r="F7566"/>
      <c r="H7566"/>
    </row>
    <row r="7567" spans="1:8" ht="15">
      <c r="A7567"/>
      <c r="B7567"/>
      <c r="D7567"/>
      <c r="E7567"/>
      <c r="F7567"/>
      <c r="H7567"/>
    </row>
    <row r="7568" spans="1:8" ht="15">
      <c r="A7568"/>
      <c r="B7568"/>
      <c r="D7568"/>
      <c r="E7568"/>
      <c r="F7568"/>
      <c r="H7568"/>
    </row>
    <row r="7569" spans="1:8" ht="15">
      <c r="A7569"/>
      <c r="B7569"/>
      <c r="D7569"/>
      <c r="E7569"/>
      <c r="F7569"/>
      <c r="H7569"/>
    </row>
    <row r="7570" spans="1:8" ht="15">
      <c r="A7570"/>
      <c r="B7570"/>
      <c r="D7570"/>
      <c r="E7570"/>
      <c r="F7570"/>
      <c r="H7570"/>
    </row>
    <row r="7571" spans="1:8" ht="15">
      <c r="A7571"/>
      <c r="B7571"/>
      <c r="D7571"/>
      <c r="E7571"/>
      <c r="F7571"/>
      <c r="H7571"/>
    </row>
    <row r="7572" spans="1:8" ht="15">
      <c r="A7572"/>
      <c r="B7572"/>
      <c r="D7572"/>
      <c r="E7572"/>
      <c r="F7572"/>
      <c r="H7572"/>
    </row>
    <row r="7573" spans="1:8" ht="15">
      <c r="A7573"/>
      <c r="B7573"/>
      <c r="D7573"/>
      <c r="E7573"/>
      <c r="F7573"/>
      <c r="H7573"/>
    </row>
    <row r="7574" spans="1:8" ht="15">
      <c r="A7574"/>
      <c r="B7574"/>
      <c r="D7574"/>
      <c r="E7574"/>
      <c r="F7574"/>
      <c r="H7574"/>
    </row>
    <row r="7575" spans="1:8" ht="15">
      <c r="A7575"/>
      <c r="B7575"/>
      <c r="D7575"/>
      <c r="E7575"/>
      <c r="F7575"/>
      <c r="H7575"/>
    </row>
    <row r="7576" spans="1:8" ht="15">
      <c r="A7576"/>
      <c r="B7576"/>
      <c r="D7576"/>
      <c r="E7576"/>
      <c r="F7576"/>
      <c r="H7576"/>
    </row>
    <row r="7577" spans="1:8" ht="15">
      <c r="A7577"/>
      <c r="B7577"/>
      <c r="D7577"/>
      <c r="E7577"/>
      <c r="F7577"/>
      <c r="H7577"/>
    </row>
    <row r="7578" spans="1:8" ht="15">
      <c r="A7578"/>
      <c r="B7578"/>
      <c r="D7578"/>
      <c r="E7578"/>
      <c r="F7578"/>
      <c r="H7578"/>
    </row>
    <row r="7579" spans="1:8" ht="15">
      <c r="A7579"/>
      <c r="B7579"/>
      <c r="D7579"/>
      <c r="E7579"/>
      <c r="F7579"/>
      <c r="H7579"/>
    </row>
    <row r="7580" spans="1:8" ht="15">
      <c r="A7580"/>
      <c r="B7580"/>
      <c r="D7580"/>
      <c r="E7580"/>
      <c r="F7580"/>
      <c r="H7580"/>
    </row>
    <row r="7581" spans="1:8" ht="15">
      <c r="A7581"/>
      <c r="B7581"/>
      <c r="D7581"/>
      <c r="E7581"/>
      <c r="F7581"/>
      <c r="H7581"/>
    </row>
    <row r="7582" spans="1:8" ht="15">
      <c r="A7582"/>
      <c r="B7582"/>
      <c r="D7582"/>
      <c r="E7582"/>
      <c r="F7582"/>
      <c r="H7582"/>
    </row>
    <row r="7583" spans="1:8" ht="15">
      <c r="A7583"/>
      <c r="B7583"/>
      <c r="D7583"/>
      <c r="E7583"/>
      <c r="F7583"/>
      <c r="H7583"/>
    </row>
    <row r="7584" spans="1:8" ht="15">
      <c r="A7584"/>
      <c r="B7584"/>
      <c r="D7584"/>
      <c r="E7584"/>
      <c r="F7584"/>
      <c r="H7584"/>
    </row>
    <row r="7585" spans="1:8" ht="15">
      <c r="A7585"/>
      <c r="B7585"/>
      <c r="D7585"/>
      <c r="E7585"/>
      <c r="F7585"/>
      <c r="H7585"/>
    </row>
    <row r="7586" spans="1:8" ht="15">
      <c r="A7586"/>
      <c r="B7586"/>
      <c r="D7586"/>
      <c r="E7586"/>
      <c r="F7586"/>
      <c r="H7586"/>
    </row>
    <row r="7587" spans="1:8" ht="15">
      <c r="A7587"/>
      <c r="B7587"/>
      <c r="D7587"/>
      <c r="E7587"/>
      <c r="F7587"/>
      <c r="H7587"/>
    </row>
    <row r="7588" spans="1:8" ht="15">
      <c r="A7588"/>
      <c r="B7588"/>
      <c r="D7588"/>
      <c r="E7588"/>
      <c r="F7588"/>
      <c r="H7588"/>
    </row>
    <row r="7589" spans="1:8" ht="15">
      <c r="A7589"/>
      <c r="B7589"/>
      <c r="D7589"/>
      <c r="E7589"/>
      <c r="F7589"/>
      <c r="H7589"/>
    </row>
    <row r="7590" spans="1:8" ht="15">
      <c r="A7590"/>
      <c r="B7590"/>
      <c r="D7590"/>
      <c r="E7590"/>
      <c r="F7590"/>
      <c r="H7590"/>
    </row>
    <row r="7591" spans="1:8" ht="15">
      <c r="A7591"/>
      <c r="B7591"/>
      <c r="D7591"/>
      <c r="E7591"/>
      <c r="F7591"/>
      <c r="H7591"/>
    </row>
    <row r="7592" spans="1:8" ht="15">
      <c r="A7592"/>
      <c r="B7592"/>
      <c r="D7592"/>
      <c r="E7592"/>
      <c r="F7592"/>
      <c r="H7592"/>
    </row>
    <row r="7593" spans="1:8" ht="15">
      <c r="A7593"/>
      <c r="B7593"/>
      <c r="D7593"/>
      <c r="E7593"/>
      <c r="F7593"/>
      <c r="H7593"/>
    </row>
    <row r="7594" spans="1:8" ht="15">
      <c r="A7594"/>
      <c r="B7594"/>
      <c r="D7594"/>
      <c r="E7594"/>
      <c r="F7594"/>
      <c r="H7594"/>
    </row>
    <row r="7595" spans="1:8" ht="15">
      <c r="A7595"/>
      <c r="B7595"/>
      <c r="D7595"/>
      <c r="E7595"/>
      <c r="F7595"/>
      <c r="H7595"/>
    </row>
    <row r="7596" spans="1:8" ht="15">
      <c r="A7596"/>
      <c r="B7596"/>
      <c r="D7596"/>
      <c r="E7596"/>
      <c r="F7596"/>
      <c r="H7596"/>
    </row>
    <row r="7597" spans="1:8" ht="15">
      <c r="A7597"/>
      <c r="B7597"/>
      <c r="D7597"/>
      <c r="E7597"/>
      <c r="F7597"/>
      <c r="H7597"/>
    </row>
    <row r="7598" spans="1:8" ht="15">
      <c r="A7598"/>
      <c r="B7598"/>
      <c r="D7598"/>
      <c r="E7598"/>
      <c r="F7598"/>
      <c r="H7598"/>
    </row>
    <row r="7599" spans="1:8" ht="15">
      <c r="A7599"/>
      <c r="B7599"/>
      <c r="D7599"/>
      <c r="E7599"/>
      <c r="F7599"/>
      <c r="H7599"/>
    </row>
    <row r="7600" spans="1:8" ht="15">
      <c r="A7600"/>
      <c r="B7600"/>
      <c r="D7600"/>
      <c r="E7600"/>
      <c r="F7600"/>
      <c r="H7600"/>
    </row>
    <row r="7601" spans="1:8" ht="15">
      <c r="A7601"/>
      <c r="B7601"/>
      <c r="D7601"/>
      <c r="E7601"/>
      <c r="F7601"/>
      <c r="H7601"/>
    </row>
    <row r="7602" spans="1:8" ht="15">
      <c r="A7602"/>
      <c r="B7602"/>
      <c r="D7602"/>
      <c r="E7602"/>
      <c r="F7602"/>
      <c r="H7602"/>
    </row>
    <row r="7603" spans="1:8" ht="15">
      <c r="A7603"/>
      <c r="B7603"/>
      <c r="D7603"/>
      <c r="E7603"/>
      <c r="F7603"/>
      <c r="H7603"/>
    </row>
    <row r="7604" spans="1:8" ht="15">
      <c r="A7604"/>
      <c r="B7604"/>
      <c r="D7604"/>
      <c r="E7604"/>
      <c r="F7604"/>
      <c r="H7604"/>
    </row>
    <row r="7605" spans="1:8" ht="15">
      <c r="A7605"/>
      <c r="B7605"/>
      <c r="D7605"/>
      <c r="E7605"/>
      <c r="F7605"/>
      <c r="H7605"/>
    </row>
    <row r="7606" spans="1:8" ht="15">
      <c r="A7606"/>
      <c r="B7606"/>
      <c r="D7606"/>
      <c r="E7606"/>
      <c r="F7606"/>
      <c r="H7606"/>
    </row>
    <row r="7607" spans="1:8" ht="15">
      <c r="A7607"/>
      <c r="B7607"/>
      <c r="D7607"/>
      <c r="E7607"/>
      <c r="F7607"/>
      <c r="H7607"/>
    </row>
    <row r="7608" spans="1:8" ht="15">
      <c r="A7608"/>
      <c r="B7608"/>
      <c r="D7608"/>
      <c r="E7608"/>
      <c r="F7608"/>
      <c r="H7608"/>
    </row>
    <row r="7609" spans="1:8" ht="15">
      <c r="A7609"/>
      <c r="B7609"/>
      <c r="D7609"/>
      <c r="E7609"/>
      <c r="F7609"/>
      <c r="H7609"/>
    </row>
    <row r="7610" spans="1:8" ht="15">
      <c r="A7610"/>
      <c r="B7610"/>
      <c r="D7610"/>
      <c r="E7610"/>
      <c r="F7610"/>
      <c r="H7610"/>
    </row>
    <row r="7611" spans="1:8" ht="15">
      <c r="A7611"/>
      <c r="B7611"/>
      <c r="D7611"/>
      <c r="E7611"/>
      <c r="F7611"/>
      <c r="H7611"/>
    </row>
    <row r="7612" spans="1:8" ht="15">
      <c r="A7612"/>
      <c r="B7612"/>
      <c r="D7612"/>
      <c r="E7612"/>
      <c r="F7612"/>
      <c r="H7612"/>
    </row>
    <row r="7613" spans="1:8" ht="15">
      <c r="A7613"/>
      <c r="B7613"/>
      <c r="D7613"/>
      <c r="E7613"/>
      <c r="F7613"/>
      <c r="H7613"/>
    </row>
    <row r="7614" spans="1:8" ht="15">
      <c r="A7614"/>
      <c r="B7614"/>
      <c r="D7614"/>
      <c r="E7614"/>
      <c r="F7614"/>
      <c r="H7614"/>
    </row>
    <row r="7615" spans="1:8" ht="15">
      <c r="A7615"/>
      <c r="B7615"/>
      <c r="D7615"/>
      <c r="E7615"/>
      <c r="F7615"/>
      <c r="H7615"/>
    </row>
    <row r="7616" spans="1:8" ht="15">
      <c r="A7616"/>
      <c r="B7616"/>
      <c r="D7616"/>
      <c r="E7616"/>
      <c r="F7616"/>
      <c r="H7616"/>
    </row>
    <row r="7617" spans="1:8" ht="15">
      <c r="A7617"/>
      <c r="B7617"/>
      <c r="D7617"/>
      <c r="E7617"/>
      <c r="F7617"/>
      <c r="H7617"/>
    </row>
    <row r="7618" spans="1:8" ht="15">
      <c r="A7618"/>
      <c r="B7618"/>
      <c r="D7618"/>
      <c r="E7618"/>
      <c r="F7618"/>
      <c r="H7618"/>
    </row>
    <row r="7619" spans="1:8" ht="15">
      <c r="A7619"/>
      <c r="B7619"/>
      <c r="D7619"/>
      <c r="E7619"/>
      <c r="F7619"/>
      <c r="H7619"/>
    </row>
    <row r="7620" spans="1:8" ht="15">
      <c r="A7620"/>
      <c r="B7620"/>
      <c r="D7620"/>
      <c r="E7620"/>
      <c r="F7620"/>
      <c r="H7620"/>
    </row>
    <row r="7621" spans="1:8" ht="15">
      <c r="A7621"/>
      <c r="B7621"/>
      <c r="D7621"/>
      <c r="E7621"/>
      <c r="F7621"/>
      <c r="H7621"/>
    </row>
    <row r="7622" spans="1:8" ht="15">
      <c r="A7622"/>
      <c r="B7622"/>
      <c r="D7622"/>
      <c r="E7622"/>
      <c r="F7622"/>
      <c r="H7622"/>
    </row>
    <row r="7623" spans="1:8" ht="15">
      <c r="A7623"/>
      <c r="B7623"/>
      <c r="D7623"/>
      <c r="E7623"/>
      <c r="F7623"/>
      <c r="H7623"/>
    </row>
    <row r="7624" spans="1:8" ht="15">
      <c r="A7624"/>
      <c r="B7624"/>
      <c r="D7624"/>
      <c r="E7624"/>
      <c r="F7624"/>
      <c r="H7624"/>
    </row>
    <row r="7625" spans="1:8" ht="15">
      <c r="A7625"/>
      <c r="B7625"/>
      <c r="D7625"/>
      <c r="E7625"/>
      <c r="F7625"/>
      <c r="H7625"/>
    </row>
    <row r="7626" spans="1:8" ht="15">
      <c r="A7626"/>
      <c r="B7626"/>
      <c r="D7626"/>
      <c r="E7626"/>
      <c r="F7626"/>
      <c r="H7626"/>
    </row>
    <row r="7627" spans="1:8" ht="15">
      <c r="A7627"/>
      <c r="B7627"/>
      <c r="D7627"/>
      <c r="E7627"/>
      <c r="F7627"/>
      <c r="H7627"/>
    </row>
    <row r="7628" spans="1:8" ht="15">
      <c r="A7628"/>
      <c r="B7628"/>
      <c r="D7628"/>
      <c r="E7628"/>
      <c r="F7628"/>
      <c r="H7628"/>
    </row>
    <row r="7629" spans="1:8" ht="15">
      <c r="A7629"/>
      <c r="B7629"/>
      <c r="D7629"/>
      <c r="E7629"/>
      <c r="F7629"/>
      <c r="H7629"/>
    </row>
    <row r="7630" spans="1:8" ht="15">
      <c r="A7630"/>
      <c r="B7630"/>
      <c r="D7630"/>
      <c r="E7630"/>
      <c r="F7630"/>
      <c r="H7630"/>
    </row>
    <row r="7631" spans="1:8" ht="15">
      <c r="A7631"/>
      <c r="B7631"/>
      <c r="D7631"/>
      <c r="E7631"/>
      <c r="F7631"/>
      <c r="H7631"/>
    </row>
    <row r="7632" spans="1:8" ht="15">
      <c r="A7632"/>
      <c r="B7632"/>
      <c r="D7632"/>
      <c r="E7632"/>
      <c r="F7632"/>
      <c r="H7632"/>
    </row>
    <row r="7633" spans="1:8" ht="15">
      <c r="A7633"/>
      <c r="B7633"/>
      <c r="D7633"/>
      <c r="E7633"/>
      <c r="F7633"/>
      <c r="H7633"/>
    </row>
    <row r="7634" spans="1:8" ht="15">
      <c r="A7634"/>
      <c r="B7634"/>
      <c r="D7634"/>
      <c r="E7634"/>
      <c r="F7634"/>
      <c r="H7634"/>
    </row>
    <row r="7635" spans="1:8" ht="15">
      <c r="A7635"/>
      <c r="B7635"/>
      <c r="D7635"/>
      <c r="E7635"/>
      <c r="F7635"/>
      <c r="H7635"/>
    </row>
    <row r="7636" spans="1:8" ht="15">
      <c r="A7636"/>
      <c r="B7636"/>
      <c r="D7636"/>
      <c r="E7636"/>
      <c r="F7636"/>
      <c r="H7636"/>
    </row>
    <row r="7637" spans="1:8" ht="15">
      <c r="A7637"/>
      <c r="B7637"/>
      <c r="D7637"/>
      <c r="E7637"/>
      <c r="F7637"/>
      <c r="H7637"/>
    </row>
    <row r="7638" spans="1:8" ht="15">
      <c r="A7638"/>
      <c r="B7638"/>
      <c r="D7638"/>
      <c r="E7638"/>
      <c r="F7638"/>
      <c r="H7638"/>
    </row>
    <row r="7639" spans="1:8" ht="15">
      <c r="A7639"/>
      <c r="B7639"/>
      <c r="D7639"/>
      <c r="E7639"/>
      <c r="F7639"/>
      <c r="H7639"/>
    </row>
    <row r="7640" spans="1:8" ht="15">
      <c r="A7640"/>
      <c r="B7640"/>
      <c r="D7640"/>
      <c r="E7640"/>
      <c r="F7640"/>
      <c r="H7640"/>
    </row>
    <row r="7641" spans="1:8" ht="15">
      <c r="A7641"/>
      <c r="B7641"/>
      <c r="D7641"/>
      <c r="E7641"/>
      <c r="F7641"/>
      <c r="H7641"/>
    </row>
    <row r="7642" spans="1:8" ht="15">
      <c r="A7642"/>
      <c r="B7642"/>
      <c r="D7642"/>
      <c r="E7642"/>
      <c r="F7642"/>
      <c r="H7642"/>
    </row>
    <row r="7643" spans="1:8" ht="15">
      <c r="A7643"/>
      <c r="B7643"/>
      <c r="D7643"/>
      <c r="E7643"/>
      <c r="F7643"/>
      <c r="H7643"/>
    </row>
    <row r="7644" spans="1:8" ht="15">
      <c r="A7644"/>
      <c r="B7644"/>
      <c r="D7644"/>
      <c r="E7644"/>
      <c r="F7644"/>
      <c r="H7644"/>
    </row>
    <row r="7645" spans="1:8" ht="15">
      <c r="A7645"/>
      <c r="B7645"/>
      <c r="D7645"/>
      <c r="E7645"/>
      <c r="F7645"/>
      <c r="H7645"/>
    </row>
    <row r="7646" spans="1:8" ht="15">
      <c r="A7646"/>
      <c r="B7646"/>
      <c r="D7646"/>
      <c r="E7646"/>
      <c r="F7646"/>
      <c r="H7646"/>
    </row>
    <row r="7647" spans="1:8" ht="15">
      <c r="A7647"/>
      <c r="B7647"/>
      <c r="D7647"/>
      <c r="E7647"/>
      <c r="F7647"/>
      <c r="H7647"/>
    </row>
    <row r="7648" spans="1:8" ht="15">
      <c r="A7648"/>
      <c r="B7648"/>
      <c r="D7648"/>
      <c r="E7648"/>
      <c r="F7648"/>
      <c r="H7648"/>
    </row>
    <row r="7649" spans="1:8" ht="15">
      <c r="A7649"/>
      <c r="B7649"/>
      <c r="D7649"/>
      <c r="E7649"/>
      <c r="F7649"/>
      <c r="H7649"/>
    </row>
    <row r="7650" spans="1:8" ht="15">
      <c r="A7650"/>
      <c r="B7650"/>
      <c r="D7650"/>
      <c r="E7650"/>
      <c r="F7650"/>
      <c r="H7650"/>
    </row>
    <row r="7651" spans="1:8" ht="15">
      <c r="A7651"/>
      <c r="B7651"/>
      <c r="D7651"/>
      <c r="E7651"/>
      <c r="F7651"/>
      <c r="H7651"/>
    </row>
    <row r="7652" spans="1:8" ht="15">
      <c r="A7652"/>
      <c r="B7652"/>
      <c r="D7652"/>
      <c r="E7652"/>
      <c r="F7652"/>
      <c r="H7652"/>
    </row>
    <row r="7653" spans="1:8" ht="15">
      <c r="A7653"/>
      <c r="B7653"/>
      <c r="D7653"/>
      <c r="E7653"/>
      <c r="F7653"/>
      <c r="H7653"/>
    </row>
    <row r="7654" spans="1:8" ht="15">
      <c r="A7654"/>
      <c r="B7654"/>
      <c r="D7654"/>
      <c r="E7654"/>
      <c r="F7654"/>
      <c r="H7654"/>
    </row>
    <row r="7655" spans="1:8" ht="15">
      <c r="A7655"/>
      <c r="B7655"/>
      <c r="D7655"/>
      <c r="E7655"/>
      <c r="F7655"/>
      <c r="H7655"/>
    </row>
    <row r="7656" spans="1:8" ht="15">
      <c r="A7656"/>
      <c r="B7656"/>
      <c r="D7656"/>
      <c r="E7656"/>
      <c r="F7656"/>
      <c r="H7656"/>
    </row>
    <row r="7657" spans="1:8" ht="15">
      <c r="A7657"/>
      <c r="B7657"/>
      <c r="D7657"/>
      <c r="E7657"/>
      <c r="F7657"/>
      <c r="H7657"/>
    </row>
    <row r="7658" spans="1:8" ht="15">
      <c r="A7658"/>
      <c r="B7658"/>
      <c r="D7658"/>
      <c r="E7658"/>
      <c r="F7658"/>
      <c r="H7658"/>
    </row>
    <row r="7659" spans="1:8" ht="15">
      <c r="A7659"/>
      <c r="B7659"/>
      <c r="D7659"/>
      <c r="E7659"/>
      <c r="F7659"/>
      <c r="H7659"/>
    </row>
    <row r="7660" spans="1:8" ht="15">
      <c r="A7660"/>
      <c r="B7660"/>
      <c r="D7660"/>
      <c r="E7660"/>
      <c r="F7660"/>
      <c r="H7660"/>
    </row>
    <row r="7661" spans="1:8" ht="15">
      <c r="A7661"/>
      <c r="B7661"/>
      <c r="D7661"/>
      <c r="E7661"/>
      <c r="F7661"/>
      <c r="H7661"/>
    </row>
    <row r="7662" spans="1:8" ht="15">
      <c r="A7662"/>
      <c r="B7662"/>
      <c r="D7662"/>
      <c r="E7662"/>
      <c r="F7662"/>
      <c r="H7662"/>
    </row>
    <row r="7663" spans="1:8" ht="15">
      <c r="A7663"/>
      <c r="B7663"/>
      <c r="D7663"/>
      <c r="E7663"/>
      <c r="F7663"/>
      <c r="H7663"/>
    </row>
    <row r="7664" spans="1:8" ht="15">
      <c r="A7664"/>
      <c r="B7664"/>
      <c r="D7664"/>
      <c r="E7664"/>
      <c r="F7664"/>
      <c r="H7664"/>
    </row>
    <row r="7665" spans="1:8" ht="15">
      <c r="A7665"/>
      <c r="B7665"/>
      <c r="D7665"/>
      <c r="E7665"/>
      <c r="F7665"/>
      <c r="H7665"/>
    </row>
    <row r="7666" spans="1:8" ht="15">
      <c r="A7666"/>
      <c r="B7666"/>
      <c r="D7666"/>
      <c r="E7666"/>
      <c r="F7666"/>
      <c r="H7666"/>
    </row>
    <row r="7667" spans="1:8" ht="15">
      <c r="A7667"/>
      <c r="B7667"/>
      <c r="D7667"/>
      <c r="E7667"/>
      <c r="F7667"/>
      <c r="H7667"/>
    </row>
    <row r="7668" spans="1:8" ht="15">
      <c r="A7668"/>
      <c r="B7668"/>
      <c r="D7668"/>
      <c r="E7668"/>
      <c r="F7668"/>
      <c r="H7668"/>
    </row>
    <row r="7669" spans="1:8" ht="15">
      <c r="A7669"/>
      <c r="B7669"/>
      <c r="D7669"/>
      <c r="E7669"/>
      <c r="F7669"/>
      <c r="H7669"/>
    </row>
    <row r="7670" spans="1:8" ht="15">
      <c r="A7670"/>
      <c r="B7670"/>
      <c r="D7670"/>
      <c r="E7670"/>
      <c r="F7670"/>
      <c r="H7670"/>
    </row>
    <row r="7671" spans="1:8" ht="15">
      <c r="A7671"/>
      <c r="B7671"/>
      <c r="D7671"/>
      <c r="E7671"/>
      <c r="F7671"/>
      <c r="H7671"/>
    </row>
    <row r="7672" spans="1:8" ht="15">
      <c r="A7672"/>
      <c r="B7672"/>
      <c r="D7672"/>
      <c r="E7672"/>
      <c r="F7672"/>
      <c r="H7672"/>
    </row>
    <row r="7673" spans="1:8" ht="15">
      <c r="A7673"/>
      <c r="B7673"/>
      <c r="D7673"/>
      <c r="E7673"/>
      <c r="F7673"/>
      <c r="H7673"/>
    </row>
    <row r="7674" spans="1:8" ht="15">
      <c r="A7674"/>
      <c r="B7674"/>
      <c r="D7674"/>
      <c r="E7674"/>
      <c r="F7674"/>
      <c r="H7674"/>
    </row>
    <row r="7675" spans="1:8" ht="15">
      <c r="A7675"/>
      <c r="B7675"/>
      <c r="D7675"/>
      <c r="E7675"/>
      <c r="F7675"/>
      <c r="H7675"/>
    </row>
    <row r="7676" spans="1:8" ht="15">
      <c r="A7676"/>
      <c r="B7676"/>
      <c r="D7676"/>
      <c r="E7676"/>
      <c r="F7676"/>
      <c r="H7676"/>
    </row>
    <row r="7677" spans="1:8" ht="15">
      <c r="A7677"/>
      <c r="B7677"/>
      <c r="D7677"/>
      <c r="E7677"/>
      <c r="F7677"/>
      <c r="H7677"/>
    </row>
    <row r="7678" spans="1:8" ht="15">
      <c r="A7678"/>
      <c r="B7678"/>
      <c r="D7678"/>
      <c r="E7678"/>
      <c r="F7678"/>
      <c r="H7678"/>
    </row>
    <row r="7679" spans="1:8" ht="15">
      <c r="A7679"/>
      <c r="B7679"/>
      <c r="D7679"/>
      <c r="E7679"/>
      <c r="F7679"/>
      <c r="H7679"/>
    </row>
    <row r="7680" spans="1:8" ht="15">
      <c r="A7680"/>
      <c r="B7680"/>
      <c r="D7680"/>
      <c r="E7680"/>
      <c r="F7680"/>
      <c r="H7680"/>
    </row>
    <row r="7681" spans="1:8" ht="15">
      <c r="A7681"/>
      <c r="B7681"/>
      <c r="D7681"/>
      <c r="E7681"/>
      <c r="F7681"/>
      <c r="H7681"/>
    </row>
    <row r="7682" spans="1:8" ht="15">
      <c r="A7682"/>
      <c r="B7682"/>
      <c r="D7682"/>
      <c r="E7682"/>
      <c r="F7682"/>
      <c r="H7682"/>
    </row>
    <row r="7683" spans="1:8" ht="15">
      <c r="A7683"/>
      <c r="B7683"/>
      <c r="D7683"/>
      <c r="E7683"/>
      <c r="F7683"/>
      <c r="H7683"/>
    </row>
    <row r="7684" spans="1:8" ht="15">
      <c r="A7684"/>
      <c r="B7684"/>
      <c r="D7684"/>
      <c r="E7684"/>
      <c r="F7684"/>
      <c r="H7684"/>
    </row>
    <row r="7685" spans="1:8" ht="15">
      <c r="A7685"/>
      <c r="B7685"/>
      <c r="D7685"/>
      <c r="E7685"/>
      <c r="F7685"/>
      <c r="H7685"/>
    </row>
    <row r="7686" spans="1:8" ht="15">
      <c r="A7686"/>
      <c r="B7686"/>
      <c r="D7686"/>
      <c r="E7686"/>
      <c r="F7686"/>
      <c r="H7686"/>
    </row>
    <row r="7687" spans="1:8" ht="15">
      <c r="A7687"/>
      <c r="B7687"/>
      <c r="D7687"/>
      <c r="E7687"/>
      <c r="F7687"/>
      <c r="H7687"/>
    </row>
    <row r="7688" spans="1:8" ht="15">
      <c r="A7688"/>
      <c r="B7688"/>
      <c r="D7688"/>
      <c r="E7688"/>
      <c r="F7688"/>
      <c r="H7688"/>
    </row>
    <row r="7689" spans="1:8" ht="15">
      <c r="A7689"/>
      <c r="B7689"/>
      <c r="D7689"/>
      <c r="E7689"/>
      <c r="F7689"/>
      <c r="H7689"/>
    </row>
    <row r="7690" spans="1:8" ht="15">
      <c r="A7690"/>
      <c r="B7690"/>
      <c r="D7690"/>
      <c r="E7690"/>
      <c r="F7690"/>
      <c r="H7690"/>
    </row>
    <row r="7691" spans="1:8" ht="15">
      <c r="A7691"/>
      <c r="B7691"/>
      <c r="D7691"/>
      <c r="E7691"/>
      <c r="F7691"/>
      <c r="H7691"/>
    </row>
    <row r="7692" spans="1:8" ht="15">
      <c r="A7692"/>
      <c r="B7692"/>
      <c r="D7692"/>
      <c r="E7692"/>
      <c r="F7692"/>
      <c r="H7692"/>
    </row>
    <row r="7693" spans="1:8" ht="15">
      <c r="A7693"/>
      <c r="B7693"/>
      <c r="D7693"/>
      <c r="E7693"/>
      <c r="F7693"/>
      <c r="H7693"/>
    </row>
    <row r="7694" spans="1:8" ht="15">
      <c r="A7694"/>
      <c r="B7694"/>
      <c r="D7694"/>
      <c r="E7694"/>
      <c r="F7694"/>
      <c r="H7694"/>
    </row>
    <row r="7695" spans="1:8" ht="15">
      <c r="A7695"/>
      <c r="B7695"/>
      <c r="D7695"/>
      <c r="E7695"/>
      <c r="F7695"/>
      <c r="H7695"/>
    </row>
    <row r="7696" spans="1:8" ht="15">
      <c r="A7696"/>
      <c r="B7696"/>
      <c r="D7696"/>
      <c r="E7696"/>
      <c r="F7696"/>
      <c r="H7696"/>
    </row>
    <row r="7697" spans="1:8" ht="15">
      <c r="A7697"/>
      <c r="B7697"/>
      <c r="D7697"/>
      <c r="E7697"/>
      <c r="F7697"/>
      <c r="H7697"/>
    </row>
    <row r="7698" spans="1:8" ht="15">
      <c r="A7698"/>
      <c r="B7698"/>
      <c r="D7698"/>
      <c r="E7698"/>
      <c r="F7698"/>
      <c r="H7698"/>
    </row>
    <row r="7699" spans="1:8" ht="15">
      <c r="A7699"/>
      <c r="B7699"/>
      <c r="D7699"/>
      <c r="E7699"/>
      <c r="F7699"/>
      <c r="H7699"/>
    </row>
    <row r="7700" spans="1:8" ht="15">
      <c r="A7700"/>
      <c r="B7700"/>
      <c r="D7700"/>
      <c r="E7700"/>
      <c r="F7700"/>
      <c r="H7700"/>
    </row>
    <row r="7701" spans="1:8" ht="15">
      <c r="A7701"/>
      <c r="B7701"/>
      <c r="D7701"/>
      <c r="E7701"/>
      <c r="F7701"/>
      <c r="H7701"/>
    </row>
    <row r="7702" spans="1:8" ht="15">
      <c r="A7702"/>
      <c r="B7702"/>
      <c r="D7702"/>
      <c r="E7702"/>
      <c r="F7702"/>
      <c r="H7702"/>
    </row>
    <row r="7703" spans="1:8" ht="15">
      <c r="A7703"/>
      <c r="B7703"/>
      <c r="D7703"/>
      <c r="E7703"/>
      <c r="F7703"/>
      <c r="H7703"/>
    </row>
    <row r="7704" spans="1:8" ht="15">
      <c r="A7704"/>
      <c r="B7704"/>
      <c r="D7704"/>
      <c r="E7704"/>
      <c r="F7704"/>
      <c r="H7704"/>
    </row>
    <row r="7705" spans="1:8" ht="15">
      <c r="A7705"/>
      <c r="B7705"/>
      <c r="D7705"/>
      <c r="E7705"/>
      <c r="F7705"/>
      <c r="H7705"/>
    </row>
    <row r="7706" spans="1:8" ht="15">
      <c r="A7706"/>
      <c r="B7706"/>
      <c r="D7706"/>
      <c r="E7706"/>
      <c r="F7706"/>
      <c r="H7706"/>
    </row>
    <row r="7707" spans="1:8" ht="15">
      <c r="A7707"/>
      <c r="B7707"/>
      <c r="D7707"/>
      <c r="E7707"/>
      <c r="F7707"/>
      <c r="H7707"/>
    </row>
    <row r="7708" spans="1:8" ht="15">
      <c r="A7708"/>
      <c r="B7708"/>
      <c r="D7708"/>
      <c r="E7708"/>
      <c r="F7708"/>
      <c r="H7708"/>
    </row>
    <row r="7709" spans="1:8" ht="15">
      <c r="A7709"/>
      <c r="B7709"/>
      <c r="D7709"/>
      <c r="E7709"/>
      <c r="F7709"/>
      <c r="H7709"/>
    </row>
    <row r="7710" spans="1:8" ht="15">
      <c r="A7710"/>
      <c r="B7710"/>
      <c r="D7710"/>
      <c r="E7710"/>
      <c r="F7710"/>
      <c r="H7710"/>
    </row>
    <row r="7711" spans="1:8" ht="15">
      <c r="A7711"/>
      <c r="B7711"/>
      <c r="D7711"/>
      <c r="E7711"/>
      <c r="F7711"/>
      <c r="H7711"/>
    </row>
    <row r="7712" spans="1:8" ht="15">
      <c r="A7712"/>
      <c r="B7712"/>
      <c r="D7712"/>
      <c r="E7712"/>
      <c r="F7712"/>
      <c r="H7712"/>
    </row>
    <row r="7713" spans="1:8" ht="15">
      <c r="A7713"/>
      <c r="B7713"/>
      <c r="D7713"/>
      <c r="E7713"/>
      <c r="F7713"/>
      <c r="H7713"/>
    </row>
    <row r="7714" spans="1:8" ht="15">
      <c r="A7714"/>
      <c r="B7714"/>
      <c r="D7714"/>
      <c r="E7714"/>
      <c r="F7714"/>
      <c r="H7714"/>
    </row>
    <row r="7715" spans="1:8" ht="15">
      <c r="A7715"/>
      <c r="B7715"/>
      <c r="D7715"/>
      <c r="E7715"/>
      <c r="F7715"/>
      <c r="H7715"/>
    </row>
    <row r="7716" spans="1:8" ht="15">
      <c r="A7716"/>
      <c r="B7716"/>
      <c r="D7716"/>
      <c r="E7716"/>
      <c r="F7716"/>
      <c r="H7716"/>
    </row>
    <row r="7717" spans="1:8" ht="15">
      <c r="A7717"/>
      <c r="B7717"/>
      <c r="D7717"/>
      <c r="E7717"/>
      <c r="F7717"/>
      <c r="H7717"/>
    </row>
    <row r="7718" spans="1:8" ht="15">
      <c r="A7718"/>
      <c r="B7718"/>
      <c r="D7718"/>
      <c r="E7718"/>
      <c r="F7718"/>
      <c r="H7718"/>
    </row>
    <row r="7719" spans="1:8" ht="15">
      <c r="A7719"/>
      <c r="B7719"/>
      <c r="D7719"/>
      <c r="E7719"/>
      <c r="F7719"/>
      <c r="H7719"/>
    </row>
    <row r="7720" spans="1:8" ht="15">
      <c r="A7720"/>
      <c r="B7720"/>
      <c r="D7720"/>
      <c r="E7720"/>
      <c r="F7720"/>
      <c r="H7720"/>
    </row>
    <row r="7721" spans="1:8" ht="15">
      <c r="A7721"/>
      <c r="B7721"/>
      <c r="D7721"/>
      <c r="E7721"/>
      <c r="F7721"/>
      <c r="H7721"/>
    </row>
    <row r="7722" spans="1:8" ht="15">
      <c r="A7722"/>
      <c r="B7722"/>
      <c r="D7722"/>
      <c r="E7722"/>
      <c r="F7722"/>
      <c r="H7722"/>
    </row>
    <row r="7723" spans="1:8" ht="15">
      <c r="A7723"/>
      <c r="B7723"/>
      <c r="D7723"/>
      <c r="E7723"/>
      <c r="F7723"/>
      <c r="H7723"/>
    </row>
    <row r="7724" spans="1:8" ht="15">
      <c r="A7724"/>
      <c r="B7724"/>
      <c r="D7724"/>
      <c r="E7724"/>
      <c r="F7724"/>
      <c r="H7724"/>
    </row>
    <row r="7725" spans="1:8" ht="15">
      <c r="A7725"/>
      <c r="B7725"/>
      <c r="D7725"/>
      <c r="E7725"/>
      <c r="F7725"/>
      <c r="H7725"/>
    </row>
    <row r="7726" spans="1:8" ht="15">
      <c r="A7726"/>
      <c r="B7726"/>
      <c r="D7726"/>
      <c r="E7726"/>
      <c r="F7726"/>
      <c r="H7726"/>
    </row>
    <row r="7727" spans="1:8" ht="15">
      <c r="A7727"/>
      <c r="B7727"/>
      <c r="D7727"/>
      <c r="E7727"/>
      <c r="F7727"/>
      <c r="H7727"/>
    </row>
    <row r="7728" spans="1:8" ht="15">
      <c r="A7728"/>
      <c r="B7728"/>
      <c r="D7728"/>
      <c r="E7728"/>
      <c r="F7728"/>
      <c r="H7728"/>
    </row>
    <row r="7729" spans="1:8" ht="15">
      <c r="A7729"/>
      <c r="B7729"/>
      <c r="D7729"/>
      <c r="E7729"/>
      <c r="F7729"/>
      <c r="H7729"/>
    </row>
    <row r="7730" spans="1:8" ht="15">
      <c r="A7730"/>
      <c r="B7730"/>
      <c r="D7730"/>
      <c r="E7730"/>
      <c r="F7730"/>
      <c r="H7730"/>
    </row>
    <row r="7731" spans="1:8" ht="15">
      <c r="A7731"/>
      <c r="B7731"/>
      <c r="D7731"/>
      <c r="E7731"/>
      <c r="F7731"/>
      <c r="H7731"/>
    </row>
    <row r="7732" spans="1:8" ht="15">
      <c r="A7732"/>
      <c r="B7732"/>
      <c r="D7732"/>
      <c r="E7732"/>
      <c r="F7732"/>
      <c r="H7732"/>
    </row>
    <row r="7733" spans="1:8" ht="15">
      <c r="A7733"/>
      <c r="B7733"/>
      <c r="D7733"/>
      <c r="E7733"/>
      <c r="F7733"/>
      <c r="H7733"/>
    </row>
    <row r="7734" spans="1:8" ht="15">
      <c r="A7734"/>
      <c r="B7734"/>
      <c r="D7734"/>
      <c r="E7734"/>
      <c r="F7734"/>
      <c r="H7734"/>
    </row>
    <row r="7735" spans="1:8" ht="15">
      <c r="A7735"/>
      <c r="B7735"/>
      <c r="D7735"/>
      <c r="E7735"/>
      <c r="F7735"/>
      <c r="H7735"/>
    </row>
    <row r="7736" spans="1:8" ht="15">
      <c r="A7736"/>
      <c r="B7736"/>
      <c r="D7736"/>
      <c r="E7736"/>
      <c r="F7736"/>
      <c r="H7736"/>
    </row>
    <row r="7737" spans="1:8" ht="15">
      <c r="A7737"/>
      <c r="B7737"/>
      <c r="D7737"/>
      <c r="E7737"/>
      <c r="F7737"/>
      <c r="H7737"/>
    </row>
    <row r="7738" spans="1:8" ht="15">
      <c r="A7738"/>
      <c r="B7738"/>
      <c r="D7738"/>
      <c r="E7738"/>
      <c r="F7738"/>
      <c r="H7738"/>
    </row>
    <row r="7739" spans="1:8" ht="15">
      <c r="A7739"/>
      <c r="B7739"/>
      <c r="D7739"/>
      <c r="E7739"/>
      <c r="F7739"/>
      <c r="H7739"/>
    </row>
    <row r="7740" spans="1:8" ht="15">
      <c r="A7740"/>
      <c r="B7740"/>
      <c r="D7740"/>
      <c r="E7740"/>
      <c r="F7740"/>
      <c r="H7740"/>
    </row>
    <row r="7741" spans="1:8" ht="15">
      <c r="A7741"/>
      <c r="B7741"/>
      <c r="D7741"/>
      <c r="E7741"/>
      <c r="F7741"/>
      <c r="H7741"/>
    </row>
    <row r="7742" spans="1:8" ht="15">
      <c r="A7742"/>
      <c r="B7742"/>
      <c r="D7742"/>
      <c r="E7742"/>
      <c r="F7742"/>
      <c r="H7742"/>
    </row>
    <row r="7743" spans="1:8" ht="15">
      <c r="A7743"/>
      <c r="B7743"/>
      <c r="D7743"/>
      <c r="E7743"/>
      <c r="F7743"/>
      <c r="H7743"/>
    </row>
    <row r="7744" spans="1:8" ht="15">
      <c r="A7744"/>
      <c r="B7744"/>
      <c r="D7744"/>
      <c r="E7744"/>
      <c r="F7744"/>
      <c r="H7744"/>
    </row>
    <row r="7745" spans="1:8" ht="15">
      <c r="A7745"/>
      <c r="B7745"/>
      <c r="D7745"/>
      <c r="E7745"/>
      <c r="F7745"/>
      <c r="H7745"/>
    </row>
    <row r="7746" spans="1:8" ht="15">
      <c r="A7746"/>
      <c r="B7746"/>
      <c r="D7746"/>
      <c r="E7746"/>
      <c r="F7746"/>
      <c r="H7746"/>
    </row>
    <row r="7747" spans="1:8" ht="15">
      <c r="A7747"/>
      <c r="B7747"/>
      <c r="D7747"/>
      <c r="E7747"/>
      <c r="F7747"/>
      <c r="H7747"/>
    </row>
    <row r="7748" spans="1:8" ht="15">
      <c r="A7748"/>
      <c r="B7748"/>
      <c r="D7748"/>
      <c r="E7748"/>
      <c r="F7748"/>
      <c r="H7748"/>
    </row>
    <row r="7749" spans="1:8" ht="15">
      <c r="A7749"/>
      <c r="B7749"/>
      <c r="D7749"/>
      <c r="E7749"/>
      <c r="F7749"/>
      <c r="H7749"/>
    </row>
    <row r="7750" spans="1:8" ht="15">
      <c r="A7750"/>
      <c r="B7750"/>
      <c r="D7750"/>
      <c r="E7750"/>
      <c r="F7750"/>
      <c r="H7750"/>
    </row>
    <row r="7751" spans="1:8" ht="15">
      <c r="A7751"/>
      <c r="B7751"/>
      <c r="D7751"/>
      <c r="E7751"/>
      <c r="F7751"/>
      <c r="H7751"/>
    </row>
    <row r="7752" spans="1:8" ht="15">
      <c r="A7752"/>
      <c r="B7752"/>
      <c r="D7752"/>
      <c r="E7752"/>
      <c r="F7752"/>
      <c r="H7752"/>
    </row>
    <row r="7753" spans="1:8" ht="15">
      <c r="A7753"/>
      <c r="B7753"/>
      <c r="D7753"/>
      <c r="E7753"/>
      <c r="F7753"/>
      <c r="H7753"/>
    </row>
    <row r="7754" spans="1:8" ht="15">
      <c r="A7754"/>
      <c r="B7754"/>
      <c r="D7754"/>
      <c r="E7754"/>
      <c r="F7754"/>
      <c r="H7754"/>
    </row>
    <row r="7755" spans="1:8" ht="15">
      <c r="A7755"/>
      <c r="B7755"/>
      <c r="D7755"/>
      <c r="E7755"/>
      <c r="F7755"/>
      <c r="H7755"/>
    </row>
    <row r="7756" spans="1:8" ht="15">
      <c r="A7756"/>
      <c r="B7756"/>
      <c r="D7756"/>
      <c r="E7756"/>
      <c r="F7756"/>
      <c r="H7756"/>
    </row>
    <row r="7757" spans="1:8" ht="15">
      <c r="A7757"/>
      <c r="B7757"/>
      <c r="D7757"/>
      <c r="E7757"/>
      <c r="F7757"/>
      <c r="H7757"/>
    </row>
    <row r="7758" spans="1:8" ht="15">
      <c r="A7758"/>
      <c r="B7758"/>
      <c r="D7758"/>
      <c r="E7758"/>
      <c r="F7758"/>
      <c r="H7758"/>
    </row>
    <row r="7759" spans="1:8" ht="15">
      <c r="A7759"/>
      <c r="B7759"/>
      <c r="D7759"/>
      <c r="E7759"/>
      <c r="F7759"/>
      <c r="H7759"/>
    </row>
    <row r="7760" spans="1:8" ht="15">
      <c r="A7760"/>
      <c r="B7760"/>
      <c r="D7760"/>
      <c r="E7760"/>
      <c r="F7760"/>
      <c r="H7760"/>
    </row>
    <row r="7761" spans="1:8" ht="15">
      <c r="A7761"/>
      <c r="B7761"/>
      <c r="D7761"/>
      <c r="E7761"/>
      <c r="F7761"/>
      <c r="H7761"/>
    </row>
    <row r="7762" spans="1:8" ht="15">
      <c r="A7762"/>
      <c r="B7762"/>
      <c r="D7762"/>
      <c r="E7762"/>
      <c r="F7762"/>
      <c r="H7762"/>
    </row>
    <row r="7763" spans="1:8" ht="15">
      <c r="A7763"/>
      <c r="B7763"/>
      <c r="D7763"/>
      <c r="E7763"/>
      <c r="F7763"/>
      <c r="H7763"/>
    </row>
    <row r="7764" spans="1:8" ht="15">
      <c r="A7764"/>
      <c r="B7764"/>
      <c r="D7764"/>
      <c r="E7764"/>
      <c r="F7764"/>
      <c r="H7764"/>
    </row>
    <row r="7765" spans="1:8" ht="15">
      <c r="A7765"/>
      <c r="B7765"/>
      <c r="D7765"/>
      <c r="E7765"/>
      <c r="F7765"/>
      <c r="H7765"/>
    </row>
    <row r="7766" spans="1:8" ht="15">
      <c r="A7766"/>
      <c r="B7766"/>
      <c r="D7766"/>
      <c r="E7766"/>
      <c r="F7766"/>
      <c r="H7766"/>
    </row>
    <row r="7767" spans="1:8" ht="15">
      <c r="A7767"/>
      <c r="B7767"/>
      <c r="D7767"/>
      <c r="E7767"/>
      <c r="F7767"/>
      <c r="H7767"/>
    </row>
    <row r="7768" spans="1:8" ht="15">
      <c r="A7768"/>
      <c r="B7768"/>
      <c r="D7768"/>
      <c r="E7768"/>
      <c r="F7768"/>
      <c r="H7768"/>
    </row>
    <row r="7769" spans="1:8" ht="15">
      <c r="A7769"/>
      <c r="B7769"/>
      <c r="D7769"/>
      <c r="E7769"/>
      <c r="F7769"/>
      <c r="H7769"/>
    </row>
    <row r="7770" spans="1:8" ht="15">
      <c r="A7770"/>
      <c r="B7770"/>
      <c r="D7770"/>
      <c r="E7770"/>
      <c r="F7770"/>
      <c r="H7770"/>
    </row>
    <row r="7771" spans="1:8" ht="15">
      <c r="A7771"/>
      <c r="B7771"/>
      <c r="D7771"/>
      <c r="E7771"/>
      <c r="F7771"/>
      <c r="H7771"/>
    </row>
    <row r="7772" spans="1:8" ht="15">
      <c r="A7772"/>
      <c r="B7772"/>
      <c r="D7772"/>
      <c r="E7772"/>
      <c r="F7772"/>
      <c r="H7772"/>
    </row>
    <row r="7773" spans="1:8" ht="15">
      <c r="A7773"/>
      <c r="B7773"/>
      <c r="D7773"/>
      <c r="E7773"/>
      <c r="F7773"/>
      <c r="H7773"/>
    </row>
    <row r="7774" spans="1:8" ht="15">
      <c r="A7774"/>
      <c r="B7774"/>
      <c r="D7774"/>
      <c r="E7774"/>
      <c r="F7774"/>
      <c r="H7774"/>
    </row>
    <row r="7775" spans="1:8" ht="15">
      <c r="A7775"/>
      <c r="B7775"/>
      <c r="D7775"/>
      <c r="E7775"/>
      <c r="F7775"/>
      <c r="H7775"/>
    </row>
    <row r="7776" spans="1:8" ht="15">
      <c r="A7776"/>
      <c r="B7776"/>
      <c r="D7776"/>
      <c r="E7776"/>
      <c r="F7776"/>
      <c r="H7776"/>
    </row>
    <row r="7777" spans="1:8" ht="15">
      <c r="A7777"/>
      <c r="B7777"/>
      <c r="D7777"/>
      <c r="E7777"/>
      <c r="F7777"/>
      <c r="H7777"/>
    </row>
    <row r="7778" spans="1:8" ht="15">
      <c r="A7778"/>
      <c r="B7778"/>
      <c r="D7778"/>
      <c r="E7778"/>
      <c r="F7778"/>
      <c r="H7778"/>
    </row>
    <row r="7779" spans="1:8" ht="15">
      <c r="A7779"/>
      <c r="B7779"/>
      <c r="D7779"/>
      <c r="E7779"/>
      <c r="F7779"/>
      <c r="H7779"/>
    </row>
    <row r="7780" spans="1:8" ht="15">
      <c r="A7780"/>
      <c r="B7780"/>
      <c r="D7780"/>
      <c r="E7780"/>
      <c r="F7780"/>
      <c r="H7780"/>
    </row>
    <row r="7781" spans="1:8" ht="15">
      <c r="A7781"/>
      <c r="B7781"/>
      <c r="D7781"/>
      <c r="E7781"/>
      <c r="F7781"/>
      <c r="H7781"/>
    </row>
    <row r="7782" spans="1:8" ht="15">
      <c r="A7782"/>
      <c r="B7782"/>
      <c r="D7782"/>
      <c r="E7782"/>
      <c r="F7782"/>
      <c r="H7782"/>
    </row>
    <row r="7783" spans="1:8" ht="15">
      <c r="A7783"/>
      <c r="B7783"/>
      <c r="D7783"/>
      <c r="E7783"/>
      <c r="F7783"/>
      <c r="H7783"/>
    </row>
    <row r="7784" spans="1:8" ht="15">
      <c r="A7784"/>
      <c r="B7784"/>
      <c r="D7784"/>
      <c r="E7784"/>
      <c r="F7784"/>
      <c r="H7784"/>
    </row>
    <row r="7785" spans="1:8" ht="15">
      <c r="A7785"/>
      <c r="B7785"/>
      <c r="D7785"/>
      <c r="E7785"/>
      <c r="F7785"/>
      <c r="H7785"/>
    </row>
    <row r="7786" spans="1:8" ht="15">
      <c r="A7786"/>
      <c r="B7786"/>
      <c r="D7786"/>
      <c r="E7786"/>
      <c r="F7786"/>
      <c r="H7786"/>
    </row>
    <row r="7787" spans="1:8" ht="15">
      <c r="A7787"/>
      <c r="B7787"/>
      <c r="D7787"/>
      <c r="E7787"/>
      <c r="F7787"/>
      <c r="H7787"/>
    </row>
    <row r="7788" spans="1:8" ht="15">
      <c r="A7788"/>
      <c r="B7788"/>
      <c r="D7788"/>
      <c r="E7788"/>
      <c r="F7788"/>
      <c r="H7788"/>
    </row>
    <row r="7789" spans="1:8" ht="15">
      <c r="A7789"/>
      <c r="B7789"/>
      <c r="D7789"/>
      <c r="E7789"/>
      <c r="F7789"/>
      <c r="H7789"/>
    </row>
    <row r="7790" spans="1:8" ht="15">
      <c r="A7790"/>
      <c r="B7790"/>
      <c r="D7790"/>
      <c r="E7790"/>
      <c r="F7790"/>
      <c r="H7790"/>
    </row>
    <row r="7791" spans="1:8" ht="15">
      <c r="A7791"/>
      <c r="B7791"/>
      <c r="D7791"/>
      <c r="E7791"/>
      <c r="F7791"/>
      <c r="H7791"/>
    </row>
    <row r="7792" spans="1:8" ht="15">
      <c r="A7792"/>
      <c r="B7792"/>
      <c r="D7792"/>
      <c r="E7792"/>
      <c r="F7792"/>
      <c r="H7792"/>
    </row>
    <row r="7793" spans="1:8" ht="15">
      <c r="A7793"/>
      <c r="B7793"/>
      <c r="D7793"/>
      <c r="E7793"/>
      <c r="F7793"/>
      <c r="H7793"/>
    </row>
    <row r="7794" spans="1:8" ht="15">
      <c r="A7794"/>
      <c r="B7794"/>
      <c r="D7794"/>
      <c r="E7794"/>
      <c r="F7794"/>
      <c r="H7794"/>
    </row>
    <row r="7795" spans="1:8" ht="15">
      <c r="A7795"/>
      <c r="B7795"/>
      <c r="D7795"/>
      <c r="E7795"/>
      <c r="F7795"/>
      <c r="H7795"/>
    </row>
    <row r="7796" spans="1:8" ht="15">
      <c r="A7796"/>
      <c r="B7796"/>
      <c r="D7796"/>
      <c r="E7796"/>
      <c r="F7796"/>
      <c r="H7796"/>
    </row>
    <row r="7797" spans="1:8" ht="15">
      <c r="A7797"/>
      <c r="B7797"/>
      <c r="D7797"/>
      <c r="E7797"/>
      <c r="F7797"/>
      <c r="H7797"/>
    </row>
    <row r="7798" spans="1:8" ht="15">
      <c r="A7798"/>
      <c r="B7798"/>
      <c r="D7798"/>
      <c r="E7798"/>
      <c r="F7798"/>
      <c r="H7798"/>
    </row>
    <row r="7799" spans="1:8" ht="15">
      <c r="A7799"/>
      <c r="B7799"/>
      <c r="D7799"/>
      <c r="E7799"/>
      <c r="F7799"/>
      <c r="H7799"/>
    </row>
    <row r="7800" spans="1:8" ht="15">
      <c r="A7800"/>
      <c r="B7800"/>
      <c r="D7800"/>
      <c r="E7800"/>
      <c r="F7800"/>
      <c r="H7800"/>
    </row>
    <row r="7801" spans="1:8" ht="15">
      <c r="A7801"/>
      <c r="B7801"/>
      <c r="D7801"/>
      <c r="E7801"/>
      <c r="F7801"/>
      <c r="H7801"/>
    </row>
    <row r="7802" spans="1:8" ht="15">
      <c r="A7802"/>
      <c r="B7802"/>
      <c r="D7802"/>
      <c r="E7802"/>
      <c r="F7802"/>
      <c r="H7802"/>
    </row>
    <row r="7803" spans="1:8" ht="15">
      <c r="A7803"/>
      <c r="B7803"/>
      <c r="D7803"/>
      <c r="E7803"/>
      <c r="F7803"/>
      <c r="H7803"/>
    </row>
    <row r="7804" spans="1:8" ht="15">
      <c r="A7804"/>
      <c r="B7804"/>
      <c r="D7804"/>
      <c r="E7804"/>
      <c r="F7804"/>
      <c r="H7804"/>
    </row>
    <row r="7805" spans="1:8" ht="15">
      <c r="A7805"/>
      <c r="B7805"/>
      <c r="D7805"/>
      <c r="E7805"/>
      <c r="F7805"/>
      <c r="H7805"/>
    </row>
    <row r="7806" spans="1:8" ht="15">
      <c r="A7806"/>
      <c r="B7806"/>
      <c r="D7806"/>
      <c r="E7806"/>
      <c r="F7806"/>
      <c r="H7806"/>
    </row>
    <row r="7807" spans="1:8" ht="15">
      <c r="A7807"/>
      <c r="B7807"/>
      <c r="D7807"/>
      <c r="E7807"/>
      <c r="F7807"/>
      <c r="H7807"/>
    </row>
    <row r="7808" spans="1:8" ht="15">
      <c r="A7808"/>
      <c r="B7808"/>
      <c r="D7808"/>
      <c r="E7808"/>
      <c r="F7808"/>
      <c r="H7808"/>
    </row>
    <row r="7809" spans="1:8" ht="15">
      <c r="A7809"/>
      <c r="B7809"/>
      <c r="D7809"/>
      <c r="E7809"/>
      <c r="F7809"/>
      <c r="H7809"/>
    </row>
    <row r="7810" spans="1:8" ht="15">
      <c r="A7810"/>
      <c r="B7810"/>
      <c r="D7810"/>
      <c r="E7810"/>
      <c r="F7810"/>
      <c r="H7810"/>
    </row>
    <row r="7811" spans="1:8" ht="15">
      <c r="A7811"/>
      <c r="B7811"/>
      <c r="D7811"/>
      <c r="E7811"/>
      <c r="F7811"/>
      <c r="H7811"/>
    </row>
    <row r="7812" spans="1:8" ht="15">
      <c r="A7812"/>
      <c r="B7812"/>
      <c r="D7812"/>
      <c r="E7812"/>
      <c r="F7812"/>
      <c r="H7812"/>
    </row>
    <row r="7813" spans="1:8" ht="15">
      <c r="A7813"/>
      <c r="B7813"/>
      <c r="D7813"/>
      <c r="E7813"/>
      <c r="F7813"/>
      <c r="H7813"/>
    </row>
    <row r="7814" spans="1:8" ht="15">
      <c r="A7814"/>
      <c r="B7814"/>
      <c r="D7814"/>
      <c r="E7814"/>
      <c r="F7814"/>
      <c r="H7814"/>
    </row>
    <row r="7815" spans="1:8" ht="15">
      <c r="A7815"/>
      <c r="B7815"/>
      <c r="D7815"/>
      <c r="E7815"/>
      <c r="F7815"/>
      <c r="H7815"/>
    </row>
    <row r="7816" spans="1:8" ht="15">
      <c r="A7816"/>
      <c r="B7816"/>
      <c r="D7816"/>
      <c r="E7816"/>
      <c r="F7816"/>
      <c r="H7816"/>
    </row>
    <row r="7817" spans="1:8" ht="15">
      <c r="A7817"/>
      <c r="B7817"/>
      <c r="D7817"/>
      <c r="E7817"/>
      <c r="F7817"/>
      <c r="H7817"/>
    </row>
    <row r="7818" spans="1:8" ht="15">
      <c r="A7818"/>
      <c r="B7818"/>
      <c r="D7818"/>
      <c r="E7818"/>
      <c r="F7818"/>
      <c r="H7818"/>
    </row>
    <row r="7819" spans="1:8" ht="15">
      <c r="A7819"/>
      <c r="B7819"/>
      <c r="D7819"/>
      <c r="E7819"/>
      <c r="F7819"/>
      <c r="H7819"/>
    </row>
    <row r="7820" spans="1:8" ht="15">
      <c r="A7820"/>
      <c r="B7820"/>
      <c r="D7820"/>
      <c r="E7820"/>
      <c r="F7820"/>
      <c r="H7820"/>
    </row>
    <row r="7821" spans="1:8" ht="15">
      <c r="A7821"/>
      <c r="B7821"/>
      <c r="D7821"/>
      <c r="E7821"/>
      <c r="F7821"/>
      <c r="H7821"/>
    </row>
    <row r="7822" spans="1:8" ht="15">
      <c r="A7822"/>
      <c r="B7822"/>
      <c r="D7822"/>
      <c r="E7822"/>
      <c r="F7822"/>
      <c r="H7822"/>
    </row>
    <row r="7823" spans="1:8" ht="15">
      <c r="A7823"/>
      <c r="B7823"/>
      <c r="D7823"/>
      <c r="E7823"/>
      <c r="F7823"/>
      <c r="H7823"/>
    </row>
    <row r="7824" spans="1:8" ht="15">
      <c r="A7824"/>
      <c r="B7824"/>
      <c r="D7824"/>
      <c r="E7824"/>
      <c r="F7824"/>
      <c r="H7824"/>
    </row>
    <row r="7825" spans="1:8" ht="15">
      <c r="A7825"/>
      <c r="B7825"/>
      <c r="D7825"/>
      <c r="E7825"/>
      <c r="F7825"/>
      <c r="H7825"/>
    </row>
    <row r="7826" spans="1:8" ht="15">
      <c r="A7826"/>
      <c r="B7826"/>
      <c r="D7826"/>
      <c r="E7826"/>
      <c r="F7826"/>
      <c r="H7826"/>
    </row>
    <row r="7827" spans="1:8" ht="15">
      <c r="A7827"/>
      <c r="B7827"/>
      <c r="D7827"/>
      <c r="E7827"/>
      <c r="F7827"/>
      <c r="H7827"/>
    </row>
    <row r="7828" spans="1:8" ht="15">
      <c r="A7828"/>
      <c r="B7828"/>
      <c r="D7828"/>
      <c r="E7828"/>
      <c r="F7828"/>
      <c r="H7828"/>
    </row>
    <row r="7829" spans="1:8" ht="15">
      <c r="A7829"/>
      <c r="B7829"/>
      <c r="D7829"/>
      <c r="E7829"/>
      <c r="F7829"/>
      <c r="H7829"/>
    </row>
    <row r="7830" spans="1:8" ht="15">
      <c r="A7830"/>
      <c r="B7830"/>
      <c r="D7830"/>
      <c r="E7830"/>
      <c r="F7830"/>
      <c r="H7830"/>
    </row>
    <row r="7831" spans="1:8" ht="15">
      <c r="A7831"/>
      <c r="B7831"/>
      <c r="D7831"/>
      <c r="E7831"/>
      <c r="F7831"/>
      <c r="H7831"/>
    </row>
    <row r="7832" spans="1:8" ht="15">
      <c r="A7832"/>
      <c r="B7832"/>
      <c r="D7832"/>
      <c r="E7832"/>
      <c r="F7832"/>
      <c r="H7832"/>
    </row>
    <row r="7833" spans="1:8" ht="15">
      <c r="A7833"/>
      <c r="B7833"/>
      <c r="D7833"/>
      <c r="E7833"/>
      <c r="F7833"/>
      <c r="H7833"/>
    </row>
    <row r="7834" spans="1:8" ht="15">
      <c r="A7834"/>
      <c r="B7834"/>
      <c r="D7834"/>
      <c r="E7834"/>
      <c r="F7834"/>
      <c r="H7834"/>
    </row>
    <row r="7835" spans="1:8" ht="15">
      <c r="A7835"/>
      <c r="B7835"/>
      <c r="D7835"/>
      <c r="E7835"/>
      <c r="F7835"/>
      <c r="H7835"/>
    </row>
    <row r="7836" spans="1:8" ht="15">
      <c r="A7836"/>
      <c r="B7836"/>
      <c r="D7836"/>
      <c r="E7836"/>
      <c r="F7836"/>
      <c r="H7836"/>
    </row>
    <row r="7837" spans="1:8" ht="15">
      <c r="A7837"/>
      <c r="B7837"/>
      <c r="D7837"/>
      <c r="E7837"/>
      <c r="F7837"/>
      <c r="H7837"/>
    </row>
    <row r="7838" spans="1:8" ht="15">
      <c r="A7838"/>
      <c r="B7838"/>
      <c r="D7838"/>
      <c r="E7838"/>
      <c r="F7838"/>
      <c r="H7838"/>
    </row>
    <row r="7839" spans="1:8" ht="15">
      <c r="A7839"/>
      <c r="B7839"/>
      <c r="D7839"/>
      <c r="E7839"/>
      <c r="F7839"/>
      <c r="H7839"/>
    </row>
    <row r="7840" spans="1:8" ht="15">
      <c r="A7840"/>
      <c r="B7840"/>
      <c r="D7840"/>
      <c r="E7840"/>
      <c r="F7840"/>
      <c r="H7840"/>
    </row>
    <row r="7841" spans="1:8" ht="15">
      <c r="A7841"/>
      <c r="B7841"/>
      <c r="D7841"/>
      <c r="E7841"/>
      <c r="F7841"/>
      <c r="H7841"/>
    </row>
    <row r="7842" spans="1:8" ht="15">
      <c r="A7842"/>
      <c r="B7842"/>
      <c r="D7842"/>
      <c r="E7842"/>
      <c r="F7842"/>
      <c r="H7842"/>
    </row>
    <row r="7843" spans="1:8" ht="15">
      <c r="A7843"/>
      <c r="B7843"/>
      <c r="D7843"/>
      <c r="E7843"/>
      <c r="F7843"/>
      <c r="H7843"/>
    </row>
    <row r="7844" spans="1:8" ht="15">
      <c r="A7844"/>
      <c r="B7844"/>
      <c r="D7844"/>
      <c r="E7844"/>
      <c r="F7844"/>
      <c r="H7844"/>
    </row>
    <row r="7845" spans="1:8" ht="15">
      <c r="A7845"/>
      <c r="B7845"/>
      <c r="D7845"/>
      <c r="E7845"/>
      <c r="F7845"/>
      <c r="H7845"/>
    </row>
    <row r="7846" spans="1:8" ht="15">
      <c r="A7846"/>
      <c r="B7846"/>
      <c r="D7846"/>
      <c r="E7846"/>
      <c r="F7846"/>
      <c r="H7846"/>
    </row>
    <row r="7847" spans="1:8" ht="15">
      <c r="A7847"/>
      <c r="B7847"/>
      <c r="D7847"/>
      <c r="E7847"/>
      <c r="F7847"/>
      <c r="H7847"/>
    </row>
    <row r="7848" spans="1:8" ht="15">
      <c r="A7848"/>
      <c r="B7848"/>
      <c r="D7848"/>
      <c r="E7848"/>
      <c r="F7848"/>
      <c r="H7848"/>
    </row>
    <row r="7849" spans="1:8" ht="15">
      <c r="A7849"/>
      <c r="B7849"/>
      <c r="D7849"/>
      <c r="E7849"/>
      <c r="F7849"/>
      <c r="H7849"/>
    </row>
    <row r="7850" spans="1:8" ht="15">
      <c r="A7850"/>
      <c r="B7850"/>
      <c r="D7850"/>
      <c r="E7850"/>
      <c r="F7850"/>
      <c r="H7850"/>
    </row>
    <row r="7851" spans="1:8" ht="15">
      <c r="A7851"/>
      <c r="B7851"/>
      <c r="D7851"/>
      <c r="E7851"/>
      <c r="F7851"/>
      <c r="H7851"/>
    </row>
    <row r="7852" spans="1:8" ht="15">
      <c r="A7852"/>
      <c r="B7852"/>
      <c r="D7852"/>
      <c r="E7852"/>
      <c r="F7852"/>
      <c r="H7852"/>
    </row>
    <row r="7853" spans="1:8" ht="15">
      <c r="A7853"/>
      <c r="B7853"/>
      <c r="D7853"/>
      <c r="E7853"/>
      <c r="F7853"/>
      <c r="H7853"/>
    </row>
    <row r="7854" spans="1:8" ht="15">
      <c r="A7854"/>
      <c r="B7854"/>
      <c r="D7854"/>
      <c r="E7854"/>
      <c r="F7854"/>
      <c r="H7854"/>
    </row>
    <row r="7855" spans="1:8" ht="15">
      <c r="A7855"/>
      <c r="B7855"/>
      <c r="D7855"/>
      <c r="E7855"/>
      <c r="F7855"/>
      <c r="H7855"/>
    </row>
    <row r="7856" spans="1:8" ht="15">
      <c r="A7856"/>
      <c r="B7856"/>
      <c r="D7856"/>
      <c r="E7856"/>
      <c r="F7856"/>
      <c r="H7856"/>
    </row>
    <row r="7857" spans="1:8" ht="15">
      <c r="A7857"/>
      <c r="B7857"/>
      <c r="D7857"/>
      <c r="E7857"/>
      <c r="F7857"/>
      <c r="H7857"/>
    </row>
    <row r="7858" spans="1:8" ht="15">
      <c r="A7858"/>
      <c r="B7858"/>
      <c r="D7858"/>
      <c r="E7858"/>
      <c r="F7858"/>
      <c r="H7858"/>
    </row>
    <row r="7859" spans="1:8" ht="15">
      <c r="A7859"/>
      <c r="B7859"/>
      <c r="D7859"/>
      <c r="E7859"/>
      <c r="F7859"/>
      <c r="H7859"/>
    </row>
    <row r="7860" spans="1:8" ht="15">
      <c r="A7860"/>
      <c r="B7860"/>
      <c r="D7860"/>
      <c r="E7860"/>
      <c r="F7860"/>
      <c r="H7860"/>
    </row>
    <row r="7861" spans="1:8" ht="15">
      <c r="A7861"/>
      <c r="B7861"/>
      <c r="D7861"/>
      <c r="E7861"/>
      <c r="F7861"/>
      <c r="H7861"/>
    </row>
    <row r="7862" spans="1:8" ht="15">
      <c r="A7862"/>
      <c r="B7862"/>
      <c r="D7862"/>
      <c r="E7862"/>
      <c r="F7862"/>
      <c r="H7862"/>
    </row>
    <row r="7863" spans="1:8" ht="15">
      <c r="A7863"/>
      <c r="B7863"/>
      <c r="D7863"/>
      <c r="E7863"/>
      <c r="F7863"/>
      <c r="H7863"/>
    </row>
    <row r="7864" spans="1:8" ht="15">
      <c r="A7864"/>
      <c r="B7864"/>
      <c r="D7864"/>
      <c r="E7864"/>
      <c r="F7864"/>
      <c r="H7864"/>
    </row>
    <row r="7865" spans="1:8" ht="15">
      <c r="A7865"/>
      <c r="B7865"/>
      <c r="D7865"/>
      <c r="E7865"/>
      <c r="F7865"/>
      <c r="H7865"/>
    </row>
    <row r="7866" spans="1:8" ht="15">
      <c r="A7866"/>
      <c r="B7866"/>
      <c r="D7866"/>
      <c r="E7866"/>
      <c r="F7866"/>
      <c r="H7866"/>
    </row>
    <row r="7867" spans="1:8" ht="15">
      <c r="A7867"/>
      <c r="B7867"/>
      <c r="D7867"/>
      <c r="E7867"/>
      <c r="F7867"/>
      <c r="H7867"/>
    </row>
    <row r="7868" spans="1:8" ht="15">
      <c r="A7868"/>
      <c r="B7868"/>
      <c r="D7868"/>
      <c r="E7868"/>
      <c r="F7868"/>
      <c r="H7868"/>
    </row>
    <row r="7869" spans="1:8" ht="15">
      <c r="A7869"/>
      <c r="B7869"/>
      <c r="D7869"/>
      <c r="E7869"/>
      <c r="F7869"/>
      <c r="H7869"/>
    </row>
    <row r="7870" spans="1:8" ht="15">
      <c r="A7870"/>
      <c r="B7870"/>
      <c r="D7870"/>
      <c r="E7870"/>
      <c r="F7870"/>
      <c r="H7870"/>
    </row>
    <row r="7871" spans="1:8" ht="15">
      <c r="A7871"/>
      <c r="B7871"/>
      <c r="D7871"/>
      <c r="E7871"/>
      <c r="F7871"/>
      <c r="H7871"/>
    </row>
    <row r="7872" spans="1:8" ht="15">
      <c r="A7872"/>
      <c r="B7872"/>
      <c r="D7872"/>
      <c r="E7872"/>
      <c r="F7872"/>
      <c r="H7872"/>
    </row>
    <row r="7873" spans="1:8" ht="15">
      <c r="A7873"/>
      <c r="B7873"/>
      <c r="D7873"/>
      <c r="E7873"/>
      <c r="F7873"/>
      <c r="H7873"/>
    </row>
    <row r="7874" spans="1:8" ht="15">
      <c r="A7874"/>
      <c r="B7874"/>
      <c r="D7874"/>
      <c r="E7874"/>
      <c r="F7874"/>
      <c r="H7874"/>
    </row>
    <row r="7875" spans="1:8" ht="15">
      <c r="A7875"/>
      <c r="B7875"/>
      <c r="D7875"/>
      <c r="E7875"/>
      <c r="F7875"/>
      <c r="H7875"/>
    </row>
    <row r="7876" spans="1:8" ht="15">
      <c r="A7876"/>
      <c r="B7876"/>
      <c r="D7876"/>
      <c r="E7876"/>
      <c r="F7876"/>
      <c r="H7876"/>
    </row>
    <row r="7877" spans="1:8" ht="15">
      <c r="A7877"/>
      <c r="B7877"/>
      <c r="D7877"/>
      <c r="E7877"/>
      <c r="F7877"/>
      <c r="H7877"/>
    </row>
    <row r="7878" spans="1:8" ht="15">
      <c r="A7878"/>
      <c r="B7878"/>
      <c r="D7878"/>
      <c r="E7878"/>
      <c r="F7878"/>
      <c r="H7878"/>
    </row>
    <row r="7879" spans="1:8" ht="15">
      <c r="A7879"/>
      <c r="B7879"/>
      <c r="D7879"/>
      <c r="E7879"/>
      <c r="F7879"/>
      <c r="H7879"/>
    </row>
    <row r="7880" spans="1:8" ht="15">
      <c r="A7880"/>
      <c r="B7880"/>
      <c r="D7880"/>
      <c r="E7880"/>
      <c r="F7880"/>
      <c r="H7880"/>
    </row>
    <row r="7881" spans="1:8" ht="15">
      <c r="A7881"/>
      <c r="B7881"/>
      <c r="D7881"/>
      <c r="E7881"/>
      <c r="F7881"/>
      <c r="H7881"/>
    </row>
    <row r="7882" spans="1:8" ht="15">
      <c r="A7882"/>
      <c r="B7882"/>
      <c r="D7882"/>
      <c r="E7882"/>
      <c r="F7882"/>
      <c r="H7882"/>
    </row>
    <row r="7883" spans="1:8" ht="15">
      <c r="A7883"/>
      <c r="B7883"/>
      <c r="D7883"/>
      <c r="E7883"/>
      <c r="F7883"/>
      <c r="H7883"/>
    </row>
    <row r="7884" spans="1:8" ht="15">
      <c r="A7884"/>
      <c r="B7884"/>
      <c r="D7884"/>
      <c r="E7884"/>
      <c r="F7884"/>
      <c r="H7884"/>
    </row>
    <row r="7885" spans="1:8" ht="15">
      <c r="A7885"/>
      <c r="B7885"/>
      <c r="D7885"/>
      <c r="E7885"/>
      <c r="F7885"/>
      <c r="H7885"/>
    </row>
    <row r="7886" spans="1:8" ht="15">
      <c r="A7886"/>
      <c r="B7886"/>
      <c r="D7886"/>
      <c r="E7886"/>
      <c r="F7886"/>
      <c r="H7886"/>
    </row>
    <row r="7887" spans="1:8" ht="15">
      <c r="A7887"/>
      <c r="B7887"/>
      <c r="D7887"/>
      <c r="E7887"/>
      <c r="F7887"/>
      <c r="H7887"/>
    </row>
    <row r="7888" spans="1:8" ht="15">
      <c r="A7888"/>
      <c r="B7888"/>
      <c r="D7888"/>
      <c r="E7888"/>
      <c r="F7888"/>
      <c r="H7888"/>
    </row>
    <row r="7889" spans="1:8" ht="15">
      <c r="A7889"/>
      <c r="B7889"/>
      <c r="D7889"/>
      <c r="E7889"/>
      <c r="F7889"/>
      <c r="H7889"/>
    </row>
    <row r="7890" spans="1:8" ht="15">
      <c r="A7890"/>
      <c r="B7890"/>
      <c r="D7890"/>
      <c r="E7890"/>
      <c r="F7890"/>
      <c r="H7890"/>
    </row>
    <row r="7891" spans="1:8" ht="15">
      <c r="A7891"/>
      <c r="B7891"/>
      <c r="D7891"/>
      <c r="E7891"/>
      <c r="F7891"/>
      <c r="H7891"/>
    </row>
    <row r="7892" spans="1:8" ht="15">
      <c r="A7892"/>
      <c r="B7892"/>
      <c r="D7892"/>
      <c r="E7892"/>
      <c r="F7892"/>
      <c r="H7892"/>
    </row>
    <row r="7893" spans="1:8" ht="15">
      <c r="A7893"/>
      <c r="B7893"/>
      <c r="D7893"/>
      <c r="E7893"/>
      <c r="F7893"/>
      <c r="H7893"/>
    </row>
    <row r="7894" spans="1:8" ht="15">
      <c r="A7894"/>
      <c r="B7894"/>
      <c r="D7894"/>
      <c r="E7894"/>
      <c r="F7894"/>
      <c r="H7894"/>
    </row>
    <row r="7895" spans="1:8" ht="15">
      <c r="A7895"/>
      <c r="B7895"/>
      <c r="D7895"/>
      <c r="E7895"/>
      <c r="F7895"/>
      <c r="H7895"/>
    </row>
    <row r="7896" spans="1:8" ht="15">
      <c r="A7896"/>
      <c r="B7896"/>
      <c r="D7896"/>
      <c r="E7896"/>
      <c r="F7896"/>
      <c r="H7896"/>
    </row>
    <row r="7897" spans="1:8" ht="15">
      <c r="A7897"/>
      <c r="B7897"/>
      <c r="D7897"/>
      <c r="E7897"/>
      <c r="F7897"/>
      <c r="H7897"/>
    </row>
    <row r="7898" spans="1:8" ht="15">
      <c r="A7898"/>
      <c r="B7898"/>
      <c r="D7898"/>
      <c r="E7898"/>
      <c r="F7898"/>
      <c r="H7898"/>
    </row>
    <row r="7899" spans="1:8" ht="15">
      <c r="A7899"/>
      <c r="B7899"/>
      <c r="D7899"/>
      <c r="E7899"/>
      <c r="F7899"/>
      <c r="H7899"/>
    </row>
    <row r="7900" spans="1:8" ht="15">
      <c r="A7900"/>
      <c r="B7900"/>
      <c r="D7900"/>
      <c r="E7900"/>
      <c r="F7900"/>
      <c r="H7900"/>
    </row>
    <row r="7901" spans="1:8" ht="15">
      <c r="A7901"/>
      <c r="B7901"/>
      <c r="D7901"/>
      <c r="E7901"/>
      <c r="F7901"/>
      <c r="H7901"/>
    </row>
    <row r="7902" spans="1:8" ht="15">
      <c r="A7902"/>
      <c r="B7902"/>
      <c r="D7902"/>
      <c r="E7902"/>
      <c r="F7902"/>
      <c r="H7902"/>
    </row>
    <row r="7903" spans="1:8" ht="15">
      <c r="A7903"/>
      <c r="B7903"/>
      <c r="D7903"/>
      <c r="E7903"/>
      <c r="F7903"/>
      <c r="H7903"/>
    </row>
    <row r="7904" spans="1:8" ht="15">
      <c r="A7904"/>
      <c r="B7904"/>
      <c r="D7904"/>
      <c r="E7904"/>
      <c r="F7904"/>
      <c r="H7904"/>
    </row>
    <row r="7905" spans="1:8" ht="15">
      <c r="A7905"/>
      <c r="B7905"/>
      <c r="D7905"/>
      <c r="E7905"/>
      <c r="F7905"/>
      <c r="H7905"/>
    </row>
    <row r="7906" spans="1:8" ht="15">
      <c r="A7906"/>
      <c r="B7906"/>
      <c r="D7906"/>
      <c r="E7906"/>
      <c r="F7906"/>
      <c r="H7906"/>
    </row>
    <row r="7907" spans="1:8" ht="15">
      <c r="A7907"/>
      <c r="B7907"/>
      <c r="D7907"/>
      <c r="E7907"/>
      <c r="F7907"/>
      <c r="H7907"/>
    </row>
    <row r="7908" spans="1:8" ht="15">
      <c r="A7908"/>
      <c r="B7908"/>
      <c r="D7908"/>
      <c r="E7908"/>
      <c r="F7908"/>
      <c r="H7908"/>
    </row>
    <row r="7909" spans="1:8" ht="15">
      <c r="A7909"/>
      <c r="B7909"/>
      <c r="D7909"/>
      <c r="E7909"/>
      <c r="F7909"/>
      <c r="H7909"/>
    </row>
    <row r="7910" spans="1:8" ht="15">
      <c r="A7910"/>
      <c r="B7910"/>
      <c r="D7910"/>
      <c r="E7910"/>
      <c r="F7910"/>
      <c r="H7910"/>
    </row>
    <row r="7911" spans="1:8" ht="15">
      <c r="A7911"/>
      <c r="B7911"/>
      <c r="D7911"/>
      <c r="E7911"/>
      <c r="F7911"/>
      <c r="H7911"/>
    </row>
    <row r="7912" spans="1:8" ht="15">
      <c r="A7912"/>
      <c r="B7912"/>
      <c r="D7912"/>
      <c r="E7912"/>
      <c r="F7912"/>
      <c r="H7912"/>
    </row>
    <row r="7913" spans="1:8" ht="15">
      <c r="A7913"/>
      <c r="B7913"/>
      <c r="D7913"/>
      <c r="E7913"/>
      <c r="F7913"/>
      <c r="H7913"/>
    </row>
    <row r="7914" spans="1:8" ht="15">
      <c r="A7914"/>
      <c r="B7914"/>
      <c r="D7914"/>
      <c r="E7914"/>
      <c r="F7914"/>
      <c r="H7914"/>
    </row>
    <row r="7915" spans="1:8" ht="15">
      <c r="A7915"/>
      <c r="B7915"/>
      <c r="D7915"/>
      <c r="E7915"/>
      <c r="F7915"/>
      <c r="H7915"/>
    </row>
    <row r="7916" spans="1:8" ht="15">
      <c r="A7916"/>
      <c r="B7916"/>
      <c r="D7916"/>
      <c r="E7916"/>
      <c r="F7916"/>
      <c r="H7916"/>
    </row>
    <row r="7917" spans="1:8" ht="15">
      <c r="A7917"/>
      <c r="B7917"/>
      <c r="D7917"/>
      <c r="E7917"/>
      <c r="F7917"/>
      <c r="H7917"/>
    </row>
    <row r="7918" spans="1:8" ht="15">
      <c r="A7918"/>
      <c r="B7918"/>
      <c r="D7918"/>
      <c r="E7918"/>
      <c r="F7918"/>
      <c r="H7918"/>
    </row>
    <row r="7919" spans="1:8" ht="15">
      <c r="A7919"/>
      <c r="B7919"/>
      <c r="D7919"/>
      <c r="E7919"/>
      <c r="F7919"/>
      <c r="H7919"/>
    </row>
    <row r="7920" spans="1:8" ht="15">
      <c r="A7920"/>
      <c r="B7920"/>
      <c r="D7920"/>
      <c r="E7920"/>
      <c r="F7920"/>
      <c r="H7920"/>
    </row>
    <row r="7921" spans="1:8" ht="15">
      <c r="A7921"/>
      <c r="B7921"/>
      <c r="D7921"/>
      <c r="E7921"/>
      <c r="F7921"/>
      <c r="H7921"/>
    </row>
    <row r="7922" spans="1:8" ht="15">
      <c r="A7922"/>
      <c r="B7922"/>
      <c r="D7922"/>
      <c r="E7922"/>
      <c r="F7922"/>
      <c r="H7922"/>
    </row>
    <row r="7923" spans="1:8" ht="15">
      <c r="A7923"/>
      <c r="B7923"/>
      <c r="D7923"/>
      <c r="E7923"/>
      <c r="F7923"/>
      <c r="H7923"/>
    </row>
    <row r="7924" spans="1:8" ht="15">
      <c r="A7924"/>
      <c r="B7924"/>
      <c r="D7924"/>
      <c r="E7924"/>
      <c r="F7924"/>
      <c r="H7924"/>
    </row>
    <row r="7925" spans="1:8" ht="15">
      <c r="A7925"/>
      <c r="B7925"/>
      <c r="D7925"/>
      <c r="E7925"/>
      <c r="F7925"/>
      <c r="H7925"/>
    </row>
    <row r="7926" spans="1:8" ht="15">
      <c r="A7926"/>
      <c r="B7926"/>
      <c r="D7926"/>
      <c r="E7926"/>
      <c r="F7926"/>
      <c r="H7926"/>
    </row>
    <row r="7927" spans="1:8" ht="15">
      <c r="A7927"/>
      <c r="B7927"/>
      <c r="D7927"/>
      <c r="E7927"/>
      <c r="F7927"/>
      <c r="H7927"/>
    </row>
    <row r="7928" spans="1:8" ht="15">
      <c r="A7928"/>
      <c r="B7928"/>
      <c r="D7928"/>
      <c r="E7928"/>
      <c r="F7928"/>
      <c r="H7928"/>
    </row>
    <row r="7929" spans="1:8" ht="15">
      <c r="A7929"/>
      <c r="B7929"/>
      <c r="D7929"/>
      <c r="E7929"/>
      <c r="F7929"/>
      <c r="H7929"/>
    </row>
    <row r="7930" spans="1:8" ht="15">
      <c r="A7930"/>
      <c r="B7930"/>
      <c r="D7930"/>
      <c r="E7930"/>
      <c r="F7930"/>
      <c r="H7930"/>
    </row>
    <row r="7931" spans="1:8" ht="15">
      <c r="A7931"/>
      <c r="B7931"/>
      <c r="D7931"/>
      <c r="E7931"/>
      <c r="F7931"/>
      <c r="H7931"/>
    </row>
    <row r="7932" spans="1:8" ht="15">
      <c r="A7932"/>
      <c r="B7932"/>
      <c r="D7932"/>
      <c r="E7932"/>
      <c r="F7932"/>
      <c r="H7932"/>
    </row>
    <row r="7933" spans="1:8" ht="15">
      <c r="A7933"/>
      <c r="B7933"/>
      <c r="D7933"/>
      <c r="E7933"/>
      <c r="F7933"/>
      <c r="H7933"/>
    </row>
    <row r="7934" spans="1:8" ht="15">
      <c r="A7934"/>
      <c r="B7934"/>
      <c r="D7934"/>
      <c r="E7934"/>
      <c r="F7934"/>
      <c r="H7934"/>
    </row>
    <row r="7935" spans="1:8" ht="15">
      <c r="A7935"/>
      <c r="B7935"/>
      <c r="D7935"/>
      <c r="E7935"/>
      <c r="F7935"/>
      <c r="H7935"/>
    </row>
    <row r="7936" spans="1:8" ht="15">
      <c r="A7936"/>
      <c r="B7936"/>
      <c r="D7936"/>
      <c r="E7936"/>
      <c r="F7936"/>
      <c r="H7936"/>
    </row>
    <row r="7937" spans="1:8" ht="15">
      <c r="A7937"/>
      <c r="B7937"/>
      <c r="D7937"/>
      <c r="E7937"/>
      <c r="F7937"/>
      <c r="H7937"/>
    </row>
    <row r="7938" spans="1:8" ht="15">
      <c r="A7938"/>
      <c r="B7938"/>
      <c r="D7938"/>
      <c r="E7938"/>
      <c r="F7938"/>
      <c r="H7938"/>
    </row>
    <row r="7939" spans="1:8" ht="15">
      <c r="A7939"/>
      <c r="B7939"/>
      <c r="D7939"/>
      <c r="E7939"/>
      <c r="F7939"/>
      <c r="H7939"/>
    </row>
    <row r="7940" spans="1:8" ht="15">
      <c r="A7940"/>
      <c r="B7940"/>
      <c r="D7940"/>
      <c r="E7940"/>
      <c r="F7940"/>
      <c r="H7940"/>
    </row>
    <row r="7941" spans="1:8" ht="15">
      <c r="A7941"/>
      <c r="B7941"/>
      <c r="D7941"/>
      <c r="E7941"/>
      <c r="F7941"/>
      <c r="H7941"/>
    </row>
    <row r="7942" spans="1:8" ht="15">
      <c r="A7942"/>
      <c r="B7942"/>
      <c r="D7942"/>
      <c r="E7942"/>
      <c r="F7942"/>
      <c r="H7942"/>
    </row>
    <row r="7943" spans="1:8" ht="15">
      <c r="A7943"/>
      <c r="B7943"/>
      <c r="D7943"/>
      <c r="E7943"/>
      <c r="F7943"/>
      <c r="H7943"/>
    </row>
    <row r="7944" spans="1:8" ht="15">
      <c r="A7944"/>
      <c r="B7944"/>
      <c r="D7944"/>
      <c r="E7944"/>
      <c r="F7944"/>
      <c r="H7944"/>
    </row>
    <row r="7945" spans="1:8" ht="15">
      <c r="A7945"/>
      <c r="B7945"/>
      <c r="D7945"/>
      <c r="E7945"/>
      <c r="F7945"/>
      <c r="H7945"/>
    </row>
    <row r="7946" spans="1:8" ht="15">
      <c r="A7946"/>
      <c r="B7946"/>
      <c r="D7946"/>
      <c r="E7946"/>
      <c r="F7946"/>
      <c r="H7946"/>
    </row>
    <row r="7947" spans="1:8" ht="15">
      <c r="A7947"/>
      <c r="B7947"/>
      <c r="D7947"/>
      <c r="E7947"/>
      <c r="F7947"/>
      <c r="H7947"/>
    </row>
    <row r="7948" spans="1:8" ht="15">
      <c r="A7948"/>
      <c r="B7948"/>
      <c r="D7948"/>
      <c r="E7948"/>
      <c r="F7948"/>
      <c r="H7948"/>
    </row>
    <row r="7949" spans="1:8" ht="15">
      <c r="A7949"/>
      <c r="B7949"/>
      <c r="D7949"/>
      <c r="E7949"/>
      <c r="F7949"/>
      <c r="H7949"/>
    </row>
    <row r="7950" spans="1:8" ht="15">
      <c r="A7950"/>
      <c r="B7950"/>
      <c r="D7950"/>
      <c r="E7950"/>
      <c r="F7950"/>
      <c r="H7950"/>
    </row>
    <row r="7951" spans="1:8" ht="15">
      <c r="A7951"/>
      <c r="B7951"/>
      <c r="D7951"/>
      <c r="E7951"/>
      <c r="F7951"/>
      <c r="H7951"/>
    </row>
    <row r="7952" spans="1:8" ht="15">
      <c r="A7952"/>
      <c r="B7952"/>
      <c r="D7952"/>
      <c r="E7952"/>
      <c r="F7952"/>
      <c r="H7952"/>
    </row>
    <row r="7953" spans="1:8" ht="15">
      <c r="A7953"/>
      <c r="B7953"/>
      <c r="D7953"/>
      <c r="E7953"/>
      <c r="F7953"/>
      <c r="H7953"/>
    </row>
    <row r="7954" spans="1:8" ht="15">
      <c r="A7954"/>
      <c r="B7954"/>
      <c r="D7954"/>
      <c r="E7954"/>
      <c r="F7954"/>
      <c r="H7954"/>
    </row>
    <row r="7955" spans="1:8" ht="15">
      <c r="A7955"/>
      <c r="B7955"/>
      <c r="D7955"/>
      <c r="E7955"/>
      <c r="F7955"/>
      <c r="H7955"/>
    </row>
    <row r="7956" spans="1:8" ht="15">
      <c r="A7956"/>
      <c r="B7956"/>
      <c r="D7956"/>
      <c r="E7956"/>
      <c r="F7956"/>
      <c r="H7956"/>
    </row>
    <row r="7957" spans="1:8" ht="15">
      <c r="A7957"/>
      <c r="B7957"/>
      <c r="D7957"/>
      <c r="E7957"/>
      <c r="F7957"/>
      <c r="H7957"/>
    </row>
    <row r="7958" spans="1:8" ht="15">
      <c r="A7958"/>
      <c r="B7958"/>
      <c r="D7958"/>
      <c r="E7958"/>
      <c r="F7958"/>
      <c r="H7958"/>
    </row>
    <row r="7959" spans="1:8" ht="15">
      <c r="A7959"/>
      <c r="B7959"/>
      <c r="D7959"/>
      <c r="E7959"/>
      <c r="F7959"/>
      <c r="H7959"/>
    </row>
    <row r="7960" spans="1:8" ht="15">
      <c r="A7960"/>
      <c r="B7960"/>
      <c r="D7960"/>
      <c r="E7960"/>
      <c r="F7960"/>
      <c r="H7960"/>
    </row>
    <row r="7961" spans="1:8" ht="15">
      <c r="A7961"/>
      <c r="B7961"/>
      <c r="D7961"/>
      <c r="E7961"/>
      <c r="F7961"/>
      <c r="H7961"/>
    </row>
    <row r="7962" spans="1:8" ht="15">
      <c r="A7962"/>
      <c r="B7962"/>
      <c r="D7962"/>
      <c r="E7962"/>
      <c r="F7962"/>
      <c r="H7962"/>
    </row>
    <row r="7963" spans="1:8" ht="15">
      <c r="A7963"/>
      <c r="B7963"/>
      <c r="D7963"/>
      <c r="E7963"/>
      <c r="F7963"/>
      <c r="H7963"/>
    </row>
    <row r="7964" spans="1:8" ht="15">
      <c r="A7964"/>
      <c r="B7964"/>
      <c r="D7964"/>
      <c r="E7964"/>
      <c r="F7964"/>
      <c r="H7964"/>
    </row>
    <row r="7965" spans="1:8" ht="15">
      <c r="A7965"/>
      <c r="B7965"/>
      <c r="D7965"/>
      <c r="E7965"/>
      <c r="F7965"/>
      <c r="H7965"/>
    </row>
    <row r="7966" spans="1:8" ht="15">
      <c r="A7966"/>
      <c r="B7966"/>
      <c r="D7966"/>
      <c r="E7966"/>
      <c r="F7966"/>
      <c r="H7966"/>
    </row>
    <row r="7967" spans="1:8" ht="15">
      <c r="A7967"/>
      <c r="B7967"/>
      <c r="D7967"/>
      <c r="E7967"/>
      <c r="F7967"/>
      <c r="H7967"/>
    </row>
    <row r="7968" spans="1:8" ht="15">
      <c r="A7968"/>
      <c r="B7968"/>
      <c r="D7968"/>
      <c r="E7968"/>
      <c r="F7968"/>
      <c r="H7968"/>
    </row>
    <row r="7969" spans="1:8" ht="15">
      <c r="A7969"/>
      <c r="B7969"/>
      <c r="D7969"/>
      <c r="E7969"/>
      <c r="F7969"/>
      <c r="H7969"/>
    </row>
    <row r="7970" spans="1:8" ht="15">
      <c r="A7970"/>
      <c r="B7970"/>
      <c r="D7970"/>
      <c r="E7970"/>
      <c r="F7970"/>
      <c r="H7970"/>
    </row>
    <row r="7971" spans="1:8" ht="15">
      <c r="A7971"/>
      <c r="B7971"/>
      <c r="D7971"/>
      <c r="E7971"/>
      <c r="F7971"/>
      <c r="H7971"/>
    </row>
    <row r="7972" spans="1:8" ht="15">
      <c r="A7972"/>
      <c r="B7972"/>
      <c r="D7972"/>
      <c r="E7972"/>
      <c r="F7972"/>
      <c r="H7972"/>
    </row>
    <row r="7973" spans="1:8" ht="15">
      <c r="A7973"/>
      <c r="B7973"/>
      <c r="D7973"/>
      <c r="E7973"/>
      <c r="F7973"/>
      <c r="H7973"/>
    </row>
    <row r="7974" spans="1:8" ht="15">
      <c r="A7974"/>
      <c r="B7974"/>
      <c r="D7974"/>
      <c r="E7974"/>
      <c r="F7974"/>
      <c r="H7974"/>
    </row>
    <row r="7975" spans="1:8" ht="15">
      <c r="A7975"/>
      <c r="B7975"/>
      <c r="D7975"/>
      <c r="E7975"/>
      <c r="F7975"/>
      <c r="H7975"/>
    </row>
    <row r="7976" spans="1:8" ht="15">
      <c r="A7976"/>
      <c r="B7976"/>
      <c r="D7976"/>
      <c r="E7976"/>
      <c r="F7976"/>
      <c r="H7976"/>
    </row>
    <row r="7977" spans="1:8" ht="15">
      <c r="A7977"/>
      <c r="B7977"/>
      <c r="D7977"/>
      <c r="E7977"/>
      <c r="F7977"/>
      <c r="H7977"/>
    </row>
    <row r="7978" spans="1:8" ht="15">
      <c r="A7978"/>
      <c r="B7978"/>
      <c r="D7978"/>
      <c r="E7978"/>
      <c r="F7978"/>
      <c r="H7978"/>
    </row>
    <row r="7979" spans="1:8" ht="15">
      <c r="A7979"/>
      <c r="B7979"/>
      <c r="D7979"/>
      <c r="E7979"/>
      <c r="F7979"/>
      <c r="H7979"/>
    </row>
    <row r="7980" spans="1:8" ht="15">
      <c r="A7980"/>
      <c r="B7980"/>
      <c r="D7980"/>
      <c r="E7980"/>
      <c r="F7980"/>
      <c r="H7980"/>
    </row>
    <row r="7981" spans="1:8" ht="15">
      <c r="A7981"/>
      <c r="B7981"/>
      <c r="D7981"/>
      <c r="E7981"/>
      <c r="F7981"/>
      <c r="H7981"/>
    </row>
    <row r="7982" spans="1:8" ht="15">
      <c r="A7982"/>
      <c r="B7982"/>
      <c r="D7982"/>
      <c r="E7982"/>
      <c r="F7982"/>
      <c r="H7982"/>
    </row>
    <row r="7983" spans="1:8" ht="15">
      <c r="A7983"/>
      <c r="B7983"/>
      <c r="D7983"/>
      <c r="E7983"/>
      <c r="F7983"/>
      <c r="H7983"/>
    </row>
    <row r="7984" spans="1:8" ht="15">
      <c r="A7984"/>
      <c r="B7984"/>
      <c r="D7984"/>
      <c r="E7984"/>
      <c r="F7984"/>
      <c r="H7984"/>
    </row>
    <row r="7985" spans="1:8" ht="15">
      <c r="A7985"/>
      <c r="B7985"/>
      <c r="D7985"/>
      <c r="E7985"/>
      <c r="F7985"/>
      <c r="H7985"/>
    </row>
    <row r="7986" spans="1:8" ht="15">
      <c r="A7986"/>
      <c r="B7986"/>
      <c r="D7986"/>
      <c r="E7986"/>
      <c r="F7986"/>
      <c r="H7986"/>
    </row>
    <row r="7987" spans="1:8" ht="15">
      <c r="A7987"/>
      <c r="B7987"/>
      <c r="D7987"/>
      <c r="E7987"/>
      <c r="F7987"/>
      <c r="H7987"/>
    </row>
    <row r="7988" spans="1:8" ht="15">
      <c r="A7988"/>
      <c r="B7988"/>
      <c r="D7988"/>
      <c r="E7988"/>
      <c r="F7988"/>
      <c r="H7988"/>
    </row>
    <row r="7989" spans="1:8" ht="15">
      <c r="A7989"/>
      <c r="B7989"/>
      <c r="D7989"/>
      <c r="E7989"/>
      <c r="F7989"/>
      <c r="H7989"/>
    </row>
    <row r="7990" spans="1:8" ht="15">
      <c r="A7990"/>
      <c r="B7990"/>
      <c r="D7990"/>
      <c r="E7990"/>
      <c r="F7990"/>
      <c r="H7990"/>
    </row>
    <row r="7991" spans="1:8" ht="15">
      <c r="A7991"/>
      <c r="B7991"/>
      <c r="D7991"/>
      <c r="E7991"/>
      <c r="F7991"/>
      <c r="H7991"/>
    </row>
    <row r="7992" spans="1:8" ht="15">
      <c r="A7992"/>
      <c r="B7992"/>
      <c r="D7992"/>
      <c r="E7992"/>
      <c r="F7992"/>
      <c r="H7992"/>
    </row>
    <row r="7993" spans="1:8" ht="15">
      <c r="A7993"/>
      <c r="B7993"/>
      <c r="D7993"/>
      <c r="E7993"/>
      <c r="F7993"/>
      <c r="H7993"/>
    </row>
    <row r="7994" spans="1:8" ht="15">
      <c r="A7994"/>
      <c r="B7994"/>
      <c r="D7994"/>
      <c r="E7994"/>
      <c r="F7994"/>
      <c r="H7994"/>
    </row>
    <row r="7995" spans="1:8" ht="15">
      <c r="A7995"/>
      <c r="B7995"/>
      <c r="D7995"/>
      <c r="E7995"/>
      <c r="F7995"/>
      <c r="H7995"/>
    </row>
    <row r="7996" spans="1:8" ht="15">
      <c r="A7996"/>
      <c r="B7996"/>
      <c r="D7996"/>
      <c r="E7996"/>
      <c r="F7996"/>
      <c r="H7996"/>
    </row>
    <row r="7997" spans="1:8" ht="15">
      <c r="A7997"/>
      <c r="B7997"/>
      <c r="D7997"/>
      <c r="E7997"/>
      <c r="F7997"/>
      <c r="H7997"/>
    </row>
    <row r="7998" spans="1:8" ht="15">
      <c r="A7998"/>
      <c r="B7998"/>
      <c r="D7998"/>
      <c r="E7998"/>
      <c r="F7998"/>
      <c r="H7998"/>
    </row>
    <row r="7999" spans="1:8" ht="15">
      <c r="A7999"/>
      <c r="B7999"/>
      <c r="D7999"/>
      <c r="E7999"/>
      <c r="F7999"/>
      <c r="H7999"/>
    </row>
    <row r="8000" spans="1:8" ht="15">
      <c r="A8000"/>
      <c r="B8000"/>
      <c r="D8000"/>
      <c r="E8000"/>
      <c r="F8000"/>
      <c r="H8000"/>
    </row>
    <row r="8001" spans="1:8" ht="15">
      <c r="A8001"/>
      <c r="B8001"/>
      <c r="D8001"/>
      <c r="E8001"/>
      <c r="F8001"/>
      <c r="H8001"/>
    </row>
    <row r="8002" spans="1:8" ht="15">
      <c r="A8002"/>
      <c r="B8002"/>
      <c r="D8002"/>
      <c r="E8002"/>
      <c r="F8002"/>
      <c r="H8002"/>
    </row>
    <row r="8003" spans="1:8" ht="15">
      <c r="A8003"/>
      <c r="B8003"/>
      <c r="D8003"/>
      <c r="E8003"/>
      <c r="F8003"/>
      <c r="H8003"/>
    </row>
    <row r="8004" spans="1:8" ht="15">
      <c r="A8004"/>
      <c r="B8004"/>
      <c r="D8004"/>
      <c r="E8004"/>
      <c r="F8004"/>
      <c r="H8004"/>
    </row>
    <row r="8005" spans="1:8" ht="15">
      <c r="A8005"/>
      <c r="B8005"/>
      <c r="D8005"/>
      <c r="E8005"/>
      <c r="F8005"/>
      <c r="H8005"/>
    </row>
    <row r="8006" spans="1:8" ht="15">
      <c r="A8006"/>
      <c r="B8006"/>
      <c r="D8006"/>
      <c r="E8006"/>
      <c r="F8006"/>
      <c r="H8006"/>
    </row>
    <row r="8007" spans="1:8" ht="15">
      <c r="A8007"/>
      <c r="B8007"/>
      <c r="D8007"/>
      <c r="E8007"/>
      <c r="F8007"/>
      <c r="H8007"/>
    </row>
    <row r="8008" spans="1:8" ht="15">
      <c r="A8008"/>
      <c r="B8008"/>
      <c r="D8008"/>
      <c r="E8008"/>
      <c r="F8008"/>
      <c r="H8008"/>
    </row>
    <row r="8009" spans="1:8" ht="15">
      <c r="A8009"/>
      <c r="B8009"/>
      <c r="D8009"/>
      <c r="E8009"/>
      <c r="F8009"/>
      <c r="H8009"/>
    </row>
    <row r="8010" spans="1:8" ht="15">
      <c r="A8010"/>
      <c r="B8010"/>
      <c r="D8010"/>
      <c r="E8010"/>
      <c r="F8010"/>
      <c r="H8010"/>
    </row>
    <row r="8011" spans="1:8" ht="15">
      <c r="A8011"/>
      <c r="B8011"/>
      <c r="D8011"/>
      <c r="E8011"/>
      <c r="F8011"/>
      <c r="H8011"/>
    </row>
    <row r="8012" spans="1:8" ht="15">
      <c r="A8012"/>
      <c r="B8012"/>
      <c r="D8012"/>
      <c r="E8012"/>
      <c r="F8012"/>
      <c r="H8012"/>
    </row>
    <row r="8013" spans="1:8" ht="15">
      <c r="A8013"/>
      <c r="B8013"/>
      <c r="D8013"/>
      <c r="E8013"/>
      <c r="F8013"/>
      <c r="H8013"/>
    </row>
    <row r="8014" spans="1:8" ht="15">
      <c r="A8014"/>
      <c r="B8014"/>
      <c r="D8014"/>
      <c r="E8014"/>
      <c r="F8014"/>
      <c r="H8014"/>
    </row>
    <row r="8015" spans="1:8" ht="15">
      <c r="A8015"/>
      <c r="B8015"/>
      <c r="D8015"/>
      <c r="E8015"/>
      <c r="F8015"/>
      <c r="H8015"/>
    </row>
    <row r="8016" spans="1:8" ht="15">
      <c r="A8016"/>
      <c r="B8016"/>
      <c r="D8016"/>
      <c r="E8016"/>
      <c r="F8016"/>
      <c r="H8016"/>
    </row>
    <row r="8017" spans="1:8" ht="15">
      <c r="A8017"/>
      <c r="B8017"/>
      <c r="D8017"/>
      <c r="E8017"/>
      <c r="F8017"/>
      <c r="H8017"/>
    </row>
    <row r="8018" spans="1:8" ht="15">
      <c r="A8018"/>
      <c r="B8018"/>
      <c r="D8018"/>
      <c r="E8018"/>
      <c r="F8018"/>
      <c r="H8018"/>
    </row>
    <row r="8019" spans="1:8" ht="15">
      <c r="A8019"/>
      <c r="B8019"/>
      <c r="D8019"/>
      <c r="E8019"/>
      <c r="F8019"/>
      <c r="H8019"/>
    </row>
    <row r="8020" spans="1:8" ht="15">
      <c r="A8020"/>
      <c r="B8020"/>
      <c r="D8020"/>
      <c r="E8020"/>
      <c r="F8020"/>
      <c r="H8020"/>
    </row>
    <row r="8021" spans="1:8" ht="15">
      <c r="A8021"/>
      <c r="B8021"/>
      <c r="D8021"/>
      <c r="E8021"/>
      <c r="F8021"/>
      <c r="H8021"/>
    </row>
    <row r="8022" spans="1:8" ht="15">
      <c r="A8022"/>
      <c r="B8022"/>
      <c r="D8022"/>
      <c r="E8022"/>
      <c r="F8022"/>
      <c r="H8022"/>
    </row>
    <row r="8023" spans="1:8" ht="15">
      <c r="A8023"/>
      <c r="B8023"/>
      <c r="D8023"/>
      <c r="E8023"/>
      <c r="F8023"/>
      <c r="H8023"/>
    </row>
    <row r="8024" spans="1:8" ht="15">
      <c r="A8024"/>
      <c r="B8024"/>
      <c r="D8024"/>
      <c r="E8024"/>
      <c r="F8024"/>
      <c r="H8024"/>
    </row>
    <row r="8025" spans="1:8" ht="15">
      <c r="A8025"/>
      <c r="B8025"/>
      <c r="D8025"/>
      <c r="E8025"/>
      <c r="F8025"/>
      <c r="H8025"/>
    </row>
    <row r="8026" spans="1:8" ht="15">
      <c r="A8026"/>
      <c r="B8026"/>
      <c r="D8026"/>
      <c r="E8026"/>
      <c r="F8026"/>
      <c r="H8026"/>
    </row>
    <row r="8027" spans="1:8" ht="15">
      <c r="A8027"/>
      <c r="B8027"/>
      <c r="D8027"/>
      <c r="E8027"/>
      <c r="F8027"/>
      <c r="H8027"/>
    </row>
    <row r="8028" spans="1:8" ht="15">
      <c r="A8028"/>
      <c r="B8028"/>
      <c r="D8028"/>
      <c r="E8028"/>
      <c r="F8028"/>
      <c r="H8028"/>
    </row>
    <row r="8029" spans="1:8" ht="15">
      <c r="A8029"/>
      <c r="B8029"/>
      <c r="D8029"/>
      <c r="E8029"/>
      <c r="F8029"/>
      <c r="H8029"/>
    </row>
    <row r="8030" spans="1:8" ht="15">
      <c r="A8030"/>
      <c r="B8030"/>
      <c r="D8030"/>
      <c r="E8030"/>
      <c r="F8030"/>
      <c r="H8030"/>
    </row>
    <row r="8031" spans="1:8" ht="15">
      <c r="A8031"/>
      <c r="B8031"/>
      <c r="D8031"/>
      <c r="E8031"/>
      <c r="F8031"/>
      <c r="H8031"/>
    </row>
    <row r="8032" spans="1:8" ht="15">
      <c r="A8032"/>
      <c r="B8032"/>
      <c r="D8032"/>
      <c r="E8032"/>
      <c r="F8032"/>
      <c r="H8032"/>
    </row>
    <row r="8033" spans="1:8" ht="15">
      <c r="A8033"/>
      <c r="B8033"/>
      <c r="D8033"/>
      <c r="E8033"/>
      <c r="F8033"/>
      <c r="H8033"/>
    </row>
    <row r="8034" spans="1:8" ht="15">
      <c r="A8034"/>
      <c r="B8034"/>
      <c r="D8034"/>
      <c r="E8034"/>
      <c r="F8034"/>
      <c r="H8034"/>
    </row>
    <row r="8035" spans="1:8" ht="15">
      <c r="A8035"/>
      <c r="B8035"/>
      <c r="D8035"/>
      <c r="E8035"/>
      <c r="F8035"/>
      <c r="H8035"/>
    </row>
    <row r="8036" spans="1:8" ht="15">
      <c r="A8036"/>
      <c r="B8036"/>
      <c r="D8036"/>
      <c r="E8036"/>
      <c r="F8036"/>
      <c r="H8036"/>
    </row>
    <row r="8037" spans="1:8" ht="15">
      <c r="A8037"/>
      <c r="B8037"/>
      <c r="D8037"/>
      <c r="E8037"/>
      <c r="F8037"/>
      <c r="H8037"/>
    </row>
    <row r="8038" spans="1:8" ht="15">
      <c r="A8038"/>
      <c r="B8038"/>
      <c r="D8038"/>
      <c r="E8038"/>
      <c r="F8038"/>
      <c r="H8038"/>
    </row>
    <row r="8039" spans="1:8" ht="15">
      <c r="A8039"/>
      <c r="B8039"/>
      <c r="D8039"/>
      <c r="E8039"/>
      <c r="F8039"/>
      <c r="H8039"/>
    </row>
    <row r="8040" spans="1:8" ht="15">
      <c r="A8040"/>
      <c r="B8040"/>
      <c r="D8040"/>
      <c r="E8040"/>
      <c r="F8040"/>
      <c r="H8040"/>
    </row>
    <row r="8041" spans="1:8" ht="15">
      <c r="A8041"/>
      <c r="B8041"/>
      <c r="D8041"/>
      <c r="E8041"/>
      <c r="F8041"/>
      <c r="H8041"/>
    </row>
    <row r="8042" spans="1:8" ht="15">
      <c r="A8042"/>
      <c r="B8042"/>
      <c r="D8042"/>
      <c r="E8042"/>
      <c r="F8042"/>
      <c r="H8042"/>
    </row>
    <row r="8043" spans="1:8" ht="15">
      <c r="A8043"/>
      <c r="B8043"/>
      <c r="D8043"/>
      <c r="E8043"/>
      <c r="F8043"/>
      <c r="H8043"/>
    </row>
    <row r="8044" spans="1:8" ht="15">
      <c r="A8044"/>
      <c r="B8044"/>
      <c r="D8044"/>
      <c r="E8044"/>
      <c r="F8044"/>
      <c r="H8044"/>
    </row>
    <row r="8045" spans="1:8" ht="15">
      <c r="A8045"/>
      <c r="B8045"/>
      <c r="D8045"/>
      <c r="E8045"/>
      <c r="F8045"/>
      <c r="H8045"/>
    </row>
    <row r="8046" spans="1:8" ht="15">
      <c r="A8046"/>
      <c r="B8046"/>
      <c r="D8046"/>
      <c r="E8046"/>
      <c r="F8046"/>
      <c r="H8046"/>
    </row>
    <row r="8047" spans="1:8" ht="15">
      <c r="A8047"/>
      <c r="B8047"/>
      <c r="D8047"/>
      <c r="E8047"/>
      <c r="F8047"/>
      <c r="H8047"/>
    </row>
    <row r="8048" spans="1:8" ht="15">
      <c r="A8048"/>
      <c r="B8048"/>
      <c r="D8048"/>
      <c r="E8048"/>
      <c r="F8048"/>
      <c r="H8048"/>
    </row>
    <row r="8049" spans="1:8" ht="15">
      <c r="A8049"/>
      <c r="B8049"/>
      <c r="D8049"/>
      <c r="E8049"/>
      <c r="F8049"/>
      <c r="H8049"/>
    </row>
    <row r="8050" spans="1:8" ht="15">
      <c r="A8050"/>
      <c r="B8050"/>
      <c r="D8050"/>
      <c r="E8050"/>
      <c r="F8050"/>
      <c r="H8050"/>
    </row>
    <row r="8051" spans="1:8" ht="15">
      <c r="A8051"/>
      <c r="B8051"/>
      <c r="D8051"/>
      <c r="E8051"/>
      <c r="F8051"/>
      <c r="H8051"/>
    </row>
    <row r="8052" spans="1:8" ht="15">
      <c r="A8052"/>
      <c r="B8052"/>
      <c r="D8052"/>
      <c r="E8052"/>
      <c r="F8052"/>
      <c r="H8052"/>
    </row>
    <row r="8053" spans="1:8" ht="15">
      <c r="A8053"/>
      <c r="B8053"/>
      <c r="D8053"/>
      <c r="E8053"/>
      <c r="F8053"/>
      <c r="H8053"/>
    </row>
    <row r="8054" spans="1:8" ht="15">
      <c r="A8054"/>
      <c r="B8054"/>
      <c r="D8054"/>
      <c r="E8054"/>
      <c r="F8054"/>
      <c r="H8054"/>
    </row>
    <row r="8055" spans="1:8" ht="15">
      <c r="A8055"/>
      <c r="B8055"/>
      <c r="D8055"/>
      <c r="E8055"/>
      <c r="F8055"/>
      <c r="H8055"/>
    </row>
    <row r="8056" spans="1:8" ht="15">
      <c r="A8056"/>
      <c r="B8056"/>
      <c r="D8056"/>
      <c r="E8056"/>
      <c r="F8056"/>
      <c r="H8056"/>
    </row>
    <row r="8057" spans="1:8" ht="15">
      <c r="A8057"/>
      <c r="B8057"/>
      <c r="D8057"/>
      <c r="E8057"/>
      <c r="F8057"/>
      <c r="H8057"/>
    </row>
    <row r="8058" spans="1:8" ht="15">
      <c r="A8058"/>
      <c r="B8058"/>
      <c r="D8058"/>
      <c r="E8058"/>
      <c r="F8058"/>
      <c r="H8058"/>
    </row>
    <row r="8059" spans="1:8" ht="15">
      <c r="A8059"/>
      <c r="B8059"/>
      <c r="D8059"/>
      <c r="E8059"/>
      <c r="F8059"/>
      <c r="H8059"/>
    </row>
    <row r="8060" spans="1:8" ht="15">
      <c r="A8060"/>
      <c r="B8060"/>
      <c r="D8060"/>
      <c r="E8060"/>
      <c r="F8060"/>
      <c r="H8060"/>
    </row>
    <row r="8061" spans="1:8" ht="15">
      <c r="A8061"/>
      <c r="B8061"/>
      <c r="D8061"/>
      <c r="E8061"/>
      <c r="F8061"/>
      <c r="H8061"/>
    </row>
    <row r="8062" spans="1:8" ht="15">
      <c r="A8062"/>
      <c r="B8062"/>
      <c r="D8062"/>
      <c r="E8062"/>
      <c r="F8062"/>
      <c r="H8062"/>
    </row>
    <row r="8063" spans="1:8" ht="15">
      <c r="A8063"/>
      <c r="B8063"/>
      <c r="D8063"/>
      <c r="E8063"/>
      <c r="F8063"/>
      <c r="H8063"/>
    </row>
    <row r="8064" spans="1:8" ht="15">
      <c r="A8064"/>
      <c r="B8064"/>
      <c r="D8064"/>
      <c r="E8064"/>
      <c r="F8064"/>
      <c r="H8064"/>
    </row>
    <row r="8065" spans="1:8" ht="15">
      <c r="A8065"/>
      <c r="B8065"/>
      <c r="D8065"/>
      <c r="E8065"/>
      <c r="F8065"/>
      <c r="H8065"/>
    </row>
    <row r="8066" spans="1:8" ht="15">
      <c r="A8066"/>
      <c r="B8066"/>
      <c r="D8066"/>
      <c r="E8066"/>
      <c r="F8066"/>
      <c r="H8066"/>
    </row>
    <row r="8067" spans="1:8" ht="15">
      <c r="A8067"/>
      <c r="B8067"/>
      <c r="D8067"/>
      <c r="E8067"/>
      <c r="F8067"/>
      <c r="H8067"/>
    </row>
    <row r="8068" spans="1:8" ht="15">
      <c r="A8068"/>
      <c r="B8068"/>
      <c r="D8068"/>
      <c r="E8068"/>
      <c r="F8068"/>
      <c r="H8068"/>
    </row>
    <row r="8069" spans="1:8" ht="15">
      <c r="A8069"/>
      <c r="B8069"/>
      <c r="D8069"/>
      <c r="E8069"/>
      <c r="F8069"/>
      <c r="H8069"/>
    </row>
    <row r="8070" spans="1:8" ht="15">
      <c r="A8070"/>
      <c r="B8070"/>
      <c r="D8070"/>
      <c r="E8070"/>
      <c r="F8070"/>
      <c r="H8070"/>
    </row>
    <row r="8071" spans="1:8" ht="15">
      <c r="A8071"/>
      <c r="B8071"/>
      <c r="D8071"/>
      <c r="E8071"/>
      <c r="F8071"/>
      <c r="H8071"/>
    </row>
    <row r="8072" spans="1:8" ht="15">
      <c r="A8072"/>
      <c r="B8072"/>
      <c r="D8072"/>
      <c r="E8072"/>
      <c r="F8072"/>
      <c r="H8072"/>
    </row>
    <row r="8073" spans="1:8" ht="15">
      <c r="A8073"/>
      <c r="B8073"/>
      <c r="D8073"/>
      <c r="E8073"/>
      <c r="F8073"/>
      <c r="H8073"/>
    </row>
    <row r="8074" spans="1:8" ht="15">
      <c r="A8074"/>
      <c r="B8074"/>
      <c r="D8074"/>
      <c r="E8074"/>
      <c r="F8074"/>
      <c r="H8074"/>
    </row>
    <row r="8075" spans="1:8" ht="15">
      <c r="A8075"/>
      <c r="B8075"/>
      <c r="D8075"/>
      <c r="E8075"/>
      <c r="F8075"/>
      <c r="H8075"/>
    </row>
    <row r="8076" spans="1:8" ht="15">
      <c r="A8076"/>
      <c r="B8076"/>
      <c r="D8076"/>
      <c r="E8076"/>
      <c r="F8076"/>
      <c r="H8076"/>
    </row>
    <row r="8077" spans="1:8" ht="15">
      <c r="A8077"/>
      <c r="B8077"/>
      <c r="D8077"/>
      <c r="E8077"/>
      <c r="F8077"/>
      <c r="H8077"/>
    </row>
    <row r="8078" spans="1:8" ht="15">
      <c r="A8078"/>
      <c r="B8078"/>
      <c r="D8078"/>
      <c r="E8078"/>
      <c r="F8078"/>
      <c r="H8078"/>
    </row>
    <row r="8079" spans="1:8" ht="15">
      <c r="A8079"/>
      <c r="B8079"/>
      <c r="D8079"/>
      <c r="E8079"/>
      <c r="F8079"/>
      <c r="H8079"/>
    </row>
    <row r="8080" spans="1:8" ht="15">
      <c r="A8080"/>
      <c r="B8080"/>
      <c r="D8080"/>
      <c r="E8080"/>
      <c r="F8080"/>
      <c r="H8080"/>
    </row>
    <row r="8081" spans="1:8" ht="15">
      <c r="A8081"/>
      <c r="B8081"/>
      <c r="D8081"/>
      <c r="E8081"/>
      <c r="F8081"/>
      <c r="H8081"/>
    </row>
    <row r="8082" spans="1:8" ht="15">
      <c r="A8082"/>
      <c r="B8082"/>
      <c r="D8082"/>
      <c r="E8082"/>
      <c r="F8082"/>
      <c r="H8082"/>
    </row>
    <row r="8083" spans="1:8" ht="15">
      <c r="A8083"/>
      <c r="B8083"/>
      <c r="D8083"/>
      <c r="E8083"/>
      <c r="F8083"/>
      <c r="H8083"/>
    </row>
    <row r="8084" spans="1:8" ht="15">
      <c r="A8084"/>
      <c r="B8084"/>
      <c r="D8084"/>
      <c r="E8084"/>
      <c r="F8084"/>
      <c r="H8084"/>
    </row>
    <row r="8085" spans="1:8" ht="15">
      <c r="A8085"/>
      <c r="B8085"/>
      <c r="D8085"/>
      <c r="E8085"/>
      <c r="F8085"/>
      <c r="H8085"/>
    </row>
    <row r="8086" spans="1:8" ht="15">
      <c r="A8086"/>
      <c r="B8086"/>
      <c r="D8086"/>
      <c r="E8086"/>
      <c r="F8086"/>
      <c r="H8086"/>
    </row>
    <row r="8087" spans="1:8" ht="15">
      <c r="A8087"/>
      <c r="B8087"/>
      <c r="D8087"/>
      <c r="E8087"/>
      <c r="F8087"/>
      <c r="H8087"/>
    </row>
    <row r="8088" spans="1:8" ht="15">
      <c r="A8088"/>
      <c r="B8088"/>
      <c r="D8088"/>
      <c r="E8088"/>
      <c r="F8088"/>
      <c r="H8088"/>
    </row>
    <row r="8089" spans="1:8" ht="15">
      <c r="A8089"/>
      <c r="B8089"/>
      <c r="D8089"/>
      <c r="E8089"/>
      <c r="F8089"/>
      <c r="H8089"/>
    </row>
    <row r="8090" spans="1:8" ht="15">
      <c r="A8090"/>
      <c r="B8090"/>
      <c r="D8090"/>
      <c r="E8090"/>
      <c r="F8090"/>
      <c r="H8090"/>
    </row>
    <row r="8091" spans="1:8" ht="15">
      <c r="A8091"/>
      <c r="B8091"/>
      <c r="D8091"/>
      <c r="E8091"/>
      <c r="F8091"/>
      <c r="H8091"/>
    </row>
    <row r="8092" spans="1:8" ht="15">
      <c r="A8092"/>
      <c r="B8092"/>
      <c r="D8092"/>
      <c r="E8092"/>
      <c r="F8092"/>
      <c r="H8092"/>
    </row>
    <row r="8093" spans="1:8" ht="15">
      <c r="A8093"/>
      <c r="B8093"/>
      <c r="D8093"/>
      <c r="E8093"/>
      <c r="F8093"/>
      <c r="H8093"/>
    </row>
    <row r="8094" spans="1:8" ht="15">
      <c r="A8094"/>
      <c r="B8094"/>
      <c r="D8094"/>
      <c r="E8094"/>
      <c r="F8094"/>
      <c r="H8094"/>
    </row>
    <row r="8095" spans="1:8" ht="15">
      <c r="A8095"/>
      <c r="B8095"/>
      <c r="D8095"/>
      <c r="E8095"/>
      <c r="F8095"/>
      <c r="H8095"/>
    </row>
    <row r="8096" spans="1:8" ht="15">
      <c r="A8096"/>
      <c r="B8096"/>
      <c r="D8096"/>
      <c r="E8096"/>
      <c r="F8096"/>
      <c r="H8096"/>
    </row>
    <row r="8097" spans="1:8" ht="15">
      <c r="A8097"/>
      <c r="B8097"/>
      <c r="D8097"/>
      <c r="E8097"/>
      <c r="F8097"/>
      <c r="H8097"/>
    </row>
    <row r="8098" spans="1:8" ht="15">
      <c r="A8098"/>
      <c r="B8098"/>
      <c r="D8098"/>
      <c r="E8098"/>
      <c r="F8098"/>
      <c r="H8098"/>
    </row>
    <row r="8099" spans="1:8" ht="15">
      <c r="A8099"/>
      <c r="B8099"/>
      <c r="D8099"/>
      <c r="E8099"/>
      <c r="F8099"/>
      <c r="H8099"/>
    </row>
    <row r="8100" spans="1:8" ht="15">
      <c r="A8100"/>
      <c r="B8100"/>
      <c r="D8100"/>
      <c r="E8100"/>
      <c r="F8100"/>
      <c r="H8100"/>
    </row>
    <row r="8101" spans="1:8" ht="15">
      <c r="A8101"/>
      <c r="B8101"/>
      <c r="D8101"/>
      <c r="E8101"/>
      <c r="F8101"/>
      <c r="H8101"/>
    </row>
    <row r="8102" spans="1:8" ht="15">
      <c r="A8102"/>
      <c r="B8102"/>
      <c r="D8102"/>
      <c r="E8102"/>
      <c r="F8102"/>
      <c r="H8102"/>
    </row>
    <row r="8103" spans="1:8" ht="15">
      <c r="A8103"/>
      <c r="B8103"/>
      <c r="D8103"/>
      <c r="E8103"/>
      <c r="F8103"/>
      <c r="H8103"/>
    </row>
    <row r="8104" spans="1:8" ht="15">
      <c r="A8104"/>
      <c r="B8104"/>
      <c r="D8104"/>
      <c r="E8104"/>
      <c r="F8104"/>
      <c r="H8104"/>
    </row>
    <row r="8105" spans="1:8" ht="15">
      <c r="A8105"/>
      <c r="B8105"/>
      <c r="D8105"/>
      <c r="E8105"/>
      <c r="F8105"/>
      <c r="H8105"/>
    </row>
    <row r="8106" spans="1:8" ht="15">
      <c r="A8106"/>
      <c r="B8106"/>
      <c r="D8106"/>
      <c r="E8106"/>
      <c r="F8106"/>
      <c r="H8106"/>
    </row>
    <row r="8107" spans="1:8" ht="15">
      <c r="A8107"/>
      <c r="B8107"/>
      <c r="D8107"/>
      <c r="E8107"/>
      <c r="F8107"/>
      <c r="H8107"/>
    </row>
    <row r="8108" spans="1:8" ht="15">
      <c r="A8108"/>
      <c r="B8108"/>
      <c r="D8108"/>
      <c r="E8108"/>
      <c r="F8108"/>
      <c r="H8108"/>
    </row>
    <row r="8109" spans="1:8" ht="15">
      <c r="A8109"/>
      <c r="B8109"/>
      <c r="D8109"/>
      <c r="E8109"/>
      <c r="F8109"/>
      <c r="H8109"/>
    </row>
    <row r="8110" spans="1:8" ht="15">
      <c r="A8110"/>
      <c r="B8110"/>
      <c r="D8110"/>
      <c r="E8110"/>
      <c r="F8110"/>
      <c r="H8110"/>
    </row>
    <row r="8111" spans="1:8" ht="15">
      <c r="A8111"/>
      <c r="B8111"/>
      <c r="D8111"/>
      <c r="E8111"/>
      <c r="F8111"/>
      <c r="H8111"/>
    </row>
    <row r="8112" spans="1:8" ht="15">
      <c r="A8112"/>
      <c r="B8112"/>
      <c r="D8112"/>
      <c r="E8112"/>
      <c r="F8112"/>
      <c r="H8112"/>
    </row>
    <row r="8113" spans="1:8" ht="15">
      <c r="A8113"/>
      <c r="B8113"/>
      <c r="D8113"/>
      <c r="E8113"/>
      <c r="F8113"/>
      <c r="H8113"/>
    </row>
    <row r="8114" spans="1:8" ht="15">
      <c r="A8114"/>
      <c r="B8114"/>
      <c r="D8114"/>
      <c r="E8114"/>
      <c r="F8114"/>
      <c r="H8114"/>
    </row>
    <row r="8115" spans="1:8" ht="15">
      <c r="A8115"/>
      <c r="B8115"/>
      <c r="D8115"/>
      <c r="E8115"/>
      <c r="F8115"/>
      <c r="H8115"/>
    </row>
    <row r="8116" spans="1:8" ht="15">
      <c r="A8116"/>
      <c r="B8116"/>
      <c r="D8116"/>
      <c r="E8116"/>
      <c r="F8116"/>
      <c r="H8116"/>
    </row>
    <row r="8117" spans="1:8" ht="15">
      <c r="A8117"/>
      <c r="B8117"/>
      <c r="D8117"/>
      <c r="E8117"/>
      <c r="F8117"/>
      <c r="H8117"/>
    </row>
    <row r="8118" spans="1:8" ht="15">
      <c r="A8118"/>
      <c r="B8118"/>
      <c r="D8118"/>
      <c r="E8118"/>
      <c r="F8118"/>
      <c r="H8118"/>
    </row>
    <row r="8119" spans="1:8" ht="15">
      <c r="A8119"/>
      <c r="B8119"/>
      <c r="D8119"/>
      <c r="E8119"/>
      <c r="F8119"/>
      <c r="H8119"/>
    </row>
    <row r="8120" spans="1:8" ht="15">
      <c r="A8120"/>
      <c r="B8120"/>
      <c r="D8120"/>
      <c r="E8120"/>
      <c r="F8120"/>
      <c r="H8120"/>
    </row>
    <row r="8121" spans="1:8" ht="15">
      <c r="A8121"/>
      <c r="B8121"/>
      <c r="D8121"/>
      <c r="E8121"/>
      <c r="F8121"/>
      <c r="H8121"/>
    </row>
    <row r="8122" spans="1:8" ht="15">
      <c r="A8122"/>
      <c r="B8122"/>
      <c r="D8122"/>
      <c r="E8122"/>
      <c r="F8122"/>
      <c r="H8122"/>
    </row>
    <row r="8123" spans="1:8" ht="15">
      <c r="A8123"/>
      <c r="B8123"/>
      <c r="D8123"/>
      <c r="E8123"/>
      <c r="F8123"/>
      <c r="H8123"/>
    </row>
    <row r="8124" spans="1:8" ht="15">
      <c r="A8124"/>
      <c r="B8124"/>
      <c r="D8124"/>
      <c r="E8124"/>
      <c r="F8124"/>
      <c r="H8124"/>
    </row>
    <row r="8125" spans="1:8" ht="15">
      <c r="A8125"/>
      <c r="B8125"/>
      <c r="D8125"/>
      <c r="E8125"/>
      <c r="F8125"/>
      <c r="H8125"/>
    </row>
    <row r="8126" spans="1:8" ht="15">
      <c r="A8126"/>
      <c r="B8126"/>
      <c r="D8126"/>
      <c r="E8126"/>
      <c r="F8126"/>
      <c r="H8126"/>
    </row>
    <row r="8127" spans="1:8" ht="15">
      <c r="A8127"/>
      <c r="B8127"/>
      <c r="D8127"/>
      <c r="E8127"/>
      <c r="F8127"/>
      <c r="H8127"/>
    </row>
    <row r="8128" spans="1:8" ht="15">
      <c r="A8128"/>
      <c r="B8128"/>
      <c r="D8128"/>
      <c r="E8128"/>
      <c r="F8128"/>
      <c r="H8128"/>
    </row>
    <row r="8129" spans="1:8" ht="15">
      <c r="A8129"/>
      <c r="B8129"/>
      <c r="D8129"/>
      <c r="E8129"/>
      <c r="F8129"/>
      <c r="H8129"/>
    </row>
    <row r="8130" spans="1:8" ht="15">
      <c r="A8130"/>
      <c r="B8130"/>
      <c r="D8130"/>
      <c r="E8130"/>
      <c r="F8130"/>
      <c r="H8130"/>
    </row>
    <row r="8131" spans="1:8" ht="15">
      <c r="A8131"/>
      <c r="B8131"/>
      <c r="D8131"/>
      <c r="E8131"/>
      <c r="F8131"/>
      <c r="H8131"/>
    </row>
    <row r="8132" spans="1:8" ht="15">
      <c r="A8132"/>
      <c r="B8132"/>
      <c r="D8132"/>
      <c r="E8132"/>
      <c r="F8132"/>
      <c r="H8132"/>
    </row>
    <row r="8133" spans="1:8" ht="15">
      <c r="A8133"/>
      <c r="B8133"/>
      <c r="D8133"/>
      <c r="E8133"/>
      <c r="F8133"/>
      <c r="H8133"/>
    </row>
    <row r="8134" spans="1:8" ht="15">
      <c r="A8134"/>
      <c r="B8134"/>
      <c r="D8134"/>
      <c r="E8134"/>
      <c r="F8134"/>
      <c r="H8134"/>
    </row>
    <row r="8135" spans="1:8" ht="15">
      <c r="A8135"/>
      <c r="B8135"/>
      <c r="D8135"/>
      <c r="E8135"/>
      <c r="F8135"/>
      <c r="H8135"/>
    </row>
    <row r="8136" spans="1:8" ht="15">
      <c r="A8136"/>
      <c r="B8136"/>
      <c r="D8136"/>
      <c r="E8136"/>
      <c r="F8136"/>
      <c r="H8136"/>
    </row>
    <row r="8137" spans="1:8" ht="15">
      <c r="A8137"/>
      <c r="B8137"/>
      <c r="D8137"/>
      <c r="E8137"/>
      <c r="F8137"/>
      <c r="H8137"/>
    </row>
    <row r="8138" spans="1:8" ht="15">
      <c r="A8138"/>
      <c r="B8138"/>
      <c r="D8138"/>
      <c r="E8138"/>
      <c r="F8138"/>
      <c r="H8138"/>
    </row>
    <row r="8139" spans="1:8" ht="15">
      <c r="A8139"/>
      <c r="B8139"/>
      <c r="D8139"/>
      <c r="E8139"/>
      <c r="F8139"/>
      <c r="H8139"/>
    </row>
    <row r="8140" spans="1:8" ht="15">
      <c r="A8140"/>
      <c r="B8140"/>
      <c r="D8140"/>
      <c r="E8140"/>
      <c r="F8140"/>
      <c r="H8140"/>
    </row>
    <row r="8141" spans="1:8" ht="15">
      <c r="A8141"/>
      <c r="B8141"/>
      <c r="D8141"/>
      <c r="E8141"/>
      <c r="F8141"/>
      <c r="H8141"/>
    </row>
    <row r="8142" spans="1:8" ht="15">
      <c r="A8142"/>
      <c r="B8142"/>
      <c r="D8142"/>
      <c r="E8142"/>
      <c r="F8142"/>
      <c r="H8142"/>
    </row>
    <row r="8143" spans="1:8" ht="15">
      <c r="A8143"/>
      <c r="B8143"/>
      <c r="D8143"/>
      <c r="E8143"/>
      <c r="F8143"/>
      <c r="H8143"/>
    </row>
    <row r="8144" spans="1:8" ht="15">
      <c r="A8144"/>
      <c r="B8144"/>
      <c r="D8144"/>
      <c r="E8144"/>
      <c r="F8144"/>
      <c r="H8144"/>
    </row>
    <row r="8145" spans="1:8" ht="15">
      <c r="A8145"/>
      <c r="B8145"/>
      <c r="D8145"/>
      <c r="E8145"/>
      <c r="F8145"/>
      <c r="H8145"/>
    </row>
    <row r="8146" spans="1:8" ht="15">
      <c r="A8146"/>
      <c r="B8146"/>
      <c r="D8146"/>
      <c r="E8146"/>
      <c r="F8146"/>
      <c r="H8146"/>
    </row>
    <row r="8147" spans="1:8" ht="15">
      <c r="A8147"/>
      <c r="B8147"/>
      <c r="D8147"/>
      <c r="E8147"/>
      <c r="F8147"/>
      <c r="H8147"/>
    </row>
    <row r="8148" spans="1:8" ht="15">
      <c r="A8148"/>
      <c r="B8148"/>
      <c r="D8148"/>
      <c r="E8148"/>
      <c r="F8148"/>
      <c r="H8148"/>
    </row>
    <row r="8149" spans="1:8" ht="15">
      <c r="A8149"/>
      <c r="B8149"/>
      <c r="D8149"/>
      <c r="E8149"/>
      <c r="F8149"/>
      <c r="H8149"/>
    </row>
    <row r="8150" spans="1:8" ht="15">
      <c r="A8150"/>
      <c r="B8150"/>
      <c r="D8150"/>
      <c r="E8150"/>
      <c r="F8150"/>
      <c r="H8150"/>
    </row>
    <row r="8151" spans="1:8" ht="15">
      <c r="A8151"/>
      <c r="B8151"/>
      <c r="D8151"/>
      <c r="E8151"/>
      <c r="F8151"/>
      <c r="H8151"/>
    </row>
    <row r="8152" spans="1:8" ht="15">
      <c r="A8152"/>
      <c r="B8152"/>
      <c r="D8152"/>
      <c r="E8152"/>
      <c r="F8152"/>
      <c r="H8152"/>
    </row>
    <row r="8153" spans="1:8" ht="15">
      <c r="A8153"/>
      <c r="B8153"/>
      <c r="D8153"/>
      <c r="E8153"/>
      <c r="F8153"/>
      <c r="H8153"/>
    </row>
    <row r="8154" spans="1:8" ht="15">
      <c r="A8154"/>
      <c r="B8154"/>
      <c r="D8154"/>
      <c r="E8154"/>
      <c r="F8154"/>
      <c r="H8154"/>
    </row>
    <row r="8155" spans="1:8" ht="15">
      <c r="A8155"/>
      <c r="B8155"/>
      <c r="D8155"/>
      <c r="E8155"/>
      <c r="F8155"/>
      <c r="H8155"/>
    </row>
    <row r="8156" spans="1:8" ht="15">
      <c r="A8156"/>
      <c r="B8156"/>
      <c r="D8156"/>
      <c r="E8156"/>
      <c r="F8156"/>
      <c r="H8156"/>
    </row>
    <row r="8157" spans="1:8" ht="15">
      <c r="A8157"/>
      <c r="B8157"/>
      <c r="D8157"/>
      <c r="E8157"/>
      <c r="F8157"/>
      <c r="H8157"/>
    </row>
    <row r="8158" spans="1:8" ht="15">
      <c r="A8158"/>
      <c r="B8158"/>
      <c r="D8158"/>
      <c r="E8158"/>
      <c r="F8158"/>
      <c r="H8158"/>
    </row>
    <row r="8159" spans="1:8" ht="15">
      <c r="A8159"/>
      <c r="B8159"/>
      <c r="D8159"/>
      <c r="E8159"/>
      <c r="F8159"/>
      <c r="H8159"/>
    </row>
    <row r="8160" spans="1:8" ht="15">
      <c r="A8160"/>
      <c r="B8160"/>
      <c r="D8160"/>
      <c r="E8160"/>
      <c r="F8160"/>
      <c r="H8160"/>
    </row>
    <row r="8161" spans="1:8" ht="15">
      <c r="A8161"/>
      <c r="B8161"/>
      <c r="D8161"/>
      <c r="E8161"/>
      <c r="F8161"/>
      <c r="H8161"/>
    </row>
    <row r="8162" spans="1:8" ht="15">
      <c r="A8162"/>
      <c r="B8162"/>
      <c r="D8162"/>
      <c r="E8162"/>
      <c r="F8162"/>
      <c r="H8162"/>
    </row>
    <row r="8163" spans="1:8" ht="15">
      <c r="A8163"/>
      <c r="B8163"/>
      <c r="D8163"/>
      <c r="E8163"/>
      <c r="F8163"/>
      <c r="H8163"/>
    </row>
    <row r="8164" spans="1:8" ht="15">
      <c r="A8164"/>
      <c r="B8164"/>
      <c r="D8164"/>
      <c r="E8164"/>
      <c r="F8164"/>
      <c r="H8164"/>
    </row>
    <row r="8165" spans="1:8" ht="15">
      <c r="A8165"/>
      <c r="B8165"/>
      <c r="D8165"/>
      <c r="E8165"/>
      <c r="F8165"/>
      <c r="H8165"/>
    </row>
    <row r="8166" spans="1:8" ht="15">
      <c r="A8166"/>
      <c r="B8166"/>
      <c r="D8166"/>
      <c r="E8166"/>
      <c r="F8166"/>
      <c r="H8166"/>
    </row>
    <row r="8167" spans="1:8" ht="15">
      <c r="A8167"/>
      <c r="B8167"/>
      <c r="D8167"/>
      <c r="E8167"/>
      <c r="F8167"/>
      <c r="H8167"/>
    </row>
    <row r="8168" spans="1:8" ht="15">
      <c r="A8168"/>
      <c r="B8168"/>
      <c r="D8168"/>
      <c r="E8168"/>
      <c r="F8168"/>
      <c r="H8168"/>
    </row>
    <row r="8169" spans="1:8" ht="15">
      <c r="A8169"/>
      <c r="B8169"/>
      <c r="D8169"/>
      <c r="E8169"/>
      <c r="F8169"/>
      <c r="H8169"/>
    </row>
    <row r="8170" spans="1:8" ht="15">
      <c r="A8170"/>
      <c r="B8170"/>
      <c r="D8170"/>
      <c r="E8170"/>
      <c r="F8170"/>
      <c r="H8170"/>
    </row>
    <row r="8171" spans="1:8" ht="15">
      <c r="A8171"/>
      <c r="B8171"/>
      <c r="D8171"/>
      <c r="E8171"/>
      <c r="F8171"/>
      <c r="H8171"/>
    </row>
    <row r="8172" spans="1:8" ht="15">
      <c r="A8172"/>
      <c r="B8172"/>
      <c r="D8172"/>
      <c r="E8172"/>
      <c r="F8172"/>
      <c r="H8172"/>
    </row>
    <row r="8173" spans="1:8" ht="15">
      <c r="A8173"/>
      <c r="B8173"/>
      <c r="D8173"/>
      <c r="E8173"/>
      <c r="F8173"/>
      <c r="H8173"/>
    </row>
    <row r="8174" spans="1:8" ht="15">
      <c r="A8174"/>
      <c r="B8174"/>
      <c r="D8174"/>
      <c r="E8174"/>
      <c r="F8174"/>
      <c r="H8174"/>
    </row>
    <row r="8175" spans="1:8" ht="15">
      <c r="A8175"/>
      <c r="B8175"/>
      <c r="D8175"/>
      <c r="E8175"/>
      <c r="F8175"/>
      <c r="H8175"/>
    </row>
    <row r="8176" spans="1:8" ht="15">
      <c r="A8176"/>
      <c r="B8176"/>
      <c r="D8176"/>
      <c r="E8176"/>
      <c r="F8176"/>
      <c r="H8176"/>
    </row>
    <row r="8177" spans="1:8" ht="15">
      <c r="A8177"/>
      <c r="B8177"/>
      <c r="D8177"/>
      <c r="E8177"/>
      <c r="F8177"/>
      <c r="H8177"/>
    </row>
    <row r="8178" spans="1:8" ht="15">
      <c r="A8178"/>
      <c r="B8178"/>
      <c r="D8178"/>
      <c r="E8178"/>
      <c r="F8178"/>
      <c r="H8178"/>
    </row>
    <row r="8179" spans="1:8" ht="15">
      <c r="A8179"/>
      <c r="B8179"/>
      <c r="D8179"/>
      <c r="E8179"/>
      <c r="F8179"/>
      <c r="H8179"/>
    </row>
    <row r="8180" spans="1:8" ht="15">
      <c r="A8180"/>
      <c r="B8180"/>
      <c r="D8180"/>
      <c r="E8180"/>
      <c r="F8180"/>
      <c r="H8180"/>
    </row>
    <row r="8181" spans="1:8" ht="15">
      <c r="A8181"/>
      <c r="B8181"/>
      <c r="D8181"/>
      <c r="E8181"/>
      <c r="F8181"/>
      <c r="H8181"/>
    </row>
    <row r="8182" spans="1:8" ht="15">
      <c r="A8182"/>
      <c r="B8182"/>
      <c r="D8182"/>
      <c r="E8182"/>
      <c r="F8182"/>
      <c r="H8182"/>
    </row>
    <row r="8183" spans="1:8" ht="15">
      <c r="A8183"/>
      <c r="B8183"/>
      <c r="D8183"/>
      <c r="E8183"/>
      <c r="F8183"/>
      <c r="H8183"/>
    </row>
    <row r="8184" spans="1:8" ht="15">
      <c r="A8184"/>
      <c r="B8184"/>
      <c r="D8184"/>
      <c r="E8184"/>
      <c r="F8184"/>
      <c r="H8184"/>
    </row>
    <row r="8185" spans="1:8" ht="15">
      <c r="A8185"/>
      <c r="B8185"/>
      <c r="D8185"/>
      <c r="E8185"/>
      <c r="F8185"/>
      <c r="H8185"/>
    </row>
    <row r="8186" spans="1:8" ht="15">
      <c r="A8186"/>
      <c r="B8186"/>
      <c r="D8186"/>
      <c r="E8186"/>
      <c r="F8186"/>
      <c r="H8186"/>
    </row>
    <row r="8187" spans="1:8" ht="15">
      <c r="A8187"/>
      <c r="B8187"/>
      <c r="D8187"/>
      <c r="E8187"/>
      <c r="F8187"/>
      <c r="H8187"/>
    </row>
    <row r="8188" spans="1:8" ht="15">
      <c r="A8188"/>
      <c r="B8188"/>
      <c r="D8188"/>
      <c r="E8188"/>
      <c r="F8188"/>
      <c r="H8188"/>
    </row>
    <row r="8189" spans="1:8" ht="15">
      <c r="A8189"/>
      <c r="B8189"/>
      <c r="D8189"/>
      <c r="E8189"/>
      <c r="F8189"/>
      <c r="H8189"/>
    </row>
    <row r="8190" spans="1:8" ht="15">
      <c r="A8190"/>
      <c r="B8190"/>
      <c r="D8190"/>
      <c r="E8190"/>
      <c r="F8190"/>
      <c r="H8190"/>
    </row>
    <row r="8191" spans="1:8" ht="15">
      <c r="A8191"/>
      <c r="B8191"/>
      <c r="D8191"/>
      <c r="E8191"/>
      <c r="F8191"/>
      <c r="H8191"/>
    </row>
    <row r="8192" spans="1:8" ht="15">
      <c r="A8192"/>
      <c r="B8192"/>
      <c r="D8192"/>
      <c r="E8192"/>
      <c r="F8192"/>
      <c r="H8192"/>
    </row>
    <row r="8193" spans="1:8" ht="15">
      <c r="A8193"/>
      <c r="B8193"/>
      <c r="D8193"/>
      <c r="E8193"/>
      <c r="F8193"/>
      <c r="H8193"/>
    </row>
    <row r="8194" spans="1:8" ht="15">
      <c r="A8194"/>
      <c r="B8194"/>
      <c r="D8194"/>
      <c r="E8194"/>
      <c r="F8194"/>
      <c r="H8194"/>
    </row>
    <row r="8195" spans="1:8" ht="15">
      <c r="A8195"/>
      <c r="B8195"/>
      <c r="D8195"/>
      <c r="E8195"/>
      <c r="F8195"/>
      <c r="H8195"/>
    </row>
    <row r="8196" spans="1:8" ht="15">
      <c r="A8196"/>
      <c r="B8196"/>
      <c r="D8196"/>
      <c r="E8196"/>
      <c r="F8196"/>
      <c r="H8196"/>
    </row>
    <row r="8197" spans="1:8" ht="15">
      <c r="A8197"/>
      <c r="B8197"/>
      <c r="D8197"/>
      <c r="E8197"/>
      <c r="F8197"/>
      <c r="H8197"/>
    </row>
    <row r="8198" spans="1:8" ht="15">
      <c r="A8198"/>
      <c r="B8198"/>
      <c r="D8198"/>
      <c r="E8198"/>
      <c r="F8198"/>
      <c r="H8198"/>
    </row>
    <row r="8199" spans="1:8" ht="15">
      <c r="A8199"/>
      <c r="B8199"/>
      <c r="D8199"/>
      <c r="E8199"/>
      <c r="F8199"/>
      <c r="H8199"/>
    </row>
    <row r="8200" spans="1:8" ht="15">
      <c r="A8200"/>
      <c r="B8200"/>
      <c r="D8200"/>
      <c r="E8200"/>
      <c r="F8200"/>
      <c r="H8200"/>
    </row>
    <row r="8201" spans="1:8" ht="15">
      <c r="A8201"/>
      <c r="B8201"/>
      <c r="D8201"/>
      <c r="E8201"/>
      <c r="F8201"/>
      <c r="H8201"/>
    </row>
    <row r="8202" spans="1:8" ht="15">
      <c r="A8202"/>
      <c r="B8202"/>
      <c r="D8202"/>
      <c r="E8202"/>
      <c r="F8202"/>
      <c r="H8202"/>
    </row>
    <row r="8203" spans="1:8" ht="15">
      <c r="A8203"/>
      <c r="B8203"/>
      <c r="D8203"/>
      <c r="E8203"/>
      <c r="F8203"/>
      <c r="H8203"/>
    </row>
    <row r="8204" spans="1:8" ht="15">
      <c r="A8204"/>
      <c r="B8204"/>
      <c r="D8204"/>
      <c r="E8204"/>
      <c r="F8204"/>
      <c r="H8204"/>
    </row>
    <row r="8205" spans="1:8" ht="15">
      <c r="A8205"/>
      <c r="B8205"/>
      <c r="D8205"/>
      <c r="E8205"/>
      <c r="F8205"/>
      <c r="H8205"/>
    </row>
    <row r="8206" spans="1:8" ht="15">
      <c r="A8206"/>
      <c r="B8206"/>
      <c r="D8206"/>
      <c r="E8206"/>
      <c r="F8206"/>
      <c r="H8206"/>
    </row>
    <row r="8207" spans="1:8" ht="15">
      <c r="A8207"/>
      <c r="B8207"/>
      <c r="D8207"/>
      <c r="E8207"/>
      <c r="F8207"/>
      <c r="H8207"/>
    </row>
    <row r="8208" spans="1:8" ht="15">
      <c r="A8208"/>
      <c r="B8208"/>
      <c r="D8208"/>
      <c r="E8208"/>
      <c r="F8208"/>
      <c r="H8208"/>
    </row>
    <row r="8209" spans="1:8" ht="15">
      <c r="A8209"/>
      <c r="B8209"/>
      <c r="D8209"/>
      <c r="E8209"/>
      <c r="F8209"/>
      <c r="H8209"/>
    </row>
    <row r="8210" spans="1:8" ht="15">
      <c r="A8210"/>
      <c r="B8210"/>
      <c r="D8210"/>
      <c r="E8210"/>
      <c r="F8210"/>
      <c r="H8210"/>
    </row>
    <row r="8211" spans="1:8" ht="15">
      <c r="A8211"/>
      <c r="B8211"/>
      <c r="D8211"/>
      <c r="E8211"/>
      <c r="F8211"/>
      <c r="H8211"/>
    </row>
    <row r="8212" spans="1:8" ht="15">
      <c r="A8212"/>
      <c r="B8212"/>
      <c r="D8212"/>
      <c r="E8212"/>
      <c r="F8212"/>
      <c r="H8212"/>
    </row>
    <row r="8213" spans="1:8" ht="15">
      <c r="A8213"/>
      <c r="B8213"/>
      <c r="D8213"/>
      <c r="E8213"/>
      <c r="F8213"/>
      <c r="H8213"/>
    </row>
    <row r="8214" spans="1:8" ht="15">
      <c r="A8214"/>
      <c r="B8214"/>
      <c r="D8214"/>
      <c r="E8214"/>
      <c r="F8214"/>
      <c r="H8214"/>
    </row>
    <row r="8215" spans="1:8" ht="15">
      <c r="A8215"/>
      <c r="B8215"/>
      <c r="D8215"/>
      <c r="E8215"/>
      <c r="F8215"/>
      <c r="H8215"/>
    </row>
    <row r="8216" spans="1:8" ht="15">
      <c r="A8216"/>
      <c r="B8216"/>
      <c r="D8216"/>
      <c r="E8216"/>
      <c r="F8216"/>
      <c r="H8216"/>
    </row>
    <row r="8217" spans="1:8" ht="15">
      <c r="A8217"/>
      <c r="B8217"/>
      <c r="D8217"/>
      <c r="E8217"/>
      <c r="F8217"/>
      <c r="H8217"/>
    </row>
    <row r="8218" spans="1:8" ht="15">
      <c r="A8218"/>
      <c r="B8218"/>
      <c r="D8218"/>
      <c r="E8218"/>
      <c r="F8218"/>
      <c r="H8218"/>
    </row>
    <row r="8219" spans="1:8" ht="15">
      <c r="A8219"/>
      <c r="B8219"/>
      <c r="D8219"/>
      <c r="E8219"/>
      <c r="F8219"/>
      <c r="H8219"/>
    </row>
    <row r="8220" spans="1:8" ht="15">
      <c r="A8220"/>
      <c r="B8220"/>
      <c r="D8220"/>
      <c r="E8220"/>
      <c r="F8220"/>
      <c r="H8220"/>
    </row>
    <row r="8221" spans="1:8" ht="15">
      <c r="A8221"/>
      <c r="B8221"/>
      <c r="D8221"/>
      <c r="E8221"/>
      <c r="F8221"/>
      <c r="H8221"/>
    </row>
    <row r="8222" spans="1:8" ht="15">
      <c r="A8222"/>
      <c r="B8222"/>
      <c r="D8222"/>
      <c r="E8222"/>
      <c r="F8222"/>
      <c r="H8222"/>
    </row>
    <row r="8223" spans="1:8" ht="15">
      <c r="A8223"/>
      <c r="B8223"/>
      <c r="D8223"/>
      <c r="E8223"/>
      <c r="F8223"/>
      <c r="H8223"/>
    </row>
    <row r="8224" spans="1:8" ht="15">
      <c r="A8224"/>
      <c r="B8224"/>
      <c r="D8224"/>
      <c r="E8224"/>
      <c r="F8224"/>
      <c r="H8224"/>
    </row>
    <row r="8225" spans="1:8" ht="15">
      <c r="A8225"/>
      <c r="B8225"/>
      <c r="D8225"/>
      <c r="E8225"/>
      <c r="F8225"/>
      <c r="H8225"/>
    </row>
    <row r="8226" spans="1:8" ht="15">
      <c r="A8226"/>
      <c r="B8226"/>
      <c r="D8226"/>
      <c r="E8226"/>
      <c r="F8226"/>
      <c r="H8226"/>
    </row>
    <row r="8227" spans="1:8" ht="15">
      <c r="A8227"/>
      <c r="B8227"/>
      <c r="D8227"/>
      <c r="E8227"/>
      <c r="F8227"/>
      <c r="H8227"/>
    </row>
    <row r="8228" spans="1:8" ht="15">
      <c r="A8228"/>
      <c r="B8228"/>
      <c r="D8228"/>
      <c r="E8228"/>
      <c r="F8228"/>
      <c r="H8228"/>
    </row>
    <row r="8229" spans="1:8" ht="15">
      <c r="A8229"/>
      <c r="B8229"/>
      <c r="D8229"/>
      <c r="E8229"/>
      <c r="F8229"/>
      <c r="H8229"/>
    </row>
    <row r="8230" spans="1:8" ht="15">
      <c r="A8230"/>
      <c r="B8230"/>
      <c r="D8230"/>
      <c r="E8230"/>
      <c r="F8230"/>
      <c r="H8230"/>
    </row>
    <row r="8231" spans="1:8" ht="15">
      <c r="A8231"/>
      <c r="B8231"/>
      <c r="D8231"/>
      <c r="E8231"/>
      <c r="F8231"/>
      <c r="H8231"/>
    </row>
    <row r="8232" spans="1:8" ht="15">
      <c r="A8232"/>
      <c r="B8232"/>
      <c r="D8232"/>
      <c r="E8232"/>
      <c r="F8232"/>
      <c r="H8232"/>
    </row>
    <row r="8233" spans="1:8" ht="15">
      <c r="A8233"/>
      <c r="B8233"/>
      <c r="D8233"/>
      <c r="E8233"/>
      <c r="F8233"/>
      <c r="H8233"/>
    </row>
    <row r="8234" spans="1:8" ht="15">
      <c r="A8234"/>
      <c r="B8234"/>
      <c r="D8234"/>
      <c r="E8234"/>
      <c r="F8234"/>
      <c r="H8234"/>
    </row>
    <row r="8235" spans="1:8" ht="15">
      <c r="A8235"/>
      <c r="B8235"/>
      <c r="D8235"/>
      <c r="E8235"/>
      <c r="F8235"/>
      <c r="H8235"/>
    </row>
    <row r="8236" spans="1:8" ht="15">
      <c r="A8236"/>
      <c r="B8236"/>
      <c r="D8236"/>
      <c r="E8236"/>
      <c r="F8236"/>
      <c r="H8236"/>
    </row>
    <row r="8237" spans="1:8" ht="15">
      <c r="A8237"/>
      <c r="B8237"/>
      <c r="D8237"/>
      <c r="E8237"/>
      <c r="F8237"/>
      <c r="H8237"/>
    </row>
    <row r="8238" spans="1:8" ht="15">
      <c r="A8238"/>
      <c r="B8238"/>
      <c r="D8238"/>
      <c r="E8238"/>
      <c r="F8238"/>
      <c r="H8238"/>
    </row>
    <row r="8239" spans="1:8" ht="15">
      <c r="A8239"/>
      <c r="B8239"/>
      <c r="D8239"/>
      <c r="E8239"/>
      <c r="F8239"/>
      <c r="H8239"/>
    </row>
    <row r="8240" spans="1:8" ht="15">
      <c r="A8240"/>
      <c r="B8240"/>
      <c r="D8240"/>
      <c r="E8240"/>
      <c r="F8240"/>
      <c r="H8240"/>
    </row>
    <row r="8241" spans="1:8" ht="15">
      <c r="A8241"/>
      <c r="B8241"/>
      <c r="D8241"/>
      <c r="E8241"/>
      <c r="F8241"/>
      <c r="H8241"/>
    </row>
    <row r="8242" spans="1:8" ht="15">
      <c r="A8242"/>
      <c r="B8242"/>
      <c r="D8242"/>
      <c r="E8242"/>
      <c r="F8242"/>
      <c r="H8242"/>
    </row>
    <row r="8243" spans="1:8" ht="15">
      <c r="A8243"/>
      <c r="B8243"/>
      <c r="D8243"/>
      <c r="E8243"/>
      <c r="F8243"/>
      <c r="H8243"/>
    </row>
    <row r="8244" spans="1:8" ht="15">
      <c r="A8244"/>
      <c r="B8244"/>
      <c r="D8244"/>
      <c r="E8244"/>
      <c r="F8244"/>
      <c r="H8244"/>
    </row>
    <row r="8245" spans="1:8" ht="15">
      <c r="A8245"/>
      <c r="B8245"/>
      <c r="D8245"/>
      <c r="E8245"/>
      <c r="F8245"/>
      <c r="H8245"/>
    </row>
    <row r="8246" spans="1:8" ht="15">
      <c r="A8246"/>
      <c r="B8246"/>
      <c r="D8246"/>
      <c r="E8246"/>
      <c r="F8246"/>
      <c r="H8246"/>
    </row>
    <row r="8247" spans="1:8" ht="15">
      <c r="A8247"/>
      <c r="B8247"/>
      <c r="D8247"/>
      <c r="E8247"/>
      <c r="F8247"/>
      <c r="H8247"/>
    </row>
    <row r="8248" spans="1:8" ht="15">
      <c r="A8248"/>
      <c r="B8248"/>
      <c r="D8248"/>
      <c r="E8248"/>
      <c r="F8248"/>
      <c r="H8248"/>
    </row>
    <row r="8249" spans="1:8" ht="15">
      <c r="A8249"/>
      <c r="B8249"/>
      <c r="D8249"/>
      <c r="E8249"/>
      <c r="F8249"/>
      <c r="H8249"/>
    </row>
    <row r="8250" spans="1:8" ht="15">
      <c r="A8250"/>
      <c r="B8250"/>
      <c r="D8250"/>
      <c r="E8250"/>
      <c r="F8250"/>
      <c r="H8250"/>
    </row>
    <row r="8251" spans="1:8" ht="15">
      <c r="A8251"/>
      <c r="B8251"/>
      <c r="D8251"/>
      <c r="E8251"/>
      <c r="F8251"/>
      <c r="H8251"/>
    </row>
    <row r="8252" spans="1:8" ht="15">
      <c r="A8252"/>
      <c r="B8252"/>
      <c r="D8252"/>
      <c r="E8252"/>
      <c r="F8252"/>
      <c r="H8252"/>
    </row>
    <row r="8253" spans="1:8" ht="15">
      <c r="A8253"/>
      <c r="B8253"/>
      <c r="D8253"/>
      <c r="E8253"/>
      <c r="F8253"/>
      <c r="H8253"/>
    </row>
    <row r="8254" spans="1:8" ht="15">
      <c r="A8254"/>
      <c r="B8254"/>
      <c r="D8254"/>
      <c r="E8254"/>
      <c r="F8254"/>
      <c r="H8254"/>
    </row>
    <row r="8255" spans="1:8" ht="15">
      <c r="A8255"/>
      <c r="B8255"/>
      <c r="D8255"/>
      <c r="E8255"/>
      <c r="F8255"/>
      <c r="H8255"/>
    </row>
    <row r="8256" spans="1:8" ht="15">
      <c r="A8256"/>
      <c r="B8256"/>
      <c r="D8256"/>
      <c r="E8256"/>
      <c r="F8256"/>
      <c r="H8256"/>
    </row>
    <row r="8257" spans="1:8" ht="15">
      <c r="A8257"/>
      <c r="B8257"/>
      <c r="D8257"/>
      <c r="E8257"/>
      <c r="F8257"/>
      <c r="H8257"/>
    </row>
    <row r="8258" spans="1:8" ht="15">
      <c r="A8258"/>
      <c r="B8258"/>
      <c r="D8258"/>
      <c r="E8258"/>
      <c r="F8258"/>
      <c r="H8258"/>
    </row>
    <row r="8259" spans="1:8" ht="15">
      <c r="A8259"/>
      <c r="B8259"/>
      <c r="D8259"/>
      <c r="E8259"/>
      <c r="F8259"/>
      <c r="H8259"/>
    </row>
    <row r="8260" spans="1:8" ht="15">
      <c r="A8260"/>
      <c r="B8260"/>
      <c r="D8260"/>
      <c r="E8260"/>
      <c r="F8260"/>
      <c r="H8260"/>
    </row>
    <row r="8261" spans="1:8" ht="15">
      <c r="A8261"/>
      <c r="B8261"/>
      <c r="D8261"/>
      <c r="E8261"/>
      <c r="F8261"/>
      <c r="H8261"/>
    </row>
    <row r="8262" spans="1:8" ht="15">
      <c r="A8262"/>
      <c r="B8262"/>
      <c r="D8262"/>
      <c r="E8262"/>
      <c r="F8262"/>
      <c r="H8262"/>
    </row>
    <row r="8263" spans="1:8" ht="15">
      <c r="A8263"/>
      <c r="B8263"/>
      <c r="D8263"/>
      <c r="E8263"/>
      <c r="F8263"/>
      <c r="H8263"/>
    </row>
    <row r="8264" spans="1:8" ht="15">
      <c r="A8264"/>
      <c r="B8264"/>
      <c r="D8264"/>
      <c r="E8264"/>
      <c r="F8264"/>
      <c r="H8264"/>
    </row>
    <row r="8265" spans="1:8" ht="15">
      <c r="A8265"/>
      <c r="B8265"/>
      <c r="D8265"/>
      <c r="E8265"/>
      <c r="F8265"/>
      <c r="H8265"/>
    </row>
    <row r="8266" spans="1:8" ht="15">
      <c r="A8266"/>
      <c r="B8266"/>
      <c r="D8266"/>
      <c r="E8266"/>
      <c r="F8266"/>
      <c r="H8266"/>
    </row>
    <row r="8267" spans="1:8" ht="15">
      <c r="A8267"/>
      <c r="B8267"/>
      <c r="D8267"/>
      <c r="E8267"/>
      <c r="F8267"/>
      <c r="H8267"/>
    </row>
    <row r="8268" spans="1:8" ht="15">
      <c r="A8268"/>
      <c r="B8268"/>
      <c r="D8268"/>
      <c r="E8268"/>
      <c r="F8268"/>
      <c r="H8268"/>
    </row>
    <row r="8269" spans="1:8" ht="15">
      <c r="A8269"/>
      <c r="B8269"/>
      <c r="D8269"/>
      <c r="E8269"/>
      <c r="F8269"/>
      <c r="H8269"/>
    </row>
    <row r="8270" spans="1:8" ht="15">
      <c r="A8270"/>
      <c r="B8270"/>
      <c r="D8270"/>
      <c r="E8270"/>
      <c r="F8270"/>
      <c r="H8270"/>
    </row>
    <row r="8271" spans="1:8" ht="15">
      <c r="A8271"/>
      <c r="B8271"/>
      <c r="D8271"/>
      <c r="E8271"/>
      <c r="F8271"/>
      <c r="H8271"/>
    </row>
    <row r="8272" spans="1:8" ht="15">
      <c r="A8272"/>
      <c r="B8272"/>
      <c r="D8272"/>
      <c r="E8272"/>
      <c r="F8272"/>
      <c r="H8272"/>
    </row>
    <row r="8273" spans="1:8" ht="15">
      <c r="A8273"/>
      <c r="B8273"/>
      <c r="D8273"/>
      <c r="E8273"/>
      <c r="F8273"/>
      <c r="H8273"/>
    </row>
    <row r="8274" spans="1:8" ht="15">
      <c r="A8274"/>
      <c r="B8274"/>
      <c r="D8274"/>
      <c r="E8274"/>
      <c r="F8274"/>
      <c r="H8274"/>
    </row>
    <row r="8275" spans="1:8" ht="15">
      <c r="A8275"/>
      <c r="B8275"/>
      <c r="D8275"/>
      <c r="E8275"/>
      <c r="F8275"/>
      <c r="H8275"/>
    </row>
    <row r="8276" spans="1:8" ht="15">
      <c r="A8276"/>
      <c r="B8276"/>
      <c r="D8276"/>
      <c r="E8276"/>
      <c r="F8276"/>
      <c r="H8276"/>
    </row>
    <row r="8277" spans="1:8" ht="15">
      <c r="A8277"/>
      <c r="B8277"/>
      <c r="D8277"/>
      <c r="E8277"/>
      <c r="F8277"/>
      <c r="H8277"/>
    </row>
    <row r="8278" spans="1:8" ht="15">
      <c r="A8278"/>
      <c r="B8278"/>
      <c r="D8278"/>
      <c r="E8278"/>
      <c r="F8278"/>
      <c r="H8278"/>
    </row>
    <row r="8279" spans="1:8" ht="15">
      <c r="A8279"/>
      <c r="B8279"/>
      <c r="D8279"/>
      <c r="E8279"/>
      <c r="F8279"/>
      <c r="H8279"/>
    </row>
    <row r="8280" spans="1:8" ht="15">
      <c r="A8280"/>
      <c r="B8280"/>
      <c r="D8280"/>
      <c r="E8280"/>
      <c r="F8280"/>
      <c r="H8280"/>
    </row>
    <row r="8281" spans="1:8" ht="15">
      <c r="A8281"/>
      <c r="B8281"/>
      <c r="D8281"/>
      <c r="E8281"/>
      <c r="F8281"/>
      <c r="H8281"/>
    </row>
    <row r="8282" spans="1:8" ht="15">
      <c r="A8282"/>
      <c r="B8282"/>
      <c r="D8282"/>
      <c r="E8282"/>
      <c r="F8282"/>
      <c r="H8282"/>
    </row>
    <row r="8283" spans="1:8" ht="15">
      <c r="A8283"/>
      <c r="B8283"/>
      <c r="D8283"/>
      <c r="E8283"/>
      <c r="F8283"/>
      <c r="H8283"/>
    </row>
    <row r="8284" spans="1:8" ht="15">
      <c r="A8284"/>
      <c r="B8284"/>
      <c r="D8284"/>
      <c r="E8284"/>
      <c r="F8284"/>
      <c r="H8284"/>
    </row>
    <row r="8285" spans="1:8" ht="15">
      <c r="A8285"/>
      <c r="B8285"/>
      <c r="D8285"/>
      <c r="E8285"/>
      <c r="F8285"/>
      <c r="H8285"/>
    </row>
    <row r="8286" spans="1:8" ht="15">
      <c r="A8286"/>
      <c r="B8286"/>
      <c r="D8286"/>
      <c r="E8286"/>
      <c r="F8286"/>
      <c r="H8286"/>
    </row>
    <row r="8287" spans="1:8" ht="15">
      <c r="A8287"/>
      <c r="B8287"/>
      <c r="D8287"/>
      <c r="E8287"/>
      <c r="F8287"/>
      <c r="H8287"/>
    </row>
    <row r="8288" spans="1:8" ht="15">
      <c r="A8288"/>
      <c r="B8288"/>
      <c r="D8288"/>
      <c r="E8288"/>
      <c r="F8288"/>
      <c r="H8288"/>
    </row>
    <row r="8289" spans="1:8" ht="15">
      <c r="A8289"/>
      <c r="B8289"/>
      <c r="D8289"/>
      <c r="E8289"/>
      <c r="F8289"/>
      <c r="H8289"/>
    </row>
    <row r="8290" spans="1:8" ht="15">
      <c r="A8290"/>
      <c r="B8290"/>
      <c r="D8290"/>
      <c r="E8290"/>
      <c r="F8290"/>
      <c r="H8290"/>
    </row>
    <row r="8291" spans="1:8" ht="15">
      <c r="A8291"/>
      <c r="B8291"/>
      <c r="D8291"/>
      <c r="E8291"/>
      <c r="F8291"/>
      <c r="H8291"/>
    </row>
    <row r="8292" spans="1:8" ht="15">
      <c r="A8292"/>
      <c r="B8292"/>
      <c r="D8292"/>
      <c r="E8292"/>
      <c r="F8292"/>
      <c r="H8292"/>
    </row>
    <row r="8293" spans="1:8" ht="15">
      <c r="A8293"/>
      <c r="B8293"/>
      <c r="D8293"/>
      <c r="E8293"/>
      <c r="F8293"/>
      <c r="H8293"/>
    </row>
    <row r="8294" spans="1:8" ht="15">
      <c r="A8294"/>
      <c r="B8294"/>
      <c r="D8294"/>
      <c r="E8294"/>
      <c r="F8294"/>
      <c r="H8294"/>
    </row>
    <row r="8295" spans="1:8" ht="15">
      <c r="A8295"/>
      <c r="B8295"/>
      <c r="D8295"/>
      <c r="E8295"/>
      <c r="F8295"/>
      <c r="H8295"/>
    </row>
    <row r="8296" spans="1:8" ht="15">
      <c r="A8296"/>
      <c r="B8296"/>
      <c r="D8296"/>
      <c r="E8296"/>
      <c r="F8296"/>
      <c r="H8296"/>
    </row>
    <row r="8297" spans="1:8" ht="15">
      <c r="A8297"/>
      <c r="B8297"/>
      <c r="D8297"/>
      <c r="E8297"/>
      <c r="F8297"/>
      <c r="H8297"/>
    </row>
    <row r="8298" spans="1:8" ht="15">
      <c r="A8298"/>
      <c r="B8298"/>
      <c r="D8298"/>
      <c r="E8298"/>
      <c r="F8298"/>
      <c r="H8298"/>
    </row>
    <row r="8299" spans="1:8" ht="15">
      <c r="A8299"/>
      <c r="B8299"/>
      <c r="D8299"/>
      <c r="E8299"/>
      <c r="F8299"/>
      <c r="H8299"/>
    </row>
    <row r="8300" spans="1:8" ht="15">
      <c r="A8300"/>
      <c r="B8300"/>
      <c r="D8300"/>
      <c r="E8300"/>
      <c r="F8300"/>
      <c r="H8300"/>
    </row>
    <row r="8301" spans="1:8" ht="15">
      <c r="A8301"/>
      <c r="B8301"/>
      <c r="D8301"/>
      <c r="E8301"/>
      <c r="F8301"/>
      <c r="H8301"/>
    </row>
    <row r="8302" spans="1:8" ht="15">
      <c r="A8302"/>
      <c r="B8302"/>
      <c r="D8302"/>
      <c r="E8302"/>
      <c r="F8302"/>
      <c r="H8302"/>
    </row>
    <row r="8303" spans="1:8" ht="15">
      <c r="A8303"/>
      <c r="B8303"/>
      <c r="D8303"/>
      <c r="E8303"/>
      <c r="F8303"/>
      <c r="H8303"/>
    </row>
    <row r="8304" spans="1:8" ht="15">
      <c r="A8304"/>
      <c r="B8304"/>
      <c r="D8304"/>
      <c r="E8304"/>
      <c r="F8304"/>
      <c r="H8304"/>
    </row>
    <row r="8305" spans="1:8" ht="15">
      <c r="A8305"/>
      <c r="B8305"/>
      <c r="D8305"/>
      <c r="E8305"/>
      <c r="F8305"/>
      <c r="H8305"/>
    </row>
    <row r="8306" spans="1:8" ht="15">
      <c r="A8306"/>
      <c r="B8306"/>
      <c r="D8306"/>
      <c r="E8306"/>
      <c r="F8306"/>
      <c r="H8306"/>
    </row>
    <row r="8307" spans="1:8" ht="15">
      <c r="A8307"/>
      <c r="B8307"/>
      <c r="D8307"/>
      <c r="E8307"/>
      <c r="F8307"/>
      <c r="H8307"/>
    </row>
    <row r="8308" spans="1:8" ht="15">
      <c r="A8308"/>
      <c r="B8308"/>
      <c r="D8308"/>
      <c r="E8308"/>
      <c r="F8308"/>
      <c r="H8308"/>
    </row>
    <row r="8309" spans="1:8" ht="15">
      <c r="A8309"/>
      <c r="B8309"/>
      <c r="D8309"/>
      <c r="E8309"/>
      <c r="F8309"/>
      <c r="H8309"/>
    </row>
    <row r="8310" spans="1:8" ht="15">
      <c r="A8310"/>
      <c r="B8310"/>
      <c r="D8310"/>
      <c r="E8310"/>
      <c r="F8310"/>
      <c r="H8310"/>
    </row>
    <row r="8311" spans="1:8" ht="15">
      <c r="A8311"/>
      <c r="B8311"/>
      <c r="D8311"/>
      <c r="E8311"/>
      <c r="F8311"/>
      <c r="H8311"/>
    </row>
    <row r="8312" spans="1:8" ht="15">
      <c r="A8312"/>
      <c r="B8312"/>
      <c r="D8312"/>
      <c r="E8312"/>
      <c r="F8312"/>
      <c r="H8312"/>
    </row>
    <row r="8313" spans="1:8" ht="15">
      <c r="A8313"/>
      <c r="B8313"/>
      <c r="D8313"/>
      <c r="E8313"/>
      <c r="F8313"/>
      <c r="H8313"/>
    </row>
    <row r="8314" spans="1:8" ht="15">
      <c r="A8314"/>
      <c r="B8314"/>
      <c r="D8314"/>
      <c r="E8314"/>
      <c r="F8314"/>
      <c r="H8314"/>
    </row>
    <row r="8315" spans="1:8" ht="15">
      <c r="A8315"/>
      <c r="B8315"/>
      <c r="D8315"/>
      <c r="E8315"/>
      <c r="F8315"/>
      <c r="H8315"/>
    </row>
    <row r="8316" spans="1:8" ht="15">
      <c r="A8316"/>
      <c r="B8316"/>
      <c r="D8316"/>
      <c r="E8316"/>
      <c r="F8316"/>
      <c r="H8316"/>
    </row>
    <row r="8317" spans="1:8" ht="15">
      <c r="A8317"/>
      <c r="B8317"/>
      <c r="D8317"/>
      <c r="E8317"/>
      <c r="F8317"/>
      <c r="H8317"/>
    </row>
    <row r="8318" spans="1:8" ht="15">
      <c r="A8318"/>
      <c r="B8318"/>
      <c r="D8318"/>
      <c r="E8318"/>
      <c r="F8318"/>
      <c r="H8318"/>
    </row>
    <row r="8319" spans="1:8" ht="15">
      <c r="A8319"/>
      <c r="B8319"/>
      <c r="D8319"/>
      <c r="E8319"/>
      <c r="F8319"/>
      <c r="H8319"/>
    </row>
    <row r="8320" spans="1:8" ht="15">
      <c r="A8320"/>
      <c r="B8320"/>
      <c r="D8320"/>
      <c r="E8320"/>
      <c r="F8320"/>
      <c r="H8320"/>
    </row>
    <row r="8321" spans="1:8" ht="15">
      <c r="A8321"/>
      <c r="B8321"/>
      <c r="D8321"/>
      <c r="E8321"/>
      <c r="F8321"/>
      <c r="H8321"/>
    </row>
    <row r="8322" spans="1:8" ht="15">
      <c r="A8322"/>
      <c r="B8322"/>
      <c r="D8322"/>
      <c r="E8322"/>
      <c r="F8322"/>
      <c r="H8322"/>
    </row>
    <row r="8323" spans="1:8" ht="15">
      <c r="A8323"/>
      <c r="B8323"/>
      <c r="D8323"/>
      <c r="E8323"/>
      <c r="F8323"/>
      <c r="H8323"/>
    </row>
    <row r="8324" spans="1:8" ht="15">
      <c r="A8324"/>
      <c r="B8324"/>
      <c r="D8324"/>
      <c r="E8324"/>
      <c r="F8324"/>
      <c r="H8324"/>
    </row>
    <row r="8325" spans="1:8" ht="15">
      <c r="A8325"/>
      <c r="B8325"/>
      <c r="D8325"/>
      <c r="E8325"/>
      <c r="F8325"/>
      <c r="H8325"/>
    </row>
    <row r="8326" spans="1:8" ht="15">
      <c r="A8326"/>
      <c r="B8326"/>
      <c r="D8326"/>
      <c r="E8326"/>
      <c r="F8326"/>
      <c r="H8326"/>
    </row>
    <row r="8327" spans="1:8" ht="15">
      <c r="A8327"/>
      <c r="B8327"/>
      <c r="D8327"/>
      <c r="E8327"/>
      <c r="F8327"/>
      <c r="H8327"/>
    </row>
    <row r="8328" spans="1:8" ht="15">
      <c r="A8328"/>
      <c r="B8328"/>
      <c r="D8328"/>
      <c r="E8328"/>
      <c r="F8328"/>
      <c r="H8328"/>
    </row>
    <row r="8329" spans="1:8" ht="15">
      <c r="A8329"/>
      <c r="B8329"/>
      <c r="D8329"/>
      <c r="E8329"/>
      <c r="F8329"/>
      <c r="H8329"/>
    </row>
    <row r="8330" spans="1:8" ht="15">
      <c r="A8330"/>
      <c r="B8330"/>
      <c r="D8330"/>
      <c r="E8330"/>
      <c r="F8330"/>
      <c r="H8330"/>
    </row>
    <row r="8331" spans="1:8" ht="15">
      <c r="A8331"/>
      <c r="B8331"/>
      <c r="D8331"/>
      <c r="E8331"/>
      <c r="F8331"/>
      <c r="H8331"/>
    </row>
    <row r="8332" spans="1:8" ht="15">
      <c r="A8332"/>
      <c r="B8332"/>
      <c r="D8332"/>
      <c r="E8332"/>
      <c r="F8332"/>
      <c r="H8332"/>
    </row>
    <row r="8333" spans="1:8" ht="15">
      <c r="A8333"/>
      <c r="B8333"/>
      <c r="D8333"/>
      <c r="E8333"/>
      <c r="F8333"/>
      <c r="H8333"/>
    </row>
    <row r="8334" spans="1:8" ht="15">
      <c r="A8334"/>
      <c r="B8334"/>
      <c r="D8334"/>
      <c r="E8334"/>
      <c r="F8334"/>
      <c r="H8334"/>
    </row>
    <row r="8335" spans="1:8" ht="15">
      <c r="A8335"/>
      <c r="B8335"/>
      <c r="D8335"/>
      <c r="E8335"/>
      <c r="F8335"/>
      <c r="H8335"/>
    </row>
    <row r="8336" spans="1:8" ht="15">
      <c r="A8336"/>
      <c r="B8336"/>
      <c r="D8336"/>
      <c r="E8336"/>
      <c r="F8336"/>
      <c r="H8336"/>
    </row>
    <row r="8337" spans="1:8" ht="15">
      <c r="A8337"/>
      <c r="B8337"/>
      <c r="D8337"/>
      <c r="E8337"/>
      <c r="F8337"/>
      <c r="H8337"/>
    </row>
    <row r="8338" spans="1:8" ht="15">
      <c r="A8338"/>
      <c r="B8338"/>
      <c r="D8338"/>
      <c r="E8338"/>
      <c r="F8338"/>
      <c r="H8338"/>
    </row>
    <row r="8339" spans="1:8" ht="15">
      <c r="A8339"/>
      <c r="B8339"/>
      <c r="D8339"/>
      <c r="E8339"/>
      <c r="F8339"/>
      <c r="H8339"/>
    </row>
    <row r="8340" spans="1:8" ht="15">
      <c r="A8340"/>
      <c r="B8340"/>
      <c r="D8340"/>
      <c r="E8340"/>
      <c r="F8340"/>
      <c r="H8340"/>
    </row>
    <row r="8341" spans="1:8" ht="15">
      <c r="A8341"/>
      <c r="B8341"/>
      <c r="D8341"/>
      <c r="E8341"/>
      <c r="F8341"/>
      <c r="H8341"/>
    </row>
    <row r="8342" spans="1:8" ht="15">
      <c r="A8342"/>
      <c r="B8342"/>
      <c r="D8342"/>
      <c r="E8342"/>
      <c r="F8342"/>
      <c r="H8342"/>
    </row>
    <row r="8343" spans="1:8" ht="15">
      <c r="A8343"/>
      <c r="B8343"/>
      <c r="D8343"/>
      <c r="E8343"/>
      <c r="F8343"/>
      <c r="H8343"/>
    </row>
    <row r="8344" spans="1:8" ht="15">
      <c r="A8344"/>
      <c r="B8344"/>
      <c r="D8344"/>
      <c r="E8344"/>
      <c r="F8344"/>
      <c r="H8344"/>
    </row>
    <row r="8345" spans="1:8" ht="15">
      <c r="A8345"/>
      <c r="B8345"/>
      <c r="D8345"/>
      <c r="E8345"/>
      <c r="F8345"/>
      <c r="H8345"/>
    </row>
    <row r="8346" spans="1:8" ht="15">
      <c r="A8346"/>
      <c r="B8346"/>
      <c r="D8346"/>
      <c r="E8346"/>
      <c r="F8346"/>
      <c r="H8346"/>
    </row>
    <row r="8347" spans="1:8" ht="15">
      <c r="A8347"/>
      <c r="B8347"/>
      <c r="D8347"/>
      <c r="E8347"/>
      <c r="F8347"/>
      <c r="H8347"/>
    </row>
    <row r="8348" spans="1:8" ht="15">
      <c r="A8348"/>
      <c r="B8348"/>
      <c r="D8348"/>
      <c r="E8348"/>
      <c r="F8348"/>
      <c r="H8348"/>
    </row>
    <row r="8349" spans="1:8" ht="15">
      <c r="A8349"/>
      <c r="B8349"/>
      <c r="D8349"/>
      <c r="E8349"/>
      <c r="F8349"/>
      <c r="H8349"/>
    </row>
    <row r="8350" spans="1:8" ht="15">
      <c r="A8350"/>
      <c r="B8350"/>
      <c r="D8350"/>
      <c r="E8350"/>
      <c r="F8350"/>
      <c r="H8350"/>
    </row>
    <row r="8351" spans="1:8" ht="15">
      <c r="A8351"/>
      <c r="B8351"/>
      <c r="D8351"/>
      <c r="E8351"/>
      <c r="F8351"/>
      <c r="H8351"/>
    </row>
    <row r="8352" spans="1:8" ht="15">
      <c r="A8352"/>
      <c r="B8352"/>
      <c r="D8352"/>
      <c r="E8352"/>
      <c r="F8352"/>
      <c r="H8352"/>
    </row>
    <row r="8353" spans="1:8" ht="15">
      <c r="A8353"/>
      <c r="B8353"/>
      <c r="D8353"/>
      <c r="E8353"/>
      <c r="F8353"/>
      <c r="H8353"/>
    </row>
    <row r="8354" spans="1:8" ht="15">
      <c r="A8354"/>
      <c r="B8354"/>
      <c r="D8354"/>
      <c r="E8354"/>
      <c r="F8354"/>
      <c r="H8354"/>
    </row>
    <row r="8355" spans="1:8" ht="15">
      <c r="A8355"/>
      <c r="B8355"/>
      <c r="D8355"/>
      <c r="E8355"/>
      <c r="F8355"/>
      <c r="H8355"/>
    </row>
    <row r="8356" spans="1:8" ht="15">
      <c r="A8356"/>
      <c r="B8356"/>
      <c r="D8356"/>
      <c r="E8356"/>
      <c r="F8356"/>
      <c r="H8356"/>
    </row>
    <row r="8357" spans="1:8" ht="15">
      <c r="A8357"/>
      <c r="B8357"/>
      <c r="D8357"/>
      <c r="E8357"/>
      <c r="F8357"/>
      <c r="H8357"/>
    </row>
    <row r="8358" spans="1:8" ht="15">
      <c r="A8358"/>
      <c r="B8358"/>
      <c r="D8358"/>
      <c r="E8358"/>
      <c r="F8358"/>
      <c r="H8358"/>
    </row>
    <row r="8359" spans="1:8" ht="15">
      <c r="A8359"/>
      <c r="B8359"/>
      <c r="D8359"/>
      <c r="E8359"/>
      <c r="F8359"/>
      <c r="H8359"/>
    </row>
    <row r="8360" spans="1:8" ht="15">
      <c r="A8360"/>
      <c r="B8360"/>
      <c r="D8360"/>
      <c r="E8360"/>
      <c r="F8360"/>
      <c r="H8360"/>
    </row>
    <row r="8361" spans="1:8" ht="15">
      <c r="A8361"/>
      <c r="B8361"/>
      <c r="D8361"/>
      <c r="E8361"/>
      <c r="F8361"/>
      <c r="H8361"/>
    </row>
    <row r="8362" spans="1:8" ht="15">
      <c r="A8362"/>
      <c r="B8362"/>
      <c r="D8362"/>
      <c r="E8362"/>
      <c r="F8362"/>
      <c r="H8362"/>
    </row>
    <row r="8363" spans="1:8" ht="15">
      <c r="A8363"/>
      <c r="B8363"/>
      <c r="D8363"/>
      <c r="E8363"/>
      <c r="F8363"/>
      <c r="H8363"/>
    </row>
    <row r="8364" spans="1:8" ht="15">
      <c r="A8364"/>
      <c r="B8364"/>
      <c r="D8364"/>
      <c r="E8364"/>
      <c r="F8364"/>
      <c r="H8364"/>
    </row>
    <row r="8365" spans="1:8" ht="15">
      <c r="A8365"/>
      <c r="B8365"/>
      <c r="D8365"/>
      <c r="E8365"/>
      <c r="F8365"/>
      <c r="H8365"/>
    </row>
    <row r="8366" spans="1:8" ht="15">
      <c r="A8366"/>
      <c r="B8366"/>
      <c r="D8366"/>
      <c r="E8366"/>
      <c r="F8366"/>
      <c r="H8366"/>
    </row>
    <row r="8367" spans="1:8" ht="15">
      <c r="A8367"/>
      <c r="B8367"/>
      <c r="D8367"/>
      <c r="E8367"/>
      <c r="F8367"/>
      <c r="H8367"/>
    </row>
    <row r="8368" spans="1:8" ht="15">
      <c r="A8368"/>
      <c r="B8368"/>
      <c r="D8368"/>
      <c r="E8368"/>
      <c r="F8368"/>
      <c r="H8368"/>
    </row>
    <row r="8369" spans="1:8" ht="15">
      <c r="A8369"/>
      <c r="B8369"/>
      <c r="D8369"/>
      <c r="E8369"/>
      <c r="F8369"/>
      <c r="H8369"/>
    </row>
    <row r="8370" spans="1:8" ht="15">
      <c r="A8370"/>
      <c r="B8370"/>
      <c r="D8370"/>
      <c r="E8370"/>
      <c r="F8370"/>
      <c r="H8370"/>
    </row>
    <row r="8371" spans="1:8" ht="15">
      <c r="A8371"/>
      <c r="B8371"/>
      <c r="D8371"/>
      <c r="E8371"/>
      <c r="F8371"/>
      <c r="H8371"/>
    </row>
    <row r="8372" spans="1:8" ht="15">
      <c r="A8372"/>
      <c r="B8372"/>
      <c r="D8372"/>
      <c r="E8372"/>
      <c r="F8372"/>
      <c r="H8372"/>
    </row>
    <row r="8373" spans="1:8" ht="15">
      <c r="A8373"/>
      <c r="B8373"/>
      <c r="D8373"/>
      <c r="E8373"/>
      <c r="F8373"/>
      <c r="H8373"/>
    </row>
    <row r="8374" spans="1:8" ht="15">
      <c r="A8374"/>
      <c r="B8374"/>
      <c r="D8374"/>
      <c r="E8374"/>
      <c r="F8374"/>
      <c r="H8374"/>
    </row>
    <row r="8375" spans="1:8" ht="15">
      <c r="A8375"/>
      <c r="B8375"/>
      <c r="D8375"/>
      <c r="E8375"/>
      <c r="F8375"/>
      <c r="H8375"/>
    </row>
    <row r="8376" spans="1:8" ht="15">
      <c r="A8376"/>
      <c r="B8376"/>
      <c r="D8376"/>
      <c r="E8376"/>
      <c r="F8376"/>
      <c r="H8376"/>
    </row>
    <row r="8377" spans="1:8" ht="15">
      <c r="A8377"/>
      <c r="B8377"/>
      <c r="D8377"/>
      <c r="E8377"/>
      <c r="F8377"/>
      <c r="H8377"/>
    </row>
    <row r="8378" spans="1:8" ht="15">
      <c r="A8378"/>
      <c r="B8378"/>
      <c r="D8378"/>
      <c r="E8378"/>
      <c r="F8378"/>
      <c r="H8378"/>
    </row>
    <row r="8379" spans="1:8" ht="15">
      <c r="A8379"/>
      <c r="B8379"/>
      <c r="D8379"/>
      <c r="E8379"/>
      <c r="F8379"/>
      <c r="H8379"/>
    </row>
    <row r="8380" spans="1:8" ht="15">
      <c r="A8380"/>
      <c r="B8380"/>
      <c r="D8380"/>
      <c r="E8380"/>
      <c r="F8380"/>
      <c r="H8380"/>
    </row>
    <row r="8381" spans="1:8" ht="15">
      <c r="A8381"/>
      <c r="B8381"/>
      <c r="D8381"/>
      <c r="E8381"/>
      <c r="F8381"/>
      <c r="H8381"/>
    </row>
    <row r="8382" spans="1:8" ht="15">
      <c r="A8382"/>
      <c r="B8382"/>
      <c r="D8382"/>
      <c r="E8382"/>
      <c r="F8382"/>
      <c r="H8382"/>
    </row>
    <row r="8383" spans="1:8" ht="15">
      <c r="A8383"/>
      <c r="B8383"/>
      <c r="D8383"/>
      <c r="E8383"/>
      <c r="F8383"/>
      <c r="H8383"/>
    </row>
    <row r="8384" spans="1:8" ht="15">
      <c r="A8384"/>
      <c r="B8384"/>
      <c r="D8384"/>
      <c r="E8384"/>
      <c r="F8384"/>
      <c r="H8384"/>
    </row>
    <row r="8385" spans="1:8" ht="15">
      <c r="A8385"/>
      <c r="B8385"/>
      <c r="D8385"/>
      <c r="E8385"/>
      <c r="F8385"/>
      <c r="H8385"/>
    </row>
    <row r="8386" spans="1:8" ht="15">
      <c r="A8386"/>
      <c r="B8386"/>
      <c r="D8386"/>
      <c r="E8386"/>
      <c r="F8386"/>
      <c r="H8386"/>
    </row>
    <row r="8387" spans="1:8" ht="15">
      <c r="A8387"/>
      <c r="B8387"/>
      <c r="D8387"/>
      <c r="E8387"/>
      <c r="F8387"/>
      <c r="H8387"/>
    </row>
    <row r="8388" spans="1:8" ht="15">
      <c r="A8388"/>
      <c r="B8388"/>
      <c r="D8388"/>
      <c r="E8388"/>
      <c r="F8388"/>
      <c r="H8388"/>
    </row>
    <row r="8389" spans="1:8" ht="15">
      <c r="A8389"/>
      <c r="B8389"/>
      <c r="D8389"/>
      <c r="E8389"/>
      <c r="F8389"/>
      <c r="H8389"/>
    </row>
    <row r="8390" spans="1:8" ht="15">
      <c r="A8390"/>
      <c r="B8390"/>
      <c r="D8390"/>
      <c r="E8390"/>
      <c r="F8390"/>
      <c r="H8390"/>
    </row>
    <row r="8391" spans="1:8" ht="15">
      <c r="A8391"/>
      <c r="B8391"/>
      <c r="D8391"/>
      <c r="E8391"/>
      <c r="F8391"/>
      <c r="H8391"/>
    </row>
    <row r="8392" spans="1:8" ht="15">
      <c r="A8392"/>
      <c r="B8392"/>
      <c r="D8392"/>
      <c r="E8392"/>
      <c r="F8392"/>
      <c r="H8392"/>
    </row>
    <row r="8393" spans="1:8" ht="15">
      <c r="A8393"/>
      <c r="B8393"/>
      <c r="D8393"/>
      <c r="E8393"/>
      <c r="F8393"/>
      <c r="H8393"/>
    </row>
    <row r="8394" spans="1:8" ht="15">
      <c r="A8394"/>
      <c r="B8394"/>
      <c r="D8394"/>
      <c r="E8394"/>
      <c r="F8394"/>
      <c r="H8394"/>
    </row>
    <row r="8395" spans="1:8" ht="15">
      <c r="A8395"/>
      <c r="B8395"/>
      <c r="D8395"/>
      <c r="E8395"/>
      <c r="F8395"/>
      <c r="H8395"/>
    </row>
    <row r="8396" spans="1:8" ht="15">
      <c r="A8396"/>
      <c r="B8396"/>
      <c r="D8396"/>
      <c r="E8396"/>
      <c r="F8396"/>
      <c r="H8396"/>
    </row>
    <row r="8397" spans="1:8" ht="15">
      <c r="A8397"/>
      <c r="B8397"/>
      <c r="D8397"/>
      <c r="E8397"/>
      <c r="F8397"/>
      <c r="H8397"/>
    </row>
    <row r="8398" spans="1:8" ht="15">
      <c r="A8398"/>
      <c r="B8398"/>
      <c r="D8398"/>
      <c r="E8398"/>
      <c r="F8398"/>
      <c r="H8398"/>
    </row>
    <row r="8399" spans="1:8" ht="15">
      <c r="A8399"/>
      <c r="B8399"/>
      <c r="D8399"/>
      <c r="E8399"/>
      <c r="F8399"/>
      <c r="H8399"/>
    </row>
    <row r="8400" spans="1:8" ht="15">
      <c r="A8400"/>
      <c r="B8400"/>
      <c r="D8400"/>
      <c r="E8400"/>
      <c r="F8400"/>
      <c r="H8400"/>
    </row>
    <row r="8401" spans="1:8" ht="15">
      <c r="A8401"/>
      <c r="B8401"/>
      <c r="D8401"/>
      <c r="E8401"/>
      <c r="F8401"/>
      <c r="H8401"/>
    </row>
    <row r="8402" spans="1:8" ht="15">
      <c r="A8402"/>
      <c r="B8402"/>
      <c r="D8402"/>
      <c r="E8402"/>
      <c r="F8402"/>
      <c r="H8402"/>
    </row>
    <row r="8403" spans="1:8" ht="15">
      <c r="A8403"/>
      <c r="B8403"/>
      <c r="D8403"/>
      <c r="E8403"/>
      <c r="F8403"/>
      <c r="H8403"/>
    </row>
    <row r="8404" spans="1:8" ht="15">
      <c r="A8404"/>
      <c r="B8404"/>
      <c r="D8404"/>
      <c r="E8404"/>
      <c r="F8404"/>
      <c r="H8404"/>
    </row>
    <row r="8405" spans="1:8" ht="15">
      <c r="A8405"/>
      <c r="B8405"/>
      <c r="D8405"/>
      <c r="E8405"/>
      <c r="F8405"/>
      <c r="H8405"/>
    </row>
    <row r="8406" spans="1:8" ht="15">
      <c r="A8406"/>
      <c r="B8406"/>
      <c r="D8406"/>
      <c r="E8406"/>
      <c r="F8406"/>
      <c r="H8406"/>
    </row>
    <row r="8407" spans="1:8" ht="15">
      <c r="A8407"/>
      <c r="B8407"/>
      <c r="D8407"/>
      <c r="E8407"/>
      <c r="F8407"/>
      <c r="H8407"/>
    </row>
    <row r="8408" spans="1:8" ht="15">
      <c r="A8408"/>
      <c r="B8408"/>
      <c r="D8408"/>
      <c r="E8408"/>
      <c r="F8408"/>
      <c r="H8408"/>
    </row>
    <row r="8409" spans="1:8" ht="15">
      <c r="A8409"/>
      <c r="B8409"/>
      <c r="D8409"/>
      <c r="E8409"/>
      <c r="F8409"/>
      <c r="H8409"/>
    </row>
    <row r="8410" spans="1:8" ht="15">
      <c r="A8410"/>
      <c r="B8410"/>
      <c r="D8410"/>
      <c r="E8410"/>
      <c r="F8410"/>
      <c r="H8410"/>
    </row>
    <row r="8411" spans="1:8" ht="15">
      <c r="A8411"/>
      <c r="B8411"/>
      <c r="D8411"/>
      <c r="E8411"/>
      <c r="F8411"/>
      <c r="H8411"/>
    </row>
    <row r="8412" spans="1:8" ht="15">
      <c r="A8412"/>
      <c r="B8412"/>
      <c r="D8412"/>
      <c r="E8412"/>
      <c r="F8412"/>
      <c r="H8412"/>
    </row>
    <row r="8413" spans="1:8" ht="15">
      <c r="A8413"/>
      <c r="B8413"/>
      <c r="D8413"/>
      <c r="E8413"/>
      <c r="F8413"/>
      <c r="H8413"/>
    </row>
    <row r="8414" spans="1:8" ht="15">
      <c r="A8414"/>
      <c r="B8414"/>
      <c r="D8414"/>
      <c r="E8414"/>
      <c r="F8414"/>
      <c r="H8414"/>
    </row>
    <row r="8415" spans="1:8" ht="15">
      <c r="A8415"/>
      <c r="B8415"/>
      <c r="D8415"/>
      <c r="E8415"/>
      <c r="F8415"/>
      <c r="H8415"/>
    </row>
    <row r="8416" spans="1:8" ht="15">
      <c r="A8416"/>
      <c r="B8416"/>
      <c r="D8416"/>
      <c r="E8416"/>
      <c r="F8416"/>
      <c r="H8416"/>
    </row>
    <row r="8417" spans="1:8" ht="15">
      <c r="A8417"/>
      <c r="B8417"/>
      <c r="D8417"/>
      <c r="E8417"/>
      <c r="F8417"/>
      <c r="H8417"/>
    </row>
    <row r="8418" spans="1:8" ht="15">
      <c r="A8418"/>
      <c r="B8418"/>
      <c r="D8418"/>
      <c r="E8418"/>
      <c r="F8418"/>
      <c r="H8418"/>
    </row>
    <row r="8419" spans="1:8" ht="15">
      <c r="A8419"/>
      <c r="B8419"/>
      <c r="D8419"/>
      <c r="E8419"/>
      <c r="F8419"/>
      <c r="H8419"/>
    </row>
    <row r="8420" spans="1:8" ht="15">
      <c r="A8420"/>
      <c r="B8420"/>
      <c r="D8420"/>
      <c r="E8420"/>
      <c r="F8420"/>
      <c r="H8420"/>
    </row>
    <row r="8421" spans="1:8" ht="15">
      <c r="A8421"/>
      <c r="B8421"/>
      <c r="D8421"/>
      <c r="E8421"/>
      <c r="F8421"/>
      <c r="H8421"/>
    </row>
    <row r="8422" spans="1:8" ht="15">
      <c r="A8422"/>
      <c r="B8422"/>
      <c r="D8422"/>
      <c r="E8422"/>
      <c r="F8422"/>
      <c r="H8422"/>
    </row>
    <row r="8423" spans="1:8" ht="15">
      <c r="A8423"/>
      <c r="B8423"/>
      <c r="D8423"/>
      <c r="E8423"/>
      <c r="F8423"/>
      <c r="H8423"/>
    </row>
    <row r="8424" spans="1:8" ht="15">
      <c r="A8424"/>
      <c r="B8424"/>
      <c r="D8424"/>
      <c r="E8424"/>
      <c r="F8424"/>
      <c r="H8424"/>
    </row>
    <row r="8425" spans="1:8" ht="15">
      <c r="A8425"/>
      <c r="B8425"/>
      <c r="D8425"/>
      <c r="E8425"/>
      <c r="F8425"/>
      <c r="H8425"/>
    </row>
    <row r="8426" spans="1:8" ht="15">
      <c r="A8426"/>
      <c r="B8426"/>
      <c r="D8426"/>
      <c r="E8426"/>
      <c r="F8426"/>
      <c r="H8426"/>
    </row>
    <row r="8427" spans="1:8" ht="15">
      <c r="A8427"/>
      <c r="B8427"/>
      <c r="D8427"/>
      <c r="E8427"/>
      <c r="F8427"/>
      <c r="H8427"/>
    </row>
    <row r="8428" spans="1:8" ht="15">
      <c r="A8428"/>
      <c r="B8428"/>
      <c r="D8428"/>
      <c r="E8428"/>
      <c r="F8428"/>
      <c r="H8428"/>
    </row>
    <row r="8429" spans="1:8" ht="15">
      <c r="A8429"/>
      <c r="B8429"/>
      <c r="D8429"/>
      <c r="E8429"/>
      <c r="F8429"/>
      <c r="H8429"/>
    </row>
    <row r="8430" spans="1:8" ht="15">
      <c r="A8430"/>
      <c r="B8430"/>
      <c r="D8430"/>
      <c r="E8430"/>
      <c r="F8430"/>
      <c r="H8430"/>
    </row>
    <row r="8431" spans="1:8" ht="15">
      <c r="A8431"/>
      <c r="B8431"/>
      <c r="D8431"/>
      <c r="E8431"/>
      <c r="F8431"/>
      <c r="H8431"/>
    </row>
    <row r="8432" spans="1:8" ht="15">
      <c r="A8432"/>
      <c r="B8432"/>
      <c r="D8432"/>
      <c r="E8432"/>
      <c r="F8432"/>
      <c r="H8432"/>
    </row>
    <row r="8433" spans="1:8" ht="15">
      <c r="A8433"/>
      <c r="B8433"/>
      <c r="D8433"/>
      <c r="E8433"/>
      <c r="F8433"/>
      <c r="H8433"/>
    </row>
    <row r="8434" spans="1:8" ht="15">
      <c r="A8434"/>
      <c r="B8434"/>
      <c r="D8434"/>
      <c r="E8434"/>
      <c r="F8434"/>
      <c r="H8434"/>
    </row>
    <row r="8435" spans="1:8" ht="15">
      <c r="A8435"/>
      <c r="B8435"/>
      <c r="D8435"/>
      <c r="E8435"/>
      <c r="F8435"/>
      <c r="H8435"/>
    </row>
    <row r="8436" spans="1:8" ht="15">
      <c r="A8436"/>
      <c r="B8436"/>
      <c r="D8436"/>
      <c r="E8436"/>
      <c r="F8436"/>
      <c r="H8436"/>
    </row>
    <row r="8437" spans="1:8" ht="15">
      <c r="A8437"/>
      <c r="B8437"/>
      <c r="D8437"/>
      <c r="E8437"/>
      <c r="F8437"/>
      <c r="H8437"/>
    </row>
    <row r="8438" spans="1:8" ht="15">
      <c r="A8438"/>
      <c r="B8438"/>
      <c r="D8438"/>
      <c r="E8438"/>
      <c r="F8438"/>
      <c r="H8438"/>
    </row>
    <row r="8439" spans="1:8" ht="15">
      <c r="A8439"/>
      <c r="B8439"/>
      <c r="D8439"/>
      <c r="E8439"/>
      <c r="F8439"/>
      <c r="H8439"/>
    </row>
    <row r="8440" spans="1:8" ht="15">
      <c r="A8440"/>
      <c r="B8440"/>
      <c r="D8440"/>
      <c r="E8440"/>
      <c r="F8440"/>
      <c r="H8440"/>
    </row>
    <row r="8441" spans="1:8" ht="15">
      <c r="A8441"/>
      <c r="B8441"/>
      <c r="D8441"/>
      <c r="E8441"/>
      <c r="F8441"/>
      <c r="H8441"/>
    </row>
    <row r="8442" spans="1:8" ht="15">
      <c r="A8442"/>
      <c r="B8442"/>
      <c r="D8442"/>
      <c r="E8442"/>
      <c r="F8442"/>
      <c r="H8442"/>
    </row>
    <row r="8443" spans="1:8" ht="15">
      <c r="A8443"/>
      <c r="B8443"/>
      <c r="D8443"/>
      <c r="E8443"/>
      <c r="F8443"/>
      <c r="H8443"/>
    </row>
    <row r="8444" spans="1:8" ht="15">
      <c r="A8444"/>
      <c r="B8444"/>
      <c r="D8444"/>
      <c r="E8444"/>
      <c r="F8444"/>
      <c r="H8444"/>
    </row>
    <row r="8445" spans="1:8" ht="15">
      <c r="A8445"/>
      <c r="B8445"/>
      <c r="D8445"/>
      <c r="E8445"/>
      <c r="F8445"/>
      <c r="H8445"/>
    </row>
    <row r="8446" spans="1:8" ht="15">
      <c r="A8446"/>
      <c r="B8446"/>
      <c r="D8446"/>
      <c r="E8446"/>
      <c r="F8446"/>
      <c r="H8446"/>
    </row>
    <row r="8447" spans="1:8" ht="15">
      <c r="A8447"/>
      <c r="B8447"/>
      <c r="D8447"/>
      <c r="E8447"/>
      <c r="F8447"/>
      <c r="H8447"/>
    </row>
    <row r="8448" spans="1:8" ht="15">
      <c r="A8448"/>
      <c r="B8448"/>
      <c r="D8448"/>
      <c r="E8448"/>
      <c r="F8448"/>
      <c r="H8448"/>
    </row>
    <row r="8449" spans="1:8" ht="15">
      <c r="A8449"/>
      <c r="B8449"/>
      <c r="D8449"/>
      <c r="E8449"/>
      <c r="F8449"/>
      <c r="H8449"/>
    </row>
    <row r="8450" spans="1:8" ht="15">
      <c r="A8450"/>
      <c r="B8450"/>
      <c r="D8450"/>
      <c r="E8450"/>
      <c r="F8450"/>
      <c r="H8450"/>
    </row>
    <row r="8451" spans="1:8" ht="15">
      <c r="A8451"/>
      <c r="B8451"/>
      <c r="D8451"/>
      <c r="E8451"/>
      <c r="F8451"/>
      <c r="H8451"/>
    </row>
    <row r="8452" spans="1:8" ht="15">
      <c r="A8452"/>
      <c r="B8452"/>
      <c r="D8452"/>
      <c r="E8452"/>
      <c r="F8452"/>
      <c r="H8452"/>
    </row>
    <row r="8453" spans="1:8" ht="15">
      <c r="A8453"/>
      <c r="B8453"/>
      <c r="D8453"/>
      <c r="E8453"/>
      <c r="F8453"/>
      <c r="H8453"/>
    </row>
    <row r="8454" spans="1:8" ht="15">
      <c r="A8454"/>
      <c r="B8454"/>
      <c r="D8454"/>
      <c r="E8454"/>
      <c r="F8454"/>
      <c r="H8454"/>
    </row>
    <row r="8455" spans="1:8" ht="15">
      <c r="A8455"/>
      <c r="B8455"/>
      <c r="D8455"/>
      <c r="E8455"/>
      <c r="F8455"/>
      <c r="H8455"/>
    </row>
    <row r="8456" spans="1:8" ht="15">
      <c r="A8456"/>
      <c r="B8456"/>
      <c r="D8456"/>
      <c r="E8456"/>
      <c r="F8456"/>
      <c r="H8456"/>
    </row>
    <row r="8457" spans="1:8" ht="15">
      <c r="A8457"/>
      <c r="B8457"/>
      <c r="D8457"/>
      <c r="E8457"/>
      <c r="F8457"/>
      <c r="H8457"/>
    </row>
    <row r="8458" spans="1:8" ht="15">
      <c r="A8458"/>
      <c r="B8458"/>
      <c r="D8458"/>
      <c r="E8458"/>
      <c r="F8458"/>
      <c r="H8458"/>
    </row>
    <row r="8459" spans="1:8" ht="15">
      <c r="A8459"/>
      <c r="B8459"/>
      <c r="D8459"/>
      <c r="E8459"/>
      <c r="F8459"/>
      <c r="H8459"/>
    </row>
    <row r="8460" spans="1:8" ht="15">
      <c r="A8460"/>
      <c r="B8460"/>
      <c r="D8460"/>
      <c r="E8460"/>
      <c r="F8460"/>
      <c r="H8460"/>
    </row>
    <row r="8461" spans="1:8" ht="15">
      <c r="A8461"/>
      <c r="B8461"/>
      <c r="D8461"/>
      <c r="E8461"/>
      <c r="F8461"/>
      <c r="H8461"/>
    </row>
    <row r="8462" spans="1:8" ht="15">
      <c r="A8462"/>
      <c r="B8462"/>
      <c r="D8462"/>
      <c r="E8462"/>
      <c r="F8462"/>
      <c r="H8462"/>
    </row>
    <row r="8463" spans="1:8" ht="15">
      <c r="A8463"/>
      <c r="B8463"/>
      <c r="D8463"/>
      <c r="E8463"/>
      <c r="F8463"/>
      <c r="H8463"/>
    </row>
    <row r="8464" spans="1:8" ht="15">
      <c r="A8464"/>
      <c r="B8464"/>
      <c r="D8464"/>
      <c r="E8464"/>
      <c r="F8464"/>
      <c r="H8464"/>
    </row>
    <row r="8465" spans="1:8" ht="15">
      <c r="A8465"/>
      <c r="B8465"/>
      <c r="D8465"/>
      <c r="E8465"/>
      <c r="F8465"/>
      <c r="H8465"/>
    </row>
    <row r="8466" spans="1:8" ht="15">
      <c r="A8466"/>
      <c r="B8466"/>
      <c r="D8466"/>
      <c r="E8466"/>
      <c r="F8466"/>
      <c r="H8466"/>
    </row>
    <row r="8467" spans="1:8" ht="15">
      <c r="A8467"/>
      <c r="B8467"/>
      <c r="D8467"/>
      <c r="E8467"/>
      <c r="F8467"/>
      <c r="H8467"/>
    </row>
    <row r="8468" spans="1:8" ht="15">
      <c r="A8468"/>
      <c r="B8468"/>
      <c r="D8468"/>
      <c r="E8468"/>
      <c r="F8468"/>
      <c r="H8468"/>
    </row>
    <row r="8469" spans="1:8" ht="15">
      <c r="A8469"/>
      <c r="B8469"/>
      <c r="D8469"/>
      <c r="E8469"/>
      <c r="F8469"/>
      <c r="H8469"/>
    </row>
    <row r="8470" spans="1:8" ht="15">
      <c r="A8470"/>
      <c r="B8470"/>
      <c r="D8470"/>
      <c r="E8470"/>
      <c r="F8470"/>
      <c r="H8470"/>
    </row>
    <row r="8471" spans="1:8" ht="15">
      <c r="A8471"/>
      <c r="B8471"/>
      <c r="D8471"/>
      <c r="E8471"/>
      <c r="F8471"/>
      <c r="H8471"/>
    </row>
    <row r="8472" spans="1:8" ht="15">
      <c r="A8472"/>
      <c r="B8472"/>
      <c r="D8472"/>
      <c r="E8472"/>
      <c r="F8472"/>
      <c r="H8472"/>
    </row>
    <row r="8473" spans="1:8" ht="15">
      <c r="A8473"/>
      <c r="B8473"/>
      <c r="D8473"/>
      <c r="E8473"/>
      <c r="F8473"/>
      <c r="H8473"/>
    </row>
    <row r="8474" spans="1:8" ht="15">
      <c r="A8474"/>
      <c r="B8474"/>
      <c r="D8474"/>
      <c r="E8474"/>
      <c r="F8474"/>
      <c r="H8474"/>
    </row>
    <row r="8475" spans="1:8" ht="15">
      <c r="A8475"/>
      <c r="B8475"/>
      <c r="D8475"/>
      <c r="E8475"/>
      <c r="F8475"/>
      <c r="H8475"/>
    </row>
    <row r="8476" spans="1:8" ht="15">
      <c r="A8476"/>
      <c r="B8476"/>
      <c r="D8476"/>
      <c r="E8476"/>
      <c r="F8476"/>
      <c r="H8476"/>
    </row>
    <row r="8477" spans="1:8" ht="15">
      <c r="A8477"/>
      <c r="B8477"/>
      <c r="D8477"/>
      <c r="E8477"/>
      <c r="F8477"/>
      <c r="H8477"/>
    </row>
    <row r="8478" spans="1:8" ht="15">
      <c r="A8478"/>
      <c r="B8478"/>
      <c r="D8478"/>
      <c r="E8478"/>
      <c r="F8478"/>
      <c r="H8478"/>
    </row>
    <row r="8479" spans="1:8" ht="15">
      <c r="A8479"/>
      <c r="B8479"/>
      <c r="D8479"/>
      <c r="E8479"/>
      <c r="F8479"/>
      <c r="H8479"/>
    </row>
    <row r="8480" spans="1:8" ht="15">
      <c r="A8480"/>
      <c r="B8480"/>
      <c r="D8480"/>
      <c r="E8480"/>
      <c r="F8480"/>
      <c r="H8480"/>
    </row>
    <row r="8481" spans="1:8" ht="15">
      <c r="A8481"/>
      <c r="B8481"/>
      <c r="D8481"/>
      <c r="E8481"/>
      <c r="F8481"/>
      <c r="H8481"/>
    </row>
    <row r="8482" spans="1:8" ht="15">
      <c r="A8482"/>
      <c r="B8482"/>
      <c r="D8482"/>
      <c r="E8482"/>
      <c r="F8482"/>
      <c r="H8482"/>
    </row>
    <row r="8483" spans="1:8" ht="15">
      <c r="A8483"/>
      <c r="B8483"/>
      <c r="D8483"/>
      <c r="E8483"/>
      <c r="F8483"/>
      <c r="H8483"/>
    </row>
    <row r="8484" spans="1:8" ht="15">
      <c r="A8484"/>
      <c r="B8484"/>
      <c r="D8484"/>
      <c r="E8484"/>
      <c r="F8484"/>
      <c r="H8484"/>
    </row>
    <row r="8485" spans="1:8" ht="15">
      <c r="A8485"/>
      <c r="B8485"/>
      <c r="D8485"/>
      <c r="E8485"/>
      <c r="F8485"/>
      <c r="H8485"/>
    </row>
    <row r="8486" spans="1:8" ht="15">
      <c r="A8486"/>
      <c r="B8486"/>
      <c r="D8486"/>
      <c r="E8486"/>
      <c r="F8486"/>
      <c r="H8486"/>
    </row>
    <row r="8487" spans="1:8" ht="15">
      <c r="A8487"/>
      <c r="B8487"/>
      <c r="D8487"/>
      <c r="E8487"/>
      <c r="F8487"/>
      <c r="H8487"/>
    </row>
    <row r="8488" spans="1:8" ht="15">
      <c r="A8488"/>
      <c r="B8488"/>
      <c r="D8488"/>
      <c r="E8488"/>
      <c r="F8488"/>
      <c r="H8488"/>
    </row>
    <row r="8489" spans="1:8" ht="15">
      <c r="A8489"/>
      <c r="B8489"/>
      <c r="D8489"/>
      <c r="E8489"/>
      <c r="F8489"/>
      <c r="H8489"/>
    </row>
    <row r="8490" spans="1:8" ht="15">
      <c r="A8490"/>
      <c r="B8490"/>
      <c r="D8490"/>
      <c r="E8490"/>
      <c r="F8490"/>
      <c r="H8490"/>
    </row>
    <row r="8491" spans="1:8" ht="15">
      <c r="A8491"/>
      <c r="B8491"/>
      <c r="D8491"/>
      <c r="E8491"/>
      <c r="F8491"/>
      <c r="H8491"/>
    </row>
    <row r="8492" spans="1:8" ht="15">
      <c r="A8492"/>
      <c r="B8492"/>
      <c r="D8492"/>
      <c r="E8492"/>
      <c r="F8492"/>
      <c r="H8492"/>
    </row>
    <row r="8493" spans="1:8" ht="15">
      <c r="A8493"/>
      <c r="B8493"/>
      <c r="D8493"/>
      <c r="E8493"/>
      <c r="F8493"/>
      <c r="H8493"/>
    </row>
    <row r="8494" spans="1:8" ht="15">
      <c r="A8494"/>
      <c r="B8494"/>
      <c r="D8494"/>
      <c r="E8494"/>
      <c r="F8494"/>
      <c r="H8494"/>
    </row>
    <row r="8495" spans="1:8" ht="15">
      <c r="A8495"/>
      <c r="B8495"/>
      <c r="D8495"/>
      <c r="E8495"/>
      <c r="F8495"/>
      <c r="H8495"/>
    </row>
    <row r="8496" spans="1:8" ht="15">
      <c r="A8496"/>
      <c r="B8496"/>
      <c r="D8496"/>
      <c r="E8496"/>
      <c r="F8496"/>
      <c r="H8496"/>
    </row>
    <row r="8497" spans="1:8" ht="15">
      <c r="A8497"/>
      <c r="B8497"/>
      <c r="D8497"/>
      <c r="E8497"/>
      <c r="F8497"/>
      <c r="H8497"/>
    </row>
    <row r="8498" spans="1:8" ht="15">
      <c r="A8498"/>
      <c r="B8498"/>
      <c r="D8498"/>
      <c r="E8498"/>
      <c r="F8498"/>
      <c r="H8498"/>
    </row>
    <row r="8499" spans="1:8" ht="15">
      <c r="A8499"/>
      <c r="B8499"/>
      <c r="D8499"/>
      <c r="E8499"/>
      <c r="F8499"/>
      <c r="H8499"/>
    </row>
    <row r="8500" spans="1:8" ht="15">
      <c r="A8500"/>
      <c r="B8500"/>
      <c r="D8500"/>
      <c r="E8500"/>
      <c r="F8500"/>
      <c r="H8500"/>
    </row>
    <row r="8501" spans="1:8" ht="15">
      <c r="A8501"/>
      <c r="B8501"/>
      <c r="D8501"/>
      <c r="E8501"/>
      <c r="F8501"/>
      <c r="H8501"/>
    </row>
    <row r="8502" spans="1:8" ht="15">
      <c r="A8502"/>
      <c r="B8502"/>
      <c r="D8502"/>
      <c r="E8502"/>
      <c r="F8502"/>
      <c r="H8502"/>
    </row>
    <row r="8503" spans="1:8" ht="15">
      <c r="A8503"/>
      <c r="B8503"/>
      <c r="D8503"/>
      <c r="E8503"/>
      <c r="F8503"/>
      <c r="H8503"/>
    </row>
    <row r="8504" spans="1:8" ht="15">
      <c r="A8504"/>
      <c r="B8504"/>
      <c r="D8504"/>
      <c r="E8504"/>
      <c r="F8504"/>
      <c r="H8504"/>
    </row>
    <row r="8505" spans="1:8" ht="15">
      <c r="A8505"/>
      <c r="B8505"/>
      <c r="D8505"/>
      <c r="E8505"/>
      <c r="F8505"/>
      <c r="H8505"/>
    </row>
    <row r="8506" spans="1:8" ht="15">
      <c r="A8506"/>
      <c r="B8506"/>
      <c r="D8506"/>
      <c r="E8506"/>
      <c r="F8506"/>
      <c r="H8506"/>
    </row>
    <row r="8507" spans="1:8" ht="15">
      <c r="A8507"/>
      <c r="B8507"/>
      <c r="D8507"/>
      <c r="E8507"/>
      <c r="F8507"/>
      <c r="H8507"/>
    </row>
    <row r="8508" spans="1:8" ht="15">
      <c r="A8508"/>
      <c r="B8508"/>
      <c r="D8508"/>
      <c r="E8508"/>
      <c r="F8508"/>
      <c r="H8508"/>
    </row>
    <row r="8509" spans="1:8" ht="15">
      <c r="A8509"/>
      <c r="B8509"/>
      <c r="D8509"/>
      <c r="E8509"/>
      <c r="F8509"/>
      <c r="H8509"/>
    </row>
    <row r="8510" spans="1:8" ht="15">
      <c r="A8510"/>
      <c r="B8510"/>
      <c r="D8510"/>
      <c r="E8510"/>
      <c r="F8510"/>
      <c r="H8510"/>
    </row>
    <row r="8511" spans="1:8" ht="15">
      <c r="A8511"/>
      <c r="B8511"/>
      <c r="D8511"/>
      <c r="E8511"/>
      <c r="F8511"/>
      <c r="H8511"/>
    </row>
    <row r="8512" spans="1:8" ht="15">
      <c r="A8512"/>
      <c r="B8512"/>
      <c r="D8512"/>
      <c r="E8512"/>
      <c r="F8512"/>
      <c r="H8512"/>
    </row>
    <row r="8513" spans="1:8" ht="15">
      <c r="A8513"/>
      <c r="B8513"/>
      <c r="D8513"/>
      <c r="E8513"/>
      <c r="F8513"/>
      <c r="H8513"/>
    </row>
    <row r="8514" spans="1:8" ht="15">
      <c r="A8514"/>
      <c r="B8514"/>
      <c r="D8514"/>
      <c r="E8514"/>
      <c r="F8514"/>
      <c r="H8514"/>
    </row>
    <row r="8515" spans="1:8" ht="15">
      <c r="A8515"/>
      <c r="B8515"/>
      <c r="D8515"/>
      <c r="E8515"/>
      <c r="F8515"/>
      <c r="H8515"/>
    </row>
    <row r="8516" spans="1:8" ht="15">
      <c r="A8516"/>
      <c r="B8516"/>
      <c r="D8516"/>
      <c r="E8516"/>
      <c r="F8516"/>
      <c r="H8516"/>
    </row>
    <row r="8517" spans="1:8" ht="15">
      <c r="A8517"/>
      <c r="B8517"/>
      <c r="D8517"/>
      <c r="E8517"/>
      <c r="F8517"/>
      <c r="H8517"/>
    </row>
    <row r="8518" spans="1:8" ht="15">
      <c r="A8518"/>
      <c r="B8518"/>
      <c r="D8518"/>
      <c r="E8518"/>
      <c r="F8518"/>
      <c r="H8518"/>
    </row>
    <row r="8519" spans="1:8" ht="15">
      <c r="A8519"/>
      <c r="B8519"/>
      <c r="D8519"/>
      <c r="E8519"/>
      <c r="F8519"/>
      <c r="H8519"/>
    </row>
    <row r="8520" spans="1:8" ht="15">
      <c r="A8520"/>
      <c r="B8520"/>
      <c r="D8520"/>
      <c r="E8520"/>
      <c r="F8520"/>
      <c r="H8520"/>
    </row>
    <row r="8521" spans="1:8" ht="15">
      <c r="A8521"/>
      <c r="B8521"/>
      <c r="D8521"/>
      <c r="E8521"/>
      <c r="F8521"/>
      <c r="H8521"/>
    </row>
    <row r="8522" spans="1:8" ht="15">
      <c r="A8522"/>
      <c r="B8522"/>
      <c r="D8522"/>
      <c r="E8522"/>
      <c r="F8522"/>
      <c r="H8522"/>
    </row>
    <row r="8523" spans="1:8" ht="15">
      <c r="A8523"/>
      <c r="B8523"/>
      <c r="D8523"/>
      <c r="E8523"/>
      <c r="F8523"/>
      <c r="H8523"/>
    </row>
    <row r="8524" spans="1:8" ht="15">
      <c r="A8524"/>
      <c r="B8524"/>
      <c r="D8524"/>
      <c r="E8524"/>
      <c r="F8524"/>
      <c r="H8524"/>
    </row>
    <row r="8525" spans="1:8" ht="15">
      <c r="A8525"/>
      <c r="B8525"/>
      <c r="D8525"/>
      <c r="E8525"/>
      <c r="F8525"/>
      <c r="H8525"/>
    </row>
    <row r="8526" spans="1:8" ht="15">
      <c r="A8526"/>
      <c r="B8526"/>
      <c r="D8526"/>
      <c r="E8526"/>
      <c r="F8526"/>
      <c r="H8526"/>
    </row>
    <row r="8527" spans="1:8" ht="15">
      <c r="A8527"/>
      <c r="B8527"/>
      <c r="D8527"/>
      <c r="E8527"/>
      <c r="F8527"/>
      <c r="H8527"/>
    </row>
    <row r="8528" spans="1:8" ht="15">
      <c r="A8528"/>
      <c r="B8528"/>
      <c r="D8528"/>
      <c r="E8528"/>
      <c r="F8528"/>
      <c r="H8528"/>
    </row>
    <row r="8529" spans="1:8" ht="15">
      <c r="A8529"/>
      <c r="B8529"/>
      <c r="D8529"/>
      <c r="E8529"/>
      <c r="F8529"/>
      <c r="H8529"/>
    </row>
    <row r="8530" spans="1:8" ht="15">
      <c r="A8530"/>
      <c r="B8530"/>
      <c r="D8530"/>
      <c r="E8530"/>
      <c r="F8530"/>
      <c r="H8530"/>
    </row>
    <row r="8531" spans="1:8" ht="15">
      <c r="A8531"/>
      <c r="B8531"/>
      <c r="D8531"/>
      <c r="E8531"/>
      <c r="F8531"/>
      <c r="H8531"/>
    </row>
    <row r="8532" spans="1:8" ht="15">
      <c r="A8532"/>
      <c r="B8532"/>
      <c r="D8532"/>
      <c r="E8532"/>
      <c r="F8532"/>
      <c r="H8532"/>
    </row>
    <row r="8533" spans="1:8" ht="15">
      <c r="A8533"/>
      <c r="B8533"/>
      <c r="D8533"/>
      <c r="E8533"/>
      <c r="F8533"/>
      <c r="H8533"/>
    </row>
    <row r="8534" spans="1:8" ht="15">
      <c r="A8534"/>
      <c r="B8534"/>
      <c r="D8534"/>
      <c r="E8534"/>
      <c r="F8534"/>
      <c r="H8534"/>
    </row>
    <row r="8535" spans="1:8" ht="15">
      <c r="A8535"/>
      <c r="B8535"/>
      <c r="D8535"/>
      <c r="E8535"/>
      <c r="F8535"/>
      <c r="H8535"/>
    </row>
    <row r="8536" spans="1:8" ht="15">
      <c r="A8536"/>
      <c r="B8536"/>
      <c r="D8536"/>
      <c r="E8536"/>
      <c r="F8536"/>
      <c r="H8536"/>
    </row>
    <row r="8537" spans="1:8" ht="15">
      <c r="A8537"/>
      <c r="B8537"/>
      <c r="D8537"/>
      <c r="E8537"/>
      <c r="F8537"/>
      <c r="H8537"/>
    </row>
    <row r="8538" spans="1:8" ht="15">
      <c r="A8538"/>
      <c r="B8538"/>
      <c r="D8538"/>
      <c r="E8538"/>
      <c r="F8538"/>
      <c r="H8538"/>
    </row>
    <row r="8539" spans="1:8" ht="15">
      <c r="A8539"/>
      <c r="B8539"/>
      <c r="D8539"/>
      <c r="E8539"/>
      <c r="F8539"/>
      <c r="H8539"/>
    </row>
    <row r="8540" spans="1:8" ht="15">
      <c r="A8540"/>
      <c r="B8540"/>
      <c r="D8540"/>
      <c r="E8540"/>
      <c r="F8540"/>
      <c r="H8540"/>
    </row>
    <row r="8541" spans="1:8" ht="15">
      <c r="A8541"/>
      <c r="B8541"/>
      <c r="D8541"/>
      <c r="E8541"/>
      <c r="F8541"/>
      <c r="H8541"/>
    </row>
    <row r="8542" spans="1:8" ht="15">
      <c r="A8542"/>
      <c r="B8542"/>
      <c r="D8542"/>
      <c r="E8542"/>
      <c r="F8542"/>
      <c r="H8542"/>
    </row>
    <row r="8543" spans="1:8" ht="15">
      <c r="A8543"/>
      <c r="B8543"/>
      <c r="D8543"/>
      <c r="E8543"/>
      <c r="F8543"/>
      <c r="H8543"/>
    </row>
    <row r="8544" spans="1:8" ht="15">
      <c r="A8544"/>
      <c r="B8544"/>
      <c r="D8544"/>
      <c r="E8544"/>
      <c r="F8544"/>
      <c r="H8544"/>
    </row>
    <row r="8545" spans="1:8" ht="15">
      <c r="A8545"/>
      <c r="B8545"/>
      <c r="D8545"/>
      <c r="E8545"/>
      <c r="F8545"/>
      <c r="H8545"/>
    </row>
    <row r="8546" spans="1:8" ht="15">
      <c r="A8546"/>
      <c r="B8546"/>
      <c r="D8546"/>
      <c r="E8546"/>
      <c r="F8546"/>
      <c r="H8546"/>
    </row>
    <row r="8547" spans="1:8" ht="15">
      <c r="A8547"/>
      <c r="B8547"/>
      <c r="D8547"/>
      <c r="E8547"/>
      <c r="F8547"/>
      <c r="H8547"/>
    </row>
    <row r="8548" spans="1:8" ht="15">
      <c r="A8548"/>
      <c r="B8548"/>
      <c r="D8548"/>
      <c r="E8548"/>
      <c r="F8548"/>
      <c r="H8548"/>
    </row>
    <row r="8549" spans="1:8" ht="15">
      <c r="A8549"/>
      <c r="B8549"/>
      <c r="D8549"/>
      <c r="E8549"/>
      <c r="F8549"/>
      <c r="H8549"/>
    </row>
    <row r="8550" spans="1:8" ht="15">
      <c r="A8550"/>
      <c r="B8550"/>
      <c r="D8550"/>
      <c r="E8550"/>
      <c r="F8550"/>
      <c r="H8550"/>
    </row>
    <row r="8551" spans="1:8" ht="15">
      <c r="A8551"/>
      <c r="B8551"/>
      <c r="D8551"/>
      <c r="E8551"/>
      <c r="F8551"/>
      <c r="H8551"/>
    </row>
    <row r="8552" spans="1:8" ht="15">
      <c r="A8552"/>
      <c r="B8552"/>
      <c r="D8552"/>
      <c r="E8552"/>
      <c r="F8552"/>
      <c r="H8552"/>
    </row>
    <row r="8553" spans="1:8" ht="15">
      <c r="A8553"/>
      <c r="B8553"/>
      <c r="D8553"/>
      <c r="E8553"/>
      <c r="F8553"/>
      <c r="H8553"/>
    </row>
    <row r="8554" spans="1:8" ht="15">
      <c r="A8554"/>
      <c r="B8554"/>
      <c r="D8554"/>
      <c r="E8554"/>
      <c r="F8554"/>
      <c r="H8554"/>
    </row>
    <row r="8555" spans="1:8" ht="15">
      <c r="A8555"/>
      <c r="B8555"/>
      <c r="D8555"/>
      <c r="E8555"/>
      <c r="F8555"/>
      <c r="H8555"/>
    </row>
    <row r="8556" spans="1:8" ht="15">
      <c r="A8556"/>
      <c r="B8556"/>
      <c r="D8556"/>
      <c r="E8556"/>
      <c r="F8556"/>
      <c r="H8556"/>
    </row>
    <row r="8557" spans="1:8" ht="15">
      <c r="A8557"/>
      <c r="B8557"/>
      <c r="D8557"/>
      <c r="E8557"/>
      <c r="F8557"/>
      <c r="H8557"/>
    </row>
    <row r="8558" spans="1:8" ht="15">
      <c r="A8558"/>
      <c r="B8558"/>
      <c r="D8558"/>
      <c r="E8558"/>
      <c r="F8558"/>
      <c r="H8558"/>
    </row>
    <row r="8559" spans="1:8" ht="15">
      <c r="A8559"/>
      <c r="B8559"/>
      <c r="D8559"/>
      <c r="E8559"/>
      <c r="F8559"/>
      <c r="H8559"/>
    </row>
    <row r="8560" spans="1:8" ht="15">
      <c r="A8560"/>
      <c r="B8560"/>
      <c r="D8560"/>
      <c r="E8560"/>
      <c r="F8560"/>
      <c r="H8560"/>
    </row>
    <row r="8561" spans="1:8" ht="15">
      <c r="A8561"/>
      <c r="B8561"/>
      <c r="D8561"/>
      <c r="E8561"/>
      <c r="F8561"/>
      <c r="H8561"/>
    </row>
    <row r="8562" spans="1:8" ht="15">
      <c r="A8562"/>
      <c r="B8562"/>
      <c r="D8562"/>
      <c r="E8562"/>
      <c r="F8562"/>
      <c r="H8562"/>
    </row>
    <row r="8563" spans="1:8" ht="15">
      <c r="A8563"/>
      <c r="B8563"/>
      <c r="D8563"/>
      <c r="E8563"/>
      <c r="F8563"/>
      <c r="H8563"/>
    </row>
    <row r="8564" spans="1:8" ht="15">
      <c r="A8564"/>
      <c r="B8564"/>
      <c r="D8564"/>
      <c r="E8564"/>
      <c r="F8564"/>
      <c r="H8564"/>
    </row>
    <row r="8565" spans="1:8" ht="15">
      <c r="A8565"/>
      <c r="B8565"/>
      <c r="D8565"/>
      <c r="E8565"/>
      <c r="F8565"/>
      <c r="H8565"/>
    </row>
    <row r="8566" spans="1:8" ht="15">
      <c r="A8566"/>
      <c r="B8566"/>
      <c r="D8566"/>
      <c r="E8566"/>
      <c r="F8566"/>
      <c r="H8566"/>
    </row>
    <row r="8567" spans="1:8" ht="15">
      <c r="A8567"/>
      <c r="B8567"/>
      <c r="D8567"/>
      <c r="E8567"/>
      <c r="F8567"/>
      <c r="H8567"/>
    </row>
    <row r="8568" spans="1:8" ht="15">
      <c r="A8568"/>
      <c r="B8568"/>
      <c r="D8568"/>
      <c r="E8568"/>
      <c r="F8568"/>
      <c r="H8568"/>
    </row>
    <row r="8569" spans="1:8" ht="15">
      <c r="A8569"/>
      <c r="B8569"/>
      <c r="D8569"/>
      <c r="E8569"/>
      <c r="F8569"/>
      <c r="H8569"/>
    </row>
    <row r="8570" spans="1:8" ht="15">
      <c r="A8570"/>
      <c r="B8570"/>
      <c r="D8570"/>
      <c r="E8570"/>
      <c r="F8570"/>
      <c r="H8570"/>
    </row>
    <row r="8571" spans="1:8" ht="15">
      <c r="A8571"/>
      <c r="B8571"/>
      <c r="D8571"/>
      <c r="E8571"/>
      <c r="F8571"/>
      <c r="H8571"/>
    </row>
    <row r="8572" spans="1:8" ht="15">
      <c r="A8572"/>
      <c r="B8572"/>
      <c r="D8572"/>
      <c r="E8572"/>
      <c r="F8572"/>
      <c r="H8572"/>
    </row>
    <row r="8573" spans="1:8" ht="15">
      <c r="A8573"/>
      <c r="B8573"/>
      <c r="D8573"/>
      <c r="E8573"/>
      <c r="F8573"/>
      <c r="H8573"/>
    </row>
    <row r="8574" spans="1:8" ht="15">
      <c r="A8574"/>
      <c r="B8574"/>
      <c r="D8574"/>
      <c r="E8574"/>
      <c r="F8574"/>
      <c r="H8574"/>
    </row>
    <row r="8575" spans="1:8" ht="15">
      <c r="A8575"/>
      <c r="B8575"/>
      <c r="D8575"/>
      <c r="E8575"/>
      <c r="F8575"/>
      <c r="H8575"/>
    </row>
    <row r="8576" spans="1:8" ht="15">
      <c r="A8576"/>
      <c r="B8576"/>
      <c r="D8576"/>
      <c r="E8576"/>
      <c r="F8576"/>
      <c r="H8576"/>
    </row>
    <row r="8577" spans="1:8" ht="15">
      <c r="A8577"/>
      <c r="B8577"/>
      <c r="D8577"/>
      <c r="E8577"/>
      <c r="F8577"/>
      <c r="H8577"/>
    </row>
    <row r="8578" spans="1:8" ht="15">
      <c r="A8578"/>
      <c r="B8578"/>
      <c r="D8578"/>
      <c r="E8578"/>
      <c r="F8578"/>
      <c r="H8578"/>
    </row>
    <row r="8579" spans="1:8" ht="15">
      <c r="A8579"/>
      <c r="B8579"/>
      <c r="D8579"/>
      <c r="E8579"/>
      <c r="F8579"/>
      <c r="H8579"/>
    </row>
    <row r="8580" spans="1:8" ht="15">
      <c r="A8580"/>
      <c r="B8580"/>
      <c r="D8580"/>
      <c r="E8580"/>
      <c r="F8580"/>
      <c r="H8580"/>
    </row>
    <row r="8581" spans="1:8" ht="15">
      <c r="A8581"/>
      <c r="B8581"/>
      <c r="D8581"/>
      <c r="E8581"/>
      <c r="F8581"/>
      <c r="H8581"/>
    </row>
    <row r="8582" spans="1:8" ht="15">
      <c r="A8582"/>
      <c r="B8582"/>
      <c r="D8582"/>
      <c r="E8582"/>
      <c r="F8582"/>
      <c r="H8582"/>
    </row>
    <row r="8583" spans="1:8" ht="15">
      <c r="A8583"/>
      <c r="B8583"/>
      <c r="D8583"/>
      <c r="E8583"/>
      <c r="F8583"/>
      <c r="H8583"/>
    </row>
    <row r="8584" spans="1:8" ht="15">
      <c r="A8584"/>
      <c r="B8584"/>
      <c r="D8584"/>
      <c r="E8584"/>
      <c r="F8584"/>
      <c r="H8584"/>
    </row>
    <row r="8585" spans="1:8" ht="15">
      <c r="A8585"/>
      <c r="B8585"/>
      <c r="D8585"/>
      <c r="E8585"/>
      <c r="F8585"/>
      <c r="H8585"/>
    </row>
    <row r="8586" spans="1:8" ht="15">
      <c r="A8586"/>
      <c r="B8586"/>
      <c r="D8586"/>
      <c r="E8586"/>
      <c r="F8586"/>
      <c r="H8586"/>
    </row>
    <row r="8587" spans="1:8" ht="15">
      <c r="A8587"/>
      <c r="B8587"/>
      <c r="D8587"/>
      <c r="E8587"/>
      <c r="F8587"/>
      <c r="H8587"/>
    </row>
    <row r="8588" spans="1:8" ht="15">
      <c r="A8588"/>
      <c r="B8588"/>
      <c r="D8588"/>
      <c r="E8588"/>
      <c r="F8588"/>
      <c r="H8588"/>
    </row>
    <row r="8589" spans="1:8" ht="15">
      <c r="A8589"/>
      <c r="B8589"/>
      <c r="D8589"/>
      <c r="E8589"/>
      <c r="F8589"/>
      <c r="H8589"/>
    </row>
    <row r="8590" spans="1:8" ht="15">
      <c r="A8590"/>
      <c r="B8590"/>
      <c r="D8590"/>
      <c r="E8590"/>
      <c r="F8590"/>
      <c r="H8590"/>
    </row>
    <row r="8591" spans="1:8" ht="15">
      <c r="A8591"/>
      <c r="B8591"/>
      <c r="D8591"/>
      <c r="E8591"/>
      <c r="F8591"/>
      <c r="H8591"/>
    </row>
    <row r="8592" spans="1:8" ht="15">
      <c r="A8592"/>
      <c r="B8592"/>
      <c r="D8592"/>
      <c r="E8592"/>
      <c r="F8592"/>
      <c r="H8592"/>
    </row>
    <row r="8593" spans="1:8" ht="15">
      <c r="A8593"/>
      <c r="B8593"/>
      <c r="D8593"/>
      <c r="E8593"/>
      <c r="F8593"/>
      <c r="H8593"/>
    </row>
    <row r="8594" spans="1:8" ht="15">
      <c r="A8594"/>
      <c r="B8594"/>
      <c r="D8594"/>
      <c r="E8594"/>
      <c r="F8594"/>
      <c r="H8594"/>
    </row>
    <row r="8595" spans="1:8" ht="15">
      <c r="A8595"/>
      <c r="B8595"/>
      <c r="D8595"/>
      <c r="E8595"/>
      <c r="F8595"/>
      <c r="H8595"/>
    </row>
    <row r="8596" spans="1:8" ht="15">
      <c r="A8596"/>
      <c r="B8596"/>
      <c r="D8596"/>
      <c r="E8596"/>
      <c r="F8596"/>
      <c r="H8596"/>
    </row>
    <row r="8597" spans="1:8" ht="15">
      <c r="A8597"/>
      <c r="B8597"/>
      <c r="D8597"/>
      <c r="E8597"/>
      <c r="F8597"/>
      <c r="H8597"/>
    </row>
    <row r="8598" spans="1:8" ht="15">
      <c r="A8598"/>
      <c r="B8598"/>
      <c r="D8598"/>
      <c r="E8598"/>
      <c r="F8598"/>
      <c r="H8598"/>
    </row>
    <row r="8599" spans="1:8" ht="15">
      <c r="A8599"/>
      <c r="B8599"/>
      <c r="D8599"/>
      <c r="E8599"/>
      <c r="F8599"/>
      <c r="H8599"/>
    </row>
    <row r="8600" spans="1:8" ht="15">
      <c r="A8600"/>
      <c r="B8600"/>
      <c r="D8600"/>
      <c r="E8600"/>
      <c r="F8600"/>
      <c r="H8600"/>
    </row>
    <row r="8601" spans="1:8" ht="15">
      <c r="A8601"/>
      <c r="B8601"/>
      <c r="D8601"/>
      <c r="E8601"/>
      <c r="F8601"/>
      <c r="H8601"/>
    </row>
    <row r="8602" spans="1:8" ht="15">
      <c r="A8602"/>
      <c r="B8602"/>
      <c r="D8602"/>
      <c r="E8602"/>
      <c r="F8602"/>
      <c r="H8602"/>
    </row>
    <row r="8603" spans="1:8" ht="15">
      <c r="A8603"/>
      <c r="B8603"/>
      <c r="D8603"/>
      <c r="E8603"/>
      <c r="F8603"/>
      <c r="H8603"/>
    </row>
    <row r="8604" spans="1:8" ht="15">
      <c r="A8604"/>
      <c r="B8604"/>
      <c r="D8604"/>
      <c r="E8604"/>
      <c r="F8604"/>
      <c r="H8604"/>
    </row>
    <row r="8605" spans="1:8" ht="15">
      <c r="A8605"/>
      <c r="B8605"/>
      <c r="D8605"/>
      <c r="E8605"/>
      <c r="F8605"/>
      <c r="H8605"/>
    </row>
    <row r="8606" spans="1:8" ht="15">
      <c r="A8606"/>
      <c r="B8606"/>
      <c r="D8606"/>
      <c r="E8606"/>
      <c r="F8606"/>
      <c r="H8606"/>
    </row>
    <row r="8607" spans="1:8" ht="15">
      <c r="A8607"/>
      <c r="B8607"/>
      <c r="D8607"/>
      <c r="E8607"/>
      <c r="F8607"/>
      <c r="H8607"/>
    </row>
    <row r="8608" spans="1:8" ht="15">
      <c r="A8608"/>
      <c r="B8608"/>
      <c r="D8608"/>
      <c r="E8608"/>
      <c r="F8608"/>
      <c r="H8608"/>
    </row>
    <row r="8609" spans="1:8" ht="15">
      <c r="A8609"/>
      <c r="B8609"/>
      <c r="D8609"/>
      <c r="E8609"/>
      <c r="F8609"/>
      <c r="H8609"/>
    </row>
    <row r="8610" spans="1:8" ht="15">
      <c r="A8610"/>
      <c r="B8610"/>
      <c r="D8610"/>
      <c r="E8610"/>
      <c r="F8610"/>
      <c r="H8610"/>
    </row>
    <row r="8611" spans="1:8" ht="15">
      <c r="A8611"/>
      <c r="B8611"/>
      <c r="D8611"/>
      <c r="E8611"/>
      <c r="F8611"/>
      <c r="H8611"/>
    </row>
    <row r="8612" spans="1:8" ht="15">
      <c r="A8612"/>
      <c r="B8612"/>
      <c r="D8612"/>
      <c r="E8612"/>
      <c r="F8612"/>
      <c r="H8612"/>
    </row>
    <row r="8613" spans="1:8" ht="15">
      <c r="A8613"/>
      <c r="B8613"/>
      <c r="D8613"/>
      <c r="E8613"/>
      <c r="F8613"/>
      <c r="H8613"/>
    </row>
    <row r="8614" spans="1:8" ht="15">
      <c r="A8614"/>
      <c r="B8614"/>
      <c r="D8614"/>
      <c r="E8614"/>
      <c r="F8614"/>
      <c r="H8614"/>
    </row>
    <row r="8615" spans="1:8" ht="15">
      <c r="A8615"/>
      <c r="B8615"/>
      <c r="D8615"/>
      <c r="E8615"/>
      <c r="F8615"/>
      <c r="H8615"/>
    </row>
    <row r="8616" spans="1:8" ht="15">
      <c r="A8616"/>
      <c r="B8616"/>
      <c r="D8616"/>
      <c r="E8616"/>
      <c r="F8616"/>
      <c r="H8616"/>
    </row>
    <row r="8617" spans="1:8" ht="15">
      <c r="A8617"/>
      <c r="B8617"/>
      <c r="D8617"/>
      <c r="E8617"/>
      <c r="F8617"/>
      <c r="H8617"/>
    </row>
    <row r="8618" spans="1:8" ht="15">
      <c r="A8618"/>
      <c r="B8618"/>
      <c r="D8618"/>
      <c r="E8618"/>
      <c r="F8618"/>
      <c r="H8618"/>
    </row>
    <row r="8619" spans="1:8" ht="15">
      <c r="A8619"/>
      <c r="B8619"/>
      <c r="D8619"/>
      <c r="E8619"/>
      <c r="F8619"/>
      <c r="H8619"/>
    </row>
    <row r="8620" spans="1:8" ht="15">
      <c r="A8620"/>
      <c r="B8620"/>
      <c r="D8620"/>
      <c r="E8620"/>
      <c r="F8620"/>
      <c r="H8620"/>
    </row>
    <row r="8621" spans="1:8" ht="15">
      <c r="A8621"/>
      <c r="B8621"/>
      <c r="D8621"/>
      <c r="E8621"/>
      <c r="F8621"/>
      <c r="H8621"/>
    </row>
    <row r="8622" spans="1:8" ht="15">
      <c r="A8622"/>
      <c r="B8622"/>
      <c r="D8622"/>
      <c r="E8622"/>
      <c r="F8622"/>
      <c r="H8622"/>
    </row>
    <row r="8623" spans="1:8" ht="15">
      <c r="A8623"/>
      <c r="B8623"/>
      <c r="D8623"/>
      <c r="E8623"/>
      <c r="F8623"/>
      <c r="H8623"/>
    </row>
    <row r="8624" spans="1:8" ht="15">
      <c r="A8624"/>
      <c r="B8624"/>
      <c r="D8624"/>
      <c r="E8624"/>
      <c r="F8624"/>
      <c r="H8624"/>
    </row>
    <row r="8625" spans="1:8" ht="15">
      <c r="A8625"/>
      <c r="B8625"/>
      <c r="D8625"/>
      <c r="E8625"/>
      <c r="F8625"/>
      <c r="H8625"/>
    </row>
    <row r="8626" spans="1:8" ht="15">
      <c r="A8626"/>
      <c r="B8626"/>
      <c r="D8626"/>
      <c r="E8626"/>
      <c r="F8626"/>
      <c r="H8626"/>
    </row>
    <row r="8627" spans="1:8" ht="15">
      <c r="A8627"/>
      <c r="B8627"/>
      <c r="D8627"/>
      <c r="E8627"/>
      <c r="F8627"/>
      <c r="H8627"/>
    </row>
    <row r="8628" spans="1:8" ht="15">
      <c r="A8628"/>
      <c r="B8628"/>
      <c r="D8628"/>
      <c r="E8628"/>
      <c r="F8628"/>
      <c r="H8628"/>
    </row>
    <row r="8629" spans="1:8" ht="15">
      <c r="A8629"/>
      <c r="B8629"/>
      <c r="D8629"/>
      <c r="E8629"/>
      <c r="F8629"/>
      <c r="H8629"/>
    </row>
    <row r="8630" spans="1:8" ht="15">
      <c r="A8630"/>
      <c r="B8630"/>
      <c r="D8630"/>
      <c r="E8630"/>
      <c r="F8630"/>
      <c r="H8630"/>
    </row>
    <row r="8631" spans="1:8" ht="15">
      <c r="A8631"/>
      <c r="B8631"/>
      <c r="D8631"/>
      <c r="E8631"/>
      <c r="F8631"/>
      <c r="H8631"/>
    </row>
    <row r="8632" spans="1:8" ht="15">
      <c r="A8632"/>
      <c r="B8632"/>
      <c r="D8632"/>
      <c r="E8632"/>
      <c r="F8632"/>
      <c r="H8632"/>
    </row>
    <row r="8633" spans="1:8" ht="15">
      <c r="A8633"/>
      <c r="B8633"/>
      <c r="D8633"/>
      <c r="E8633"/>
      <c r="F8633"/>
      <c r="H8633"/>
    </row>
    <row r="8634" spans="1:8" ht="15">
      <c r="A8634"/>
      <c r="B8634"/>
      <c r="D8634"/>
      <c r="E8634"/>
      <c r="F8634"/>
      <c r="H8634"/>
    </row>
    <row r="8635" spans="1:8" ht="15">
      <c r="A8635"/>
      <c r="B8635"/>
      <c r="D8635"/>
      <c r="E8635"/>
      <c r="F8635"/>
      <c r="H8635"/>
    </row>
    <row r="8636" spans="1:8" ht="15">
      <c r="A8636"/>
      <c r="B8636"/>
      <c r="D8636"/>
      <c r="E8636"/>
      <c r="F8636"/>
      <c r="H8636"/>
    </row>
    <row r="8637" spans="1:8" ht="15">
      <c r="A8637"/>
      <c r="B8637"/>
      <c r="D8637"/>
      <c r="E8637"/>
      <c r="F8637"/>
      <c r="H8637"/>
    </row>
    <row r="8638" spans="1:8" ht="15">
      <c r="A8638"/>
      <c r="B8638"/>
      <c r="D8638"/>
      <c r="E8638"/>
      <c r="F8638"/>
      <c r="H8638"/>
    </row>
    <row r="8639" spans="1:8" ht="15">
      <c r="A8639"/>
      <c r="B8639"/>
      <c r="D8639"/>
      <c r="E8639"/>
      <c r="F8639"/>
      <c r="H8639"/>
    </row>
    <row r="8640" spans="1:8" ht="15">
      <c r="A8640"/>
      <c r="B8640"/>
      <c r="D8640"/>
      <c r="E8640"/>
      <c r="F8640"/>
      <c r="H8640"/>
    </row>
    <row r="8641" spans="1:8" ht="15">
      <c r="A8641"/>
      <c r="B8641"/>
      <c r="D8641"/>
      <c r="E8641"/>
      <c r="F8641"/>
      <c r="H8641"/>
    </row>
    <row r="8642" spans="1:8" ht="15">
      <c r="A8642"/>
      <c r="B8642"/>
      <c r="D8642"/>
      <c r="E8642"/>
      <c r="F8642"/>
      <c r="H8642"/>
    </row>
    <row r="8643" spans="1:8" ht="15">
      <c r="A8643"/>
      <c r="B8643"/>
      <c r="D8643"/>
      <c r="E8643"/>
      <c r="F8643"/>
      <c r="H8643"/>
    </row>
    <row r="8644" spans="1:8" ht="15">
      <c r="A8644"/>
      <c r="B8644"/>
      <c r="D8644"/>
      <c r="E8644"/>
      <c r="F8644"/>
      <c r="H8644"/>
    </row>
    <row r="8645" spans="1:8" ht="15">
      <c r="A8645"/>
      <c r="B8645"/>
      <c r="D8645"/>
      <c r="E8645"/>
      <c r="F8645"/>
      <c r="H8645"/>
    </row>
    <row r="8646" spans="1:8" ht="15">
      <c r="A8646"/>
      <c r="B8646"/>
      <c r="D8646"/>
      <c r="E8646"/>
      <c r="F8646"/>
      <c r="H8646"/>
    </row>
    <row r="8647" spans="1:8" ht="15">
      <c r="A8647"/>
      <c r="B8647"/>
      <c r="D8647"/>
      <c r="E8647"/>
      <c r="F8647"/>
      <c r="H8647"/>
    </row>
    <row r="8648" spans="1:8" ht="15">
      <c r="A8648"/>
      <c r="B8648"/>
      <c r="D8648"/>
      <c r="E8648"/>
      <c r="F8648"/>
      <c r="H8648"/>
    </row>
    <row r="8649" spans="1:8" ht="15">
      <c r="A8649"/>
      <c r="B8649"/>
      <c r="D8649"/>
      <c r="E8649"/>
      <c r="F8649"/>
      <c r="H8649"/>
    </row>
    <row r="8650" spans="1:8" ht="15">
      <c r="A8650"/>
      <c r="B8650"/>
      <c r="D8650"/>
      <c r="E8650"/>
      <c r="F8650"/>
      <c r="H8650"/>
    </row>
    <row r="8651" spans="1:8" ht="15">
      <c r="A8651"/>
      <c r="B8651"/>
      <c r="D8651"/>
      <c r="E8651"/>
      <c r="F8651"/>
      <c r="H8651"/>
    </row>
    <row r="8652" spans="1:8" ht="15">
      <c r="A8652"/>
      <c r="B8652"/>
      <c r="D8652"/>
      <c r="E8652"/>
      <c r="F8652"/>
      <c r="H8652"/>
    </row>
    <row r="8653" spans="1:8" ht="15">
      <c r="A8653"/>
      <c r="B8653"/>
      <c r="D8653"/>
      <c r="E8653"/>
      <c r="F8653"/>
      <c r="H8653"/>
    </row>
    <row r="8654" spans="1:8" ht="15">
      <c r="A8654"/>
      <c r="B8654"/>
      <c r="D8654"/>
      <c r="E8654"/>
      <c r="F8654"/>
      <c r="H8654"/>
    </row>
    <row r="8655" spans="1:8" ht="15">
      <c r="A8655"/>
      <c r="B8655"/>
      <c r="D8655"/>
      <c r="E8655"/>
      <c r="F8655"/>
      <c r="H8655"/>
    </row>
    <row r="8656" spans="1:8" ht="15">
      <c r="A8656"/>
      <c r="B8656"/>
      <c r="D8656"/>
      <c r="E8656"/>
      <c r="F8656"/>
      <c r="H8656"/>
    </row>
    <row r="8657" spans="1:8" ht="15">
      <c r="A8657"/>
      <c r="B8657"/>
      <c r="D8657"/>
      <c r="E8657"/>
      <c r="F8657"/>
      <c r="H8657"/>
    </row>
    <row r="8658" spans="1:8" ht="15">
      <c r="A8658"/>
      <c r="B8658"/>
      <c r="D8658"/>
      <c r="E8658"/>
      <c r="F8658"/>
      <c r="H8658"/>
    </row>
    <row r="8659" spans="1:8" ht="15">
      <c r="A8659"/>
      <c r="B8659"/>
      <c r="D8659"/>
      <c r="E8659"/>
      <c r="F8659"/>
      <c r="H8659"/>
    </row>
    <row r="8660" spans="1:8" ht="15">
      <c r="A8660"/>
      <c r="B8660"/>
      <c r="D8660"/>
      <c r="E8660"/>
      <c r="F8660"/>
      <c r="H8660"/>
    </row>
    <row r="8661" spans="1:8" ht="15">
      <c r="A8661"/>
      <c r="B8661"/>
      <c r="D8661"/>
      <c r="E8661"/>
      <c r="F8661"/>
      <c r="H8661"/>
    </row>
    <row r="8662" spans="1:8" ht="15">
      <c r="A8662"/>
      <c r="B8662"/>
      <c r="D8662"/>
      <c r="E8662"/>
      <c r="F8662"/>
      <c r="H8662"/>
    </row>
    <row r="8663" spans="1:8" ht="15">
      <c r="A8663"/>
      <c r="B8663"/>
      <c r="D8663"/>
      <c r="E8663"/>
      <c r="F8663"/>
      <c r="H8663"/>
    </row>
    <row r="8664" spans="1:8" ht="15">
      <c r="A8664"/>
      <c r="B8664"/>
      <c r="D8664"/>
      <c r="E8664"/>
      <c r="F8664"/>
      <c r="H8664"/>
    </row>
    <row r="8665" spans="1:8" ht="15">
      <c r="A8665"/>
      <c r="B8665"/>
      <c r="D8665"/>
      <c r="E8665"/>
      <c r="F8665"/>
      <c r="H8665"/>
    </row>
    <row r="8666" spans="1:8" ht="15">
      <c r="A8666"/>
      <c r="B8666"/>
      <c r="D8666"/>
      <c r="E8666"/>
      <c r="F8666"/>
      <c r="H8666"/>
    </row>
    <row r="8667" spans="1:8" ht="15">
      <c r="A8667"/>
      <c r="B8667"/>
      <c r="D8667"/>
      <c r="E8667"/>
      <c r="F8667"/>
      <c r="H8667"/>
    </row>
    <row r="8668" spans="1:8" ht="15">
      <c r="A8668"/>
      <c r="B8668"/>
      <c r="D8668"/>
      <c r="E8668"/>
      <c r="F8668"/>
      <c r="H8668"/>
    </row>
    <row r="8669" spans="1:8" ht="15">
      <c r="A8669"/>
      <c r="B8669"/>
      <c r="D8669"/>
      <c r="E8669"/>
      <c r="F8669"/>
      <c r="H8669"/>
    </row>
    <row r="8670" spans="1:8" ht="15">
      <c r="A8670"/>
      <c r="B8670"/>
      <c r="D8670"/>
      <c r="E8670"/>
      <c r="F8670"/>
      <c r="H8670"/>
    </row>
    <row r="8671" spans="1:8" ht="15">
      <c r="A8671"/>
      <c r="B8671"/>
      <c r="D8671"/>
      <c r="E8671"/>
      <c r="F8671"/>
      <c r="H8671"/>
    </row>
    <row r="8672" spans="1:8" ht="15">
      <c r="A8672"/>
      <c r="B8672"/>
      <c r="D8672"/>
      <c r="E8672"/>
      <c r="F8672"/>
      <c r="H8672"/>
    </row>
    <row r="8673" spans="1:8" ht="15">
      <c r="A8673"/>
      <c r="B8673"/>
      <c r="D8673"/>
      <c r="E8673"/>
      <c r="F8673"/>
      <c r="H8673"/>
    </row>
    <row r="8674" spans="1:8" ht="15">
      <c r="A8674"/>
      <c r="B8674"/>
      <c r="D8674"/>
      <c r="E8674"/>
      <c r="F8674"/>
      <c r="H8674"/>
    </row>
    <row r="8675" spans="1:8" ht="15">
      <c r="A8675"/>
      <c r="B8675"/>
      <c r="D8675"/>
      <c r="E8675"/>
      <c r="F8675"/>
      <c r="H8675"/>
    </row>
    <row r="8676" spans="1:8" ht="15">
      <c r="A8676"/>
      <c r="B8676"/>
      <c r="D8676"/>
      <c r="E8676"/>
      <c r="F8676"/>
      <c r="H8676"/>
    </row>
    <row r="8677" spans="1:8" ht="15">
      <c r="A8677"/>
      <c r="B8677"/>
      <c r="D8677"/>
      <c r="E8677"/>
      <c r="F8677"/>
      <c r="H8677"/>
    </row>
    <row r="8678" spans="1:8" ht="15">
      <c r="A8678"/>
      <c r="B8678"/>
      <c r="D8678"/>
      <c r="E8678"/>
      <c r="F8678"/>
      <c r="H8678"/>
    </row>
    <row r="8679" spans="1:8" ht="15">
      <c r="A8679"/>
      <c r="B8679"/>
      <c r="D8679"/>
      <c r="E8679"/>
      <c r="F8679"/>
      <c r="H8679"/>
    </row>
    <row r="8680" spans="1:8" ht="15">
      <c r="A8680"/>
      <c r="B8680"/>
      <c r="D8680"/>
      <c r="E8680"/>
      <c r="F8680"/>
      <c r="H8680"/>
    </row>
    <row r="8681" spans="1:8" ht="15">
      <c r="A8681"/>
      <c r="B8681"/>
      <c r="D8681"/>
      <c r="E8681"/>
      <c r="F8681"/>
      <c r="H8681"/>
    </row>
    <row r="8682" spans="1:8" ht="15">
      <c r="A8682"/>
      <c r="B8682"/>
      <c r="D8682"/>
      <c r="E8682"/>
      <c r="F8682"/>
      <c r="H8682"/>
    </row>
    <row r="8683" spans="1:8" ht="15">
      <c r="A8683"/>
      <c r="B8683"/>
      <c r="D8683"/>
      <c r="E8683"/>
      <c r="F8683"/>
      <c r="H8683"/>
    </row>
    <row r="8684" spans="1:8" ht="15">
      <c r="A8684"/>
      <c r="B8684"/>
      <c r="D8684"/>
      <c r="E8684"/>
      <c r="F8684"/>
      <c r="H8684"/>
    </row>
    <row r="8685" spans="1:8" ht="15">
      <c r="A8685"/>
      <c r="B8685"/>
      <c r="D8685"/>
      <c r="E8685"/>
      <c r="F8685"/>
      <c r="H8685"/>
    </row>
    <row r="8686" spans="1:8" ht="15">
      <c r="A8686"/>
      <c r="B8686"/>
      <c r="D8686"/>
      <c r="E8686"/>
      <c r="F8686"/>
      <c r="H8686"/>
    </row>
    <row r="8687" spans="1:8" ht="15">
      <c r="A8687"/>
      <c r="B8687"/>
      <c r="D8687"/>
      <c r="E8687"/>
      <c r="F8687"/>
      <c r="H8687"/>
    </row>
    <row r="8688" spans="1:8" ht="15">
      <c r="A8688"/>
      <c r="B8688"/>
      <c r="D8688"/>
      <c r="E8688"/>
      <c r="F8688"/>
      <c r="H8688"/>
    </row>
    <row r="8689" spans="1:8" ht="15">
      <c r="A8689"/>
      <c r="B8689"/>
      <c r="D8689"/>
      <c r="E8689"/>
      <c r="F8689"/>
      <c r="H8689"/>
    </row>
    <row r="8690" spans="1:8" ht="15">
      <c r="A8690"/>
      <c r="B8690"/>
      <c r="D8690"/>
      <c r="E8690"/>
      <c r="F8690"/>
      <c r="H8690"/>
    </row>
    <row r="8691" spans="1:8" ht="15">
      <c r="A8691"/>
      <c r="B8691"/>
      <c r="D8691"/>
      <c r="E8691"/>
      <c r="F8691"/>
      <c r="H8691"/>
    </row>
    <row r="8692" spans="1:8" ht="15">
      <c r="A8692"/>
      <c r="B8692"/>
      <c r="D8692"/>
      <c r="E8692"/>
      <c r="F8692"/>
      <c r="H8692"/>
    </row>
    <row r="8693" spans="1:8" ht="15">
      <c r="A8693"/>
      <c r="B8693"/>
      <c r="D8693"/>
      <c r="E8693"/>
      <c r="F8693"/>
      <c r="H8693"/>
    </row>
    <row r="8694" spans="1:8" ht="15">
      <c r="A8694"/>
      <c r="B8694"/>
      <c r="D8694"/>
      <c r="E8694"/>
      <c r="F8694"/>
      <c r="H8694"/>
    </row>
    <row r="8695" spans="1:8" ht="15">
      <c r="A8695"/>
      <c r="B8695"/>
      <c r="D8695"/>
      <c r="E8695"/>
      <c r="F8695"/>
      <c r="H8695"/>
    </row>
    <row r="8696" spans="1:8" ht="15">
      <c r="A8696"/>
      <c r="B8696"/>
      <c r="D8696"/>
      <c r="E8696"/>
      <c r="F8696"/>
      <c r="H8696"/>
    </row>
    <row r="8697" spans="1:8" ht="15">
      <c r="A8697"/>
      <c r="B8697"/>
      <c r="D8697"/>
      <c r="E8697"/>
      <c r="F8697"/>
      <c r="H8697"/>
    </row>
    <row r="8698" spans="1:8" ht="15">
      <c r="A8698"/>
      <c r="B8698"/>
      <c r="D8698"/>
      <c r="E8698"/>
      <c r="F8698"/>
      <c r="H8698"/>
    </row>
    <row r="8699" spans="1:8" ht="15">
      <c r="A8699"/>
      <c r="B8699"/>
      <c r="D8699"/>
      <c r="E8699"/>
      <c r="F8699"/>
      <c r="H8699"/>
    </row>
    <row r="8700" spans="1:8" ht="15">
      <c r="A8700"/>
      <c r="B8700"/>
      <c r="D8700"/>
      <c r="E8700"/>
      <c r="F8700"/>
      <c r="H8700"/>
    </row>
    <row r="8701" spans="1:8" ht="15">
      <c r="A8701"/>
      <c r="B8701"/>
      <c r="D8701"/>
      <c r="E8701"/>
      <c r="F8701"/>
      <c r="H8701"/>
    </row>
    <row r="8702" spans="1:8" ht="15">
      <c r="A8702"/>
      <c r="B8702"/>
      <c r="D8702"/>
      <c r="E8702"/>
      <c r="F8702"/>
      <c r="H8702"/>
    </row>
    <row r="8703" spans="1:8" ht="15">
      <c r="A8703"/>
      <c r="B8703"/>
      <c r="D8703"/>
      <c r="E8703"/>
      <c r="F8703"/>
      <c r="H8703"/>
    </row>
    <row r="8704" spans="1:8" ht="15">
      <c r="A8704"/>
      <c r="B8704"/>
      <c r="D8704"/>
      <c r="E8704"/>
      <c r="F8704"/>
      <c r="H8704"/>
    </row>
    <row r="8705" spans="1:8" ht="15">
      <c r="A8705"/>
      <c r="B8705"/>
      <c r="D8705"/>
      <c r="E8705"/>
      <c r="F8705"/>
      <c r="H8705"/>
    </row>
    <row r="8706" spans="1:8" ht="15">
      <c r="A8706"/>
      <c r="B8706"/>
      <c r="D8706"/>
      <c r="E8706"/>
      <c r="F8706"/>
      <c r="H8706"/>
    </row>
    <row r="8707" spans="1:8" ht="15">
      <c r="A8707"/>
      <c r="B8707"/>
      <c r="D8707"/>
      <c r="E8707"/>
      <c r="F8707"/>
      <c r="H8707"/>
    </row>
    <row r="8708" spans="1:8" ht="15">
      <c r="A8708"/>
      <c r="B8708"/>
      <c r="D8708"/>
      <c r="E8708"/>
      <c r="F8708"/>
      <c r="H8708"/>
    </row>
    <row r="8709" spans="1:8" ht="15">
      <c r="A8709"/>
      <c r="B8709"/>
      <c r="D8709"/>
      <c r="E8709"/>
      <c r="F8709"/>
      <c r="H8709"/>
    </row>
    <row r="8710" spans="1:8" ht="15">
      <c r="A8710"/>
      <c r="B8710"/>
      <c r="D8710"/>
      <c r="E8710"/>
      <c r="F8710"/>
      <c r="H8710"/>
    </row>
    <row r="8711" spans="1:8" ht="15">
      <c r="A8711"/>
      <c r="B8711"/>
      <c r="D8711"/>
      <c r="E8711"/>
      <c r="F8711"/>
      <c r="H8711"/>
    </row>
    <row r="8712" spans="1:8" ht="15">
      <c r="A8712"/>
      <c r="B8712"/>
      <c r="D8712"/>
      <c r="E8712"/>
      <c r="F8712"/>
      <c r="H8712"/>
    </row>
    <row r="8713" spans="1:8" ht="15">
      <c r="A8713"/>
      <c r="B8713"/>
      <c r="D8713"/>
      <c r="E8713"/>
      <c r="F8713"/>
      <c r="H8713"/>
    </row>
    <row r="8714" spans="1:8" ht="15">
      <c r="A8714"/>
      <c r="B8714"/>
      <c r="D8714"/>
      <c r="E8714"/>
      <c r="F8714"/>
      <c r="H8714"/>
    </row>
    <row r="8715" spans="1:8" ht="15">
      <c r="A8715"/>
      <c r="B8715"/>
      <c r="D8715"/>
      <c r="E8715"/>
      <c r="F8715"/>
      <c r="H8715"/>
    </row>
    <row r="8716" spans="1:8" ht="15">
      <c r="A8716"/>
      <c r="B8716"/>
      <c r="D8716"/>
      <c r="E8716"/>
      <c r="F8716"/>
      <c r="H8716"/>
    </row>
    <row r="8717" spans="1:8" ht="15">
      <c r="A8717"/>
      <c r="B8717"/>
      <c r="D8717"/>
      <c r="E8717"/>
      <c r="F8717"/>
      <c r="H8717"/>
    </row>
    <row r="8718" spans="1:8" ht="15">
      <c r="A8718"/>
      <c r="B8718"/>
      <c r="D8718"/>
      <c r="E8718"/>
      <c r="F8718"/>
      <c r="H8718"/>
    </row>
    <row r="8719" spans="1:8" ht="15">
      <c r="A8719"/>
      <c r="B8719"/>
      <c r="D8719"/>
      <c r="E8719"/>
      <c r="F8719"/>
      <c r="H8719"/>
    </row>
    <row r="8720" spans="1:8" ht="15">
      <c r="A8720"/>
      <c r="B8720"/>
      <c r="D8720"/>
      <c r="E8720"/>
      <c r="F8720"/>
      <c r="H8720"/>
    </row>
    <row r="8721" spans="1:8" ht="15">
      <c r="A8721"/>
      <c r="B8721"/>
      <c r="D8721"/>
      <c r="E8721"/>
      <c r="F8721"/>
      <c r="H8721"/>
    </row>
    <row r="8722" spans="1:8" ht="15">
      <c r="A8722"/>
      <c r="B8722"/>
      <c r="D8722"/>
      <c r="E8722"/>
      <c r="F8722"/>
      <c r="H8722"/>
    </row>
    <row r="8723" spans="1:8" ht="15">
      <c r="A8723"/>
      <c r="B8723"/>
      <c r="D8723"/>
      <c r="E8723"/>
      <c r="F8723"/>
      <c r="H8723"/>
    </row>
    <row r="8724" spans="1:8" ht="15">
      <c r="A8724"/>
      <c r="B8724"/>
      <c r="D8724"/>
      <c r="E8724"/>
      <c r="F8724"/>
      <c r="H8724"/>
    </row>
    <row r="8725" spans="1:8" ht="15">
      <c r="A8725"/>
      <c r="B8725"/>
      <c r="D8725"/>
      <c r="E8725"/>
      <c r="F8725"/>
      <c r="H8725"/>
    </row>
    <row r="8726" spans="1:8" ht="15">
      <c r="A8726"/>
      <c r="B8726"/>
      <c r="D8726"/>
      <c r="E8726"/>
      <c r="F8726"/>
      <c r="H8726"/>
    </row>
    <row r="8727" spans="1:8" ht="15">
      <c r="A8727"/>
      <c r="B8727"/>
      <c r="D8727"/>
      <c r="E8727"/>
      <c r="F8727"/>
      <c r="H8727"/>
    </row>
    <row r="8728" spans="1:8" ht="15">
      <c r="A8728"/>
      <c r="B8728"/>
      <c r="D8728"/>
      <c r="E8728"/>
      <c r="F8728"/>
      <c r="H8728"/>
    </row>
    <row r="8729" spans="1:8" ht="15">
      <c r="A8729"/>
      <c r="B8729"/>
      <c r="D8729"/>
      <c r="E8729"/>
      <c r="F8729"/>
      <c r="H8729"/>
    </row>
    <row r="8730" spans="1:8" ht="15">
      <c r="A8730"/>
      <c r="B8730"/>
      <c r="D8730"/>
      <c r="E8730"/>
      <c r="F8730"/>
      <c r="H8730"/>
    </row>
    <row r="8731" spans="1:8" ht="15">
      <c r="A8731"/>
      <c r="B8731"/>
      <c r="D8731"/>
      <c r="E8731"/>
      <c r="F8731"/>
      <c r="H8731"/>
    </row>
    <row r="8732" spans="1:8" ht="15">
      <c r="A8732"/>
      <c r="B8732"/>
      <c r="D8732"/>
      <c r="E8732"/>
      <c r="F8732"/>
      <c r="H8732"/>
    </row>
    <row r="8733" spans="1:8" ht="15">
      <c r="A8733"/>
      <c r="B8733"/>
      <c r="D8733"/>
      <c r="E8733"/>
      <c r="F8733"/>
      <c r="H8733"/>
    </row>
    <row r="8734" spans="1:8" ht="15">
      <c r="A8734"/>
      <c r="B8734"/>
      <c r="D8734"/>
      <c r="E8734"/>
      <c r="F8734"/>
      <c r="H8734"/>
    </row>
    <row r="8735" spans="1:8" ht="15">
      <c r="A8735"/>
      <c r="B8735"/>
      <c r="D8735"/>
      <c r="E8735"/>
      <c r="F8735"/>
      <c r="H8735"/>
    </row>
    <row r="8736" spans="1:8" ht="15">
      <c r="A8736"/>
      <c r="B8736"/>
      <c r="D8736"/>
      <c r="E8736"/>
      <c r="F8736"/>
      <c r="H8736"/>
    </row>
    <row r="8737" spans="1:8" ht="15">
      <c r="A8737"/>
      <c r="B8737"/>
      <c r="D8737"/>
      <c r="E8737"/>
      <c r="F8737"/>
      <c r="H8737"/>
    </row>
    <row r="8738" spans="1:8" ht="15">
      <c r="A8738"/>
      <c r="B8738"/>
      <c r="D8738"/>
      <c r="E8738"/>
      <c r="F8738"/>
      <c r="H8738"/>
    </row>
    <row r="8739" spans="1:8" ht="15">
      <c r="A8739"/>
      <c r="B8739"/>
      <c r="D8739"/>
      <c r="E8739"/>
      <c r="F8739"/>
      <c r="H8739"/>
    </row>
    <row r="8740" spans="1:8" ht="15">
      <c r="A8740"/>
      <c r="B8740"/>
      <c r="D8740"/>
      <c r="E8740"/>
      <c r="F8740"/>
      <c r="H8740"/>
    </row>
    <row r="8741" spans="1:8" ht="15">
      <c r="A8741"/>
      <c r="B8741"/>
      <c r="D8741"/>
      <c r="E8741"/>
      <c r="F8741"/>
      <c r="H8741"/>
    </row>
    <row r="8742" spans="1:8" ht="15">
      <c r="A8742"/>
      <c r="B8742"/>
      <c r="D8742"/>
      <c r="E8742"/>
      <c r="F8742"/>
      <c r="H8742"/>
    </row>
    <row r="8743" spans="1:8" ht="15">
      <c r="A8743"/>
      <c r="B8743"/>
      <c r="D8743"/>
      <c r="E8743"/>
      <c r="F8743"/>
      <c r="H8743"/>
    </row>
    <row r="8744" spans="1:8" ht="15">
      <c r="A8744"/>
      <c r="B8744"/>
      <c r="D8744"/>
      <c r="E8744"/>
      <c r="F8744"/>
      <c r="H8744"/>
    </row>
    <row r="8745" spans="1:8" ht="15">
      <c r="A8745"/>
      <c r="B8745"/>
      <c r="D8745"/>
      <c r="E8745"/>
      <c r="F8745"/>
      <c r="H8745"/>
    </row>
    <row r="8746" spans="1:8" ht="15">
      <c r="A8746"/>
      <c r="B8746"/>
      <c r="D8746"/>
      <c r="E8746"/>
      <c r="F8746"/>
      <c r="H8746"/>
    </row>
    <row r="8747" spans="1:8" ht="15">
      <c r="A8747"/>
      <c r="B8747"/>
      <c r="D8747"/>
      <c r="E8747"/>
      <c r="F8747"/>
      <c r="H8747"/>
    </row>
    <row r="8748" spans="1:8" ht="15">
      <c r="A8748"/>
      <c r="B8748"/>
      <c r="D8748"/>
      <c r="E8748"/>
      <c r="F8748"/>
      <c r="H8748"/>
    </row>
    <row r="8749" spans="1:8" ht="15">
      <c r="A8749"/>
      <c r="B8749"/>
      <c r="D8749"/>
      <c r="E8749"/>
      <c r="F8749"/>
      <c r="H8749"/>
    </row>
    <row r="8750" spans="1:8" ht="15">
      <c r="A8750"/>
      <c r="B8750"/>
      <c r="D8750"/>
      <c r="E8750"/>
      <c r="F8750"/>
      <c r="H8750"/>
    </row>
    <row r="8751" spans="1:8" ht="15">
      <c r="A8751"/>
      <c r="B8751"/>
      <c r="D8751"/>
      <c r="E8751"/>
      <c r="F8751"/>
      <c r="H8751"/>
    </row>
    <row r="8752" spans="1:8" ht="15">
      <c r="A8752"/>
      <c r="B8752"/>
      <c r="D8752"/>
      <c r="E8752"/>
      <c r="F8752"/>
      <c r="H8752"/>
    </row>
    <row r="8753" spans="1:8" ht="15">
      <c r="A8753"/>
      <c r="B8753"/>
      <c r="D8753"/>
      <c r="E8753"/>
      <c r="F8753"/>
      <c r="H8753"/>
    </row>
    <row r="8754" spans="1:8" ht="15">
      <c r="A8754"/>
      <c r="B8754"/>
      <c r="D8754"/>
      <c r="E8754"/>
      <c r="F8754"/>
      <c r="H8754"/>
    </row>
    <row r="8755" spans="1:8" ht="15">
      <c r="A8755"/>
      <c r="B8755"/>
      <c r="D8755"/>
      <c r="E8755"/>
      <c r="F8755"/>
      <c r="H8755"/>
    </row>
    <row r="8756" spans="1:8" ht="15">
      <c r="A8756"/>
      <c r="B8756"/>
      <c r="D8756"/>
      <c r="E8756"/>
      <c r="F8756"/>
      <c r="H8756"/>
    </row>
    <row r="8757" spans="1:8" ht="15">
      <c r="A8757"/>
      <c r="B8757"/>
      <c r="D8757"/>
      <c r="E8757"/>
      <c r="F8757"/>
      <c r="H8757"/>
    </row>
    <row r="8758" spans="1:8" ht="15">
      <c r="A8758"/>
      <c r="B8758"/>
      <c r="D8758"/>
      <c r="E8758"/>
      <c r="F8758"/>
      <c r="H8758"/>
    </row>
    <row r="8759" spans="1:8" ht="15">
      <c r="A8759"/>
      <c r="B8759"/>
      <c r="D8759"/>
      <c r="E8759"/>
      <c r="F8759"/>
      <c r="H8759"/>
    </row>
    <row r="8760" spans="1:8" ht="15">
      <c r="A8760"/>
      <c r="B8760"/>
      <c r="D8760"/>
      <c r="E8760"/>
      <c r="F8760"/>
      <c r="H8760"/>
    </row>
    <row r="8761" spans="1:8" ht="15">
      <c r="A8761"/>
      <c r="B8761"/>
      <c r="D8761"/>
      <c r="E8761"/>
      <c r="F8761"/>
      <c r="H8761"/>
    </row>
    <row r="8762" spans="1:8" ht="15">
      <c r="A8762"/>
      <c r="B8762"/>
      <c r="D8762"/>
      <c r="E8762"/>
      <c r="F8762"/>
      <c r="H8762"/>
    </row>
    <row r="8763" spans="1:8" ht="15">
      <c r="A8763"/>
      <c r="B8763"/>
      <c r="D8763"/>
      <c r="E8763"/>
      <c r="F8763"/>
      <c r="H8763"/>
    </row>
    <row r="8764" spans="1:8" ht="15">
      <c r="A8764"/>
      <c r="B8764"/>
      <c r="D8764"/>
      <c r="E8764"/>
      <c r="F8764"/>
      <c r="H8764"/>
    </row>
    <row r="8765" spans="1:8" ht="15">
      <c r="A8765"/>
      <c r="B8765"/>
      <c r="D8765"/>
      <c r="E8765"/>
      <c r="F8765"/>
      <c r="H8765"/>
    </row>
    <row r="8766" spans="1:8" ht="15">
      <c r="A8766"/>
      <c r="B8766"/>
      <c r="D8766"/>
      <c r="E8766"/>
      <c r="F8766"/>
      <c r="H8766"/>
    </row>
    <row r="8767" spans="1:8" ht="15">
      <c r="A8767"/>
      <c r="B8767"/>
      <c r="D8767"/>
      <c r="E8767"/>
      <c r="F8767"/>
      <c r="H8767"/>
    </row>
    <row r="8768" spans="1:8" ht="15">
      <c r="A8768"/>
      <c r="B8768"/>
      <c r="D8768"/>
      <c r="E8768"/>
      <c r="F8768"/>
      <c r="H8768"/>
    </row>
    <row r="8769" spans="1:8" ht="15">
      <c r="A8769"/>
      <c r="B8769"/>
      <c r="D8769"/>
      <c r="E8769"/>
      <c r="F8769"/>
      <c r="H8769"/>
    </row>
    <row r="8770" spans="1:8" ht="15">
      <c r="A8770"/>
      <c r="B8770"/>
      <c r="D8770"/>
      <c r="E8770"/>
      <c r="F8770"/>
      <c r="H8770"/>
    </row>
    <row r="8771" spans="1:8" ht="15">
      <c r="A8771"/>
      <c r="B8771"/>
      <c r="D8771"/>
      <c r="E8771"/>
      <c r="F8771"/>
      <c r="H8771"/>
    </row>
    <row r="8772" spans="1:8" ht="15">
      <c r="A8772"/>
      <c r="B8772"/>
      <c r="D8772"/>
      <c r="E8772"/>
      <c r="F8772"/>
      <c r="H8772"/>
    </row>
    <row r="8773" spans="1:8" ht="15">
      <c r="A8773"/>
      <c r="B8773"/>
      <c r="D8773"/>
      <c r="E8773"/>
      <c r="F8773"/>
      <c r="H8773"/>
    </row>
    <row r="8774" spans="1:8" ht="15">
      <c r="A8774"/>
      <c r="B8774"/>
      <c r="D8774"/>
      <c r="E8774"/>
      <c r="F8774"/>
      <c r="H8774"/>
    </row>
    <row r="8775" spans="1:8" ht="15">
      <c r="A8775"/>
      <c r="B8775"/>
      <c r="D8775"/>
      <c r="E8775"/>
      <c r="F8775"/>
      <c r="H8775"/>
    </row>
    <row r="8776" spans="1:8" ht="15">
      <c r="A8776"/>
      <c r="B8776"/>
      <c r="D8776"/>
      <c r="E8776"/>
      <c r="F8776"/>
      <c r="H8776"/>
    </row>
    <row r="8777" spans="1:8" ht="15">
      <c r="A8777"/>
      <c r="B8777"/>
      <c r="D8777"/>
      <c r="E8777"/>
      <c r="F8777"/>
      <c r="H8777"/>
    </row>
    <row r="8778" spans="1:8" ht="15">
      <c r="A8778"/>
      <c r="B8778"/>
      <c r="D8778"/>
      <c r="E8778"/>
      <c r="F8778"/>
      <c r="H8778"/>
    </row>
    <row r="8779" spans="1:8" ht="15">
      <c r="A8779"/>
      <c r="B8779"/>
      <c r="D8779"/>
      <c r="E8779"/>
      <c r="F8779"/>
      <c r="H8779"/>
    </row>
    <row r="8780" spans="1:8" ht="15">
      <c r="A8780"/>
      <c r="B8780"/>
      <c r="D8780"/>
      <c r="E8780"/>
      <c r="F8780"/>
      <c r="H8780"/>
    </row>
    <row r="8781" spans="1:8" ht="15">
      <c r="A8781"/>
      <c r="B8781"/>
      <c r="D8781"/>
      <c r="E8781"/>
      <c r="F8781"/>
      <c r="H8781"/>
    </row>
    <row r="8782" spans="1:8" ht="15">
      <c r="A8782"/>
      <c r="B8782"/>
      <c r="D8782"/>
      <c r="E8782"/>
      <c r="F8782"/>
      <c r="H8782"/>
    </row>
    <row r="8783" spans="1:8" ht="15">
      <c r="A8783"/>
      <c r="B8783"/>
      <c r="D8783"/>
      <c r="E8783"/>
      <c r="F8783"/>
      <c r="H8783"/>
    </row>
    <row r="8784" spans="1:8" ht="15">
      <c r="A8784"/>
      <c r="B8784"/>
      <c r="D8784"/>
      <c r="E8784"/>
      <c r="F8784"/>
      <c r="H8784"/>
    </row>
    <row r="8785" spans="1:8" ht="15">
      <c r="A8785"/>
      <c r="B8785"/>
      <c r="D8785"/>
      <c r="E8785"/>
      <c r="F8785"/>
      <c r="H8785"/>
    </row>
    <row r="8786" spans="1:8" ht="15">
      <c r="A8786"/>
      <c r="B8786"/>
      <c r="D8786"/>
      <c r="E8786"/>
      <c r="F8786"/>
      <c r="H8786"/>
    </row>
    <row r="8787" spans="1:8" ht="15">
      <c r="A8787"/>
      <c r="B8787"/>
      <c r="D8787"/>
      <c r="E8787"/>
      <c r="F8787"/>
      <c r="H8787"/>
    </row>
    <row r="8788" spans="1:8" ht="15">
      <c r="A8788"/>
      <c r="B8788"/>
      <c r="D8788"/>
      <c r="E8788"/>
      <c r="F8788"/>
      <c r="H8788"/>
    </row>
    <row r="8789" spans="1:8" ht="15">
      <c r="A8789"/>
      <c r="B8789"/>
      <c r="D8789"/>
      <c r="E8789"/>
      <c r="F8789"/>
      <c r="H8789"/>
    </row>
    <row r="8790" spans="1:8" ht="15">
      <c r="A8790"/>
      <c r="B8790"/>
      <c r="D8790"/>
      <c r="E8790"/>
      <c r="F8790"/>
      <c r="H8790"/>
    </row>
    <row r="8791" spans="1:8" ht="15">
      <c r="A8791"/>
      <c r="B8791"/>
      <c r="D8791"/>
      <c r="E8791"/>
      <c r="F8791"/>
      <c r="H8791"/>
    </row>
    <row r="8792" spans="1:8" ht="15">
      <c r="A8792"/>
      <c r="B8792"/>
      <c r="D8792"/>
      <c r="E8792"/>
      <c r="F8792"/>
      <c r="H8792"/>
    </row>
    <row r="8793" spans="1:8" ht="15">
      <c r="A8793"/>
      <c r="B8793"/>
      <c r="D8793"/>
      <c r="E8793"/>
      <c r="F8793"/>
      <c r="H8793"/>
    </row>
    <row r="8794" spans="1:8" ht="15">
      <c r="A8794"/>
      <c r="B8794"/>
      <c r="D8794"/>
      <c r="E8794"/>
      <c r="F8794"/>
      <c r="H8794"/>
    </row>
    <row r="8795" spans="1:8" ht="15">
      <c r="A8795"/>
      <c r="B8795"/>
      <c r="D8795"/>
      <c r="E8795"/>
      <c r="F8795"/>
      <c r="H8795"/>
    </row>
    <row r="8796" spans="1:8" ht="15">
      <c r="A8796"/>
      <c r="B8796"/>
      <c r="D8796"/>
      <c r="E8796"/>
      <c r="F8796"/>
      <c r="H8796"/>
    </row>
    <row r="8797" spans="1:8" ht="15">
      <c r="A8797"/>
      <c r="B8797"/>
      <c r="D8797"/>
      <c r="E8797"/>
      <c r="F8797"/>
      <c r="H8797"/>
    </row>
    <row r="8798" spans="1:8" ht="15">
      <c r="A8798"/>
      <c r="B8798"/>
      <c r="D8798"/>
      <c r="E8798"/>
      <c r="F8798"/>
      <c r="H8798"/>
    </row>
    <row r="8799" spans="1:8" ht="15">
      <c r="A8799"/>
      <c r="B8799"/>
      <c r="D8799"/>
      <c r="E8799"/>
      <c r="F8799"/>
      <c r="H8799"/>
    </row>
    <row r="8800" spans="1:8" ht="15">
      <c r="A8800"/>
      <c r="B8800"/>
      <c r="D8800"/>
      <c r="E8800"/>
      <c r="F8800"/>
      <c r="H8800"/>
    </row>
    <row r="8801" spans="1:8" ht="15">
      <c r="A8801"/>
      <c r="B8801"/>
      <c r="D8801"/>
      <c r="E8801"/>
      <c r="F8801"/>
      <c r="H8801"/>
    </row>
    <row r="8802" spans="1:8" ht="15">
      <c r="A8802"/>
      <c r="B8802"/>
      <c r="D8802"/>
      <c r="E8802"/>
      <c r="F8802"/>
      <c r="H8802"/>
    </row>
    <row r="8803" spans="1:8" ht="15">
      <c r="A8803"/>
      <c r="B8803"/>
      <c r="D8803"/>
      <c r="E8803"/>
      <c r="F8803"/>
      <c r="H8803"/>
    </row>
    <row r="8804" spans="1:8" ht="15">
      <c r="A8804"/>
      <c r="B8804"/>
      <c r="D8804"/>
      <c r="E8804"/>
      <c r="F8804"/>
      <c r="H8804"/>
    </row>
    <row r="8805" spans="1:8" ht="15">
      <c r="A8805"/>
      <c r="B8805"/>
      <c r="D8805"/>
      <c r="E8805"/>
      <c r="F8805"/>
      <c r="H8805"/>
    </row>
    <row r="8806" spans="1:8" ht="15">
      <c r="A8806"/>
      <c r="B8806"/>
      <c r="D8806"/>
      <c r="E8806"/>
      <c r="F8806"/>
      <c r="H8806"/>
    </row>
    <row r="8807" spans="1:8" ht="15">
      <c r="A8807"/>
      <c r="B8807"/>
      <c r="D8807"/>
      <c r="E8807"/>
      <c r="F8807"/>
      <c r="H8807"/>
    </row>
    <row r="8808" spans="1:8" ht="15">
      <c r="A8808"/>
      <c r="B8808"/>
      <c r="D8808"/>
      <c r="E8808"/>
      <c r="F8808"/>
      <c r="H8808"/>
    </row>
    <row r="8809" spans="1:8" ht="15">
      <c r="A8809"/>
      <c r="B8809"/>
      <c r="D8809"/>
      <c r="E8809"/>
      <c r="F8809"/>
      <c r="H8809"/>
    </row>
    <row r="8810" spans="1:8" ht="15">
      <c r="A8810"/>
      <c r="B8810"/>
      <c r="D8810"/>
      <c r="E8810"/>
      <c r="F8810"/>
      <c r="H8810"/>
    </row>
    <row r="8811" spans="1:8" ht="15">
      <c r="A8811"/>
      <c r="B8811"/>
      <c r="D8811"/>
      <c r="E8811"/>
      <c r="F8811"/>
      <c r="H8811"/>
    </row>
    <row r="8812" spans="1:8" ht="15">
      <c r="A8812"/>
      <c r="B8812"/>
      <c r="D8812"/>
      <c r="E8812"/>
      <c r="F8812"/>
      <c r="H8812"/>
    </row>
    <row r="8813" spans="1:8" ht="15">
      <c r="A8813"/>
      <c r="B8813"/>
      <c r="D8813"/>
      <c r="E8813"/>
      <c r="F8813"/>
      <c r="H8813"/>
    </row>
    <row r="8814" spans="1:8" ht="15">
      <c r="A8814"/>
      <c r="B8814"/>
      <c r="D8814"/>
      <c r="E8814"/>
      <c r="F8814"/>
      <c r="H8814"/>
    </row>
    <row r="8815" spans="1:8" ht="15">
      <c r="A8815"/>
      <c r="B8815"/>
      <c r="D8815"/>
      <c r="E8815"/>
      <c r="F8815"/>
      <c r="H8815"/>
    </row>
    <row r="8816" spans="1:8" ht="15">
      <c r="A8816"/>
      <c r="B8816"/>
      <c r="D8816"/>
      <c r="E8816"/>
      <c r="F8816"/>
      <c r="H8816"/>
    </row>
    <row r="8817" spans="1:8" ht="15">
      <c r="A8817"/>
      <c r="B8817"/>
      <c r="D8817"/>
      <c r="E8817"/>
      <c r="F8817"/>
      <c r="H8817"/>
    </row>
    <row r="8818" spans="1:8" ht="15">
      <c r="A8818"/>
      <c r="B8818"/>
      <c r="D8818"/>
      <c r="E8818"/>
      <c r="F8818"/>
      <c r="H8818"/>
    </row>
    <row r="8819" spans="1:8" ht="15">
      <c r="A8819"/>
      <c r="B8819"/>
      <c r="D8819"/>
      <c r="E8819"/>
      <c r="F8819"/>
      <c r="H8819"/>
    </row>
    <row r="8820" spans="1:8" ht="15">
      <c r="A8820"/>
      <c r="B8820"/>
      <c r="D8820"/>
      <c r="E8820"/>
      <c r="F8820"/>
      <c r="H8820"/>
    </row>
    <row r="8821" spans="1:8" ht="15">
      <c r="A8821"/>
      <c r="B8821"/>
      <c r="D8821"/>
      <c r="E8821"/>
      <c r="F8821"/>
      <c r="H8821"/>
    </row>
    <row r="8822" spans="1:8" ht="15">
      <c r="A8822"/>
      <c r="B8822"/>
      <c r="D8822"/>
      <c r="E8822"/>
      <c r="F8822"/>
      <c r="H8822"/>
    </row>
    <row r="8823" spans="1:8" ht="15">
      <c r="A8823"/>
      <c r="B8823"/>
      <c r="D8823"/>
      <c r="E8823"/>
      <c r="F8823"/>
      <c r="H8823"/>
    </row>
    <row r="8824" spans="1:8" ht="15">
      <c r="A8824"/>
      <c r="B8824"/>
      <c r="D8824"/>
      <c r="E8824"/>
      <c r="F8824"/>
      <c r="H8824"/>
    </row>
    <row r="8825" spans="1:8" ht="15">
      <c r="A8825"/>
      <c r="B8825"/>
      <c r="D8825"/>
      <c r="E8825"/>
      <c r="F8825"/>
      <c r="H8825"/>
    </row>
    <row r="8826" spans="1:8" ht="15">
      <c r="A8826"/>
      <c r="B8826"/>
      <c r="D8826"/>
      <c r="E8826"/>
      <c r="F8826"/>
      <c r="H8826"/>
    </row>
    <row r="8827" spans="1:8" ht="15">
      <c r="A8827"/>
      <c r="B8827"/>
      <c r="D8827"/>
      <c r="E8827"/>
      <c r="F8827"/>
      <c r="H8827"/>
    </row>
    <row r="8828" spans="1:8" ht="15">
      <c r="A8828"/>
      <c r="B8828"/>
      <c r="D8828"/>
      <c r="E8828"/>
      <c r="F8828"/>
      <c r="H8828"/>
    </row>
    <row r="8829" spans="1:8" ht="15">
      <c r="A8829"/>
      <c r="B8829"/>
      <c r="D8829"/>
      <c r="E8829"/>
      <c r="F8829"/>
      <c r="H8829"/>
    </row>
    <row r="8830" spans="1:8" ht="15">
      <c r="A8830"/>
      <c r="B8830"/>
      <c r="D8830"/>
      <c r="E8830"/>
      <c r="F8830"/>
      <c r="H8830"/>
    </row>
    <row r="8831" spans="1:8" ht="15">
      <c r="A8831"/>
      <c r="B8831"/>
      <c r="D8831"/>
      <c r="E8831"/>
      <c r="F8831"/>
      <c r="H8831"/>
    </row>
    <row r="8832" spans="1:8" ht="15">
      <c r="A8832"/>
      <c r="B8832"/>
      <c r="D8832"/>
      <c r="E8832"/>
      <c r="F8832"/>
      <c r="H8832"/>
    </row>
    <row r="8833" spans="1:8" ht="15">
      <c r="A8833"/>
      <c r="B8833"/>
      <c r="D8833"/>
      <c r="E8833"/>
      <c r="F8833"/>
      <c r="H8833"/>
    </row>
    <row r="8834" spans="1:8" ht="15">
      <c r="A8834"/>
      <c r="B8834"/>
      <c r="D8834"/>
      <c r="E8834"/>
      <c r="F8834"/>
      <c r="H8834"/>
    </row>
    <row r="8835" spans="1:8" ht="15">
      <c r="A8835"/>
      <c r="B8835"/>
      <c r="D8835"/>
      <c r="E8835"/>
      <c r="F8835"/>
      <c r="H8835"/>
    </row>
    <row r="8836" spans="1:8" ht="15">
      <c r="A8836"/>
      <c r="B8836"/>
      <c r="D8836"/>
      <c r="E8836"/>
      <c r="F8836"/>
      <c r="H8836"/>
    </row>
    <row r="8837" spans="1:8" ht="15">
      <c r="A8837"/>
      <c r="B8837"/>
      <c r="D8837"/>
      <c r="E8837"/>
      <c r="F8837"/>
      <c r="H8837"/>
    </row>
    <row r="8838" spans="1:8" ht="15">
      <c r="A8838"/>
      <c r="B8838"/>
      <c r="D8838"/>
      <c r="E8838"/>
      <c r="F8838"/>
      <c r="H8838"/>
    </row>
    <row r="8839" spans="1:8" ht="15">
      <c r="A8839"/>
      <c r="B8839"/>
      <c r="D8839"/>
      <c r="E8839"/>
      <c r="F8839"/>
      <c r="H8839"/>
    </row>
    <row r="8840" spans="1:8" ht="15">
      <c r="A8840"/>
      <c r="B8840"/>
      <c r="D8840"/>
      <c r="E8840"/>
      <c r="F8840"/>
      <c r="H8840"/>
    </row>
    <row r="8841" spans="1:8" ht="15">
      <c r="A8841"/>
      <c r="B8841"/>
      <c r="D8841"/>
      <c r="E8841"/>
      <c r="F8841"/>
      <c r="H8841"/>
    </row>
    <row r="8842" spans="1:8" ht="15">
      <c r="A8842"/>
      <c r="B8842"/>
      <c r="D8842"/>
      <c r="E8842"/>
      <c r="F8842"/>
      <c r="H8842"/>
    </row>
    <row r="8843" spans="1:8" ht="15">
      <c r="A8843"/>
      <c r="B8843"/>
      <c r="D8843"/>
      <c r="E8843"/>
      <c r="F8843"/>
      <c r="H8843"/>
    </row>
    <row r="8844" spans="1:8" ht="15">
      <c r="A8844"/>
      <c r="B8844"/>
      <c r="D8844"/>
      <c r="E8844"/>
      <c r="F8844"/>
      <c r="H8844"/>
    </row>
    <row r="8845" spans="1:8" ht="15">
      <c r="A8845"/>
      <c r="B8845"/>
      <c r="D8845"/>
      <c r="E8845"/>
      <c r="F8845"/>
      <c r="H8845"/>
    </row>
    <row r="8846" spans="1:8" ht="15">
      <c r="A8846"/>
      <c r="B8846"/>
      <c r="D8846"/>
      <c r="E8846"/>
      <c r="F8846"/>
      <c r="H8846"/>
    </row>
    <row r="8847" spans="1:8" ht="15">
      <c r="A8847"/>
      <c r="B8847"/>
      <c r="D8847"/>
      <c r="E8847"/>
      <c r="F8847"/>
      <c r="H8847"/>
    </row>
    <row r="8848" spans="1:8" ht="15">
      <c r="A8848"/>
      <c r="B8848"/>
      <c r="D8848"/>
      <c r="E8848"/>
      <c r="F8848"/>
      <c r="H8848"/>
    </row>
    <row r="8849" spans="1:8" ht="15">
      <c r="A8849"/>
      <c r="B8849"/>
      <c r="D8849"/>
      <c r="E8849"/>
      <c r="F8849"/>
      <c r="H8849"/>
    </row>
    <row r="8850" spans="1:8" ht="15">
      <c r="A8850"/>
      <c r="B8850"/>
      <c r="D8850"/>
      <c r="E8850"/>
      <c r="F8850"/>
      <c r="H8850"/>
    </row>
    <row r="8851" spans="1:8" ht="15">
      <c r="A8851"/>
      <c r="B8851"/>
      <c r="D8851"/>
      <c r="E8851"/>
      <c r="F8851"/>
      <c r="H8851"/>
    </row>
    <row r="8852" spans="1:8" ht="15">
      <c r="A8852"/>
      <c r="B8852"/>
      <c r="D8852"/>
      <c r="E8852"/>
      <c r="F8852"/>
      <c r="H8852"/>
    </row>
    <row r="8853" spans="1:8" ht="15">
      <c r="A8853"/>
      <c r="B8853"/>
      <c r="D8853"/>
      <c r="E8853"/>
      <c r="F8853"/>
      <c r="H8853"/>
    </row>
    <row r="8854" spans="1:8" ht="15">
      <c r="A8854"/>
      <c r="B8854"/>
      <c r="D8854"/>
      <c r="E8854"/>
      <c r="F8854"/>
      <c r="H8854"/>
    </row>
    <row r="8855" spans="1:8" ht="15">
      <c r="A8855"/>
      <c r="B8855"/>
      <c r="D8855"/>
      <c r="E8855"/>
      <c r="F8855"/>
      <c r="H8855"/>
    </row>
    <row r="8856" spans="1:8" ht="15">
      <c r="A8856"/>
      <c r="B8856"/>
      <c r="D8856"/>
      <c r="E8856"/>
      <c r="F8856"/>
      <c r="H8856"/>
    </row>
    <row r="8857" spans="1:8" ht="15">
      <c r="A8857"/>
      <c r="B8857"/>
      <c r="D8857"/>
      <c r="E8857"/>
      <c r="F8857"/>
      <c r="H8857"/>
    </row>
    <row r="8858" spans="1:8" ht="15">
      <c r="A8858"/>
      <c r="B8858"/>
      <c r="D8858"/>
      <c r="E8858"/>
      <c r="F8858"/>
      <c r="H8858"/>
    </row>
    <row r="8859" spans="1:8" ht="15">
      <c r="A8859"/>
      <c r="B8859"/>
      <c r="D8859"/>
      <c r="E8859"/>
      <c r="F8859"/>
      <c r="H8859"/>
    </row>
    <row r="8860" spans="1:8" ht="15">
      <c r="A8860"/>
      <c r="B8860"/>
      <c r="D8860"/>
      <c r="E8860"/>
      <c r="F8860"/>
      <c r="H8860"/>
    </row>
    <row r="8861" spans="1:8" ht="15">
      <c r="A8861"/>
      <c r="B8861"/>
      <c r="D8861"/>
      <c r="E8861"/>
      <c r="F8861"/>
      <c r="H8861"/>
    </row>
    <row r="8862" spans="1:8" ht="15">
      <c r="A8862"/>
      <c r="B8862"/>
      <c r="D8862"/>
      <c r="E8862"/>
      <c r="F8862"/>
      <c r="H8862"/>
    </row>
    <row r="8863" spans="1:8" ht="15">
      <c r="A8863"/>
      <c r="B8863"/>
      <c r="D8863"/>
      <c r="E8863"/>
      <c r="F8863"/>
      <c r="H8863"/>
    </row>
    <row r="8864" spans="1:8" ht="15">
      <c r="A8864"/>
      <c r="B8864"/>
      <c r="D8864"/>
      <c r="E8864"/>
      <c r="F8864"/>
      <c r="H8864"/>
    </row>
    <row r="8865" spans="1:8" ht="15">
      <c r="A8865"/>
      <c r="B8865"/>
      <c r="D8865"/>
      <c r="E8865"/>
      <c r="F8865"/>
      <c r="H8865"/>
    </row>
    <row r="8866" spans="1:8" ht="15">
      <c r="A8866"/>
      <c r="B8866"/>
      <c r="D8866"/>
      <c r="E8866"/>
      <c r="F8866"/>
      <c r="H8866"/>
    </row>
    <row r="8867" spans="1:8" ht="15">
      <c r="A8867"/>
      <c r="B8867"/>
      <c r="D8867"/>
      <c r="E8867"/>
      <c r="F8867"/>
      <c r="H8867"/>
    </row>
    <row r="8868" spans="1:8" ht="15">
      <c r="A8868"/>
      <c r="B8868"/>
      <c r="D8868"/>
      <c r="E8868"/>
      <c r="F8868"/>
      <c r="H8868"/>
    </row>
    <row r="8869" spans="1:8" ht="15">
      <c r="A8869"/>
      <c r="B8869"/>
      <c r="D8869"/>
      <c r="E8869"/>
      <c r="F8869"/>
      <c r="H8869"/>
    </row>
    <row r="8870" spans="1:8" ht="15">
      <c r="A8870"/>
      <c r="B8870"/>
      <c r="D8870"/>
      <c r="E8870"/>
      <c r="F8870"/>
      <c r="H8870"/>
    </row>
    <row r="8871" spans="1:8" ht="15">
      <c r="A8871"/>
      <c r="B8871"/>
      <c r="D8871"/>
      <c r="E8871"/>
      <c r="F8871"/>
      <c r="H8871"/>
    </row>
    <row r="8872" spans="1:8" ht="15">
      <c r="A8872"/>
      <c r="B8872"/>
      <c r="D8872"/>
      <c r="E8872"/>
      <c r="F8872"/>
      <c r="H8872"/>
    </row>
    <row r="8873" spans="1:8" ht="15">
      <c r="A8873"/>
      <c r="B8873"/>
      <c r="D8873"/>
      <c r="E8873"/>
      <c r="F8873"/>
      <c r="H8873"/>
    </row>
    <row r="8874" spans="1:8" ht="15">
      <c r="A8874"/>
      <c r="B8874"/>
      <c r="D8874"/>
      <c r="E8874"/>
      <c r="F8874"/>
      <c r="H8874"/>
    </row>
    <row r="8875" spans="1:8" ht="15">
      <c r="A8875"/>
      <c r="B8875"/>
      <c r="D8875"/>
      <c r="E8875"/>
      <c r="F8875"/>
      <c r="H8875"/>
    </row>
    <row r="8876" spans="1:8" ht="15">
      <c r="A8876"/>
      <c r="B8876"/>
      <c r="D8876"/>
      <c r="E8876"/>
      <c r="F8876"/>
      <c r="H8876"/>
    </row>
    <row r="8877" spans="1:8" ht="15">
      <c r="A8877"/>
      <c r="B8877"/>
      <c r="D8877"/>
      <c r="E8877"/>
      <c r="F8877"/>
      <c r="H8877"/>
    </row>
    <row r="8878" spans="1:8" ht="15">
      <c r="A8878"/>
      <c r="B8878"/>
      <c r="D8878"/>
      <c r="E8878"/>
      <c r="F8878"/>
      <c r="H8878"/>
    </row>
    <row r="8879" spans="1:8" ht="15">
      <c r="A8879"/>
      <c r="B8879"/>
      <c r="D8879"/>
      <c r="E8879"/>
      <c r="F8879"/>
      <c r="H8879"/>
    </row>
    <row r="8880" spans="1:8" ht="15">
      <c r="A8880"/>
      <c r="B8880"/>
      <c r="D8880"/>
      <c r="E8880"/>
      <c r="F8880"/>
      <c r="H8880"/>
    </row>
    <row r="8881" spans="1:8" ht="15">
      <c r="A8881"/>
      <c r="B8881"/>
      <c r="D8881"/>
      <c r="E8881"/>
      <c r="F8881"/>
      <c r="H8881"/>
    </row>
    <row r="8882" spans="1:8" ht="15">
      <c r="A8882"/>
      <c r="B8882"/>
      <c r="D8882"/>
      <c r="E8882"/>
      <c r="F8882"/>
      <c r="H8882"/>
    </row>
    <row r="8883" spans="1:8" ht="15">
      <c r="A8883"/>
      <c r="B8883"/>
      <c r="D8883"/>
      <c r="E8883"/>
      <c r="F8883"/>
      <c r="H8883"/>
    </row>
    <row r="8884" spans="1:8" ht="15">
      <c r="A8884"/>
      <c r="B8884"/>
      <c r="D8884"/>
      <c r="E8884"/>
      <c r="F8884"/>
      <c r="H8884"/>
    </row>
    <row r="8885" spans="1:8" ht="15">
      <c r="A8885"/>
      <c r="B8885"/>
      <c r="D8885"/>
      <c r="E8885"/>
      <c r="F8885"/>
      <c r="H8885"/>
    </row>
    <row r="8886" spans="1:8" ht="15">
      <c r="A8886"/>
      <c r="B8886"/>
      <c r="D8886"/>
      <c r="E8886"/>
      <c r="F8886"/>
      <c r="H8886"/>
    </row>
    <row r="8887" spans="1:8" ht="15">
      <c r="A8887"/>
      <c r="B8887"/>
      <c r="D8887"/>
      <c r="E8887"/>
      <c r="F8887"/>
      <c r="H8887"/>
    </row>
    <row r="8888" spans="1:8" ht="15">
      <c r="A8888"/>
      <c r="B8888"/>
      <c r="D8888"/>
      <c r="E8888"/>
      <c r="F8888"/>
      <c r="H8888"/>
    </row>
    <row r="8889" spans="1:8" ht="15">
      <c r="A8889"/>
      <c r="B8889"/>
      <c r="D8889"/>
      <c r="E8889"/>
      <c r="F8889"/>
      <c r="H8889"/>
    </row>
    <row r="8890" spans="1:8" ht="15">
      <c r="A8890"/>
      <c r="B8890"/>
      <c r="D8890"/>
      <c r="E8890"/>
      <c r="F8890"/>
      <c r="H8890"/>
    </row>
    <row r="8891" spans="1:8" ht="15">
      <c r="A8891"/>
      <c r="B8891"/>
      <c r="D8891"/>
      <c r="E8891"/>
      <c r="F8891"/>
      <c r="H8891"/>
    </row>
    <row r="8892" spans="1:8" ht="15">
      <c r="A8892"/>
      <c r="B8892"/>
      <c r="D8892"/>
      <c r="E8892"/>
      <c r="F8892"/>
      <c r="H8892"/>
    </row>
    <row r="8893" spans="1:8" ht="15">
      <c r="A8893"/>
      <c r="B8893"/>
      <c r="D8893"/>
      <c r="E8893"/>
      <c r="F8893"/>
      <c r="H8893"/>
    </row>
    <row r="8894" spans="1:8" ht="15">
      <c r="A8894"/>
      <c r="B8894"/>
      <c r="D8894"/>
      <c r="E8894"/>
      <c r="F8894"/>
      <c r="H8894"/>
    </row>
    <row r="8895" spans="1:8" ht="15">
      <c r="A8895"/>
      <c r="B8895"/>
      <c r="D8895"/>
      <c r="E8895"/>
      <c r="F8895"/>
      <c r="H8895"/>
    </row>
    <row r="8896" spans="1:8" ht="15">
      <c r="A8896"/>
      <c r="B8896"/>
      <c r="D8896"/>
      <c r="E8896"/>
      <c r="F8896"/>
      <c r="H8896"/>
    </row>
    <row r="8897" spans="1:8" ht="15">
      <c r="A8897"/>
      <c r="B8897"/>
      <c r="D8897"/>
      <c r="E8897"/>
      <c r="F8897"/>
      <c r="H8897"/>
    </row>
    <row r="8898" spans="1:8" ht="15">
      <c r="A8898"/>
      <c r="B8898"/>
      <c r="D8898"/>
      <c r="E8898"/>
      <c r="F8898"/>
      <c r="H8898"/>
    </row>
    <row r="8899" spans="1:8" ht="15">
      <c r="A8899"/>
      <c r="B8899"/>
      <c r="D8899"/>
      <c r="E8899"/>
      <c r="F8899"/>
      <c r="H8899"/>
    </row>
    <row r="8900" spans="1:8" ht="15">
      <c r="A8900"/>
      <c r="B8900"/>
      <c r="D8900"/>
      <c r="E8900"/>
      <c r="F8900"/>
      <c r="H8900"/>
    </row>
    <row r="8901" spans="1:8" ht="15">
      <c r="A8901"/>
      <c r="B8901"/>
      <c r="D8901"/>
      <c r="E8901"/>
      <c r="F8901"/>
      <c r="H8901"/>
    </row>
    <row r="8902" spans="1:8" ht="15">
      <c r="A8902"/>
      <c r="B8902"/>
      <c r="D8902"/>
      <c r="E8902"/>
      <c r="F8902"/>
      <c r="H8902"/>
    </row>
    <row r="8903" spans="1:8" ht="15">
      <c r="A8903"/>
      <c r="B8903"/>
      <c r="D8903"/>
      <c r="E8903"/>
      <c r="F8903"/>
      <c r="H8903"/>
    </row>
    <row r="8904" spans="1:8" ht="15">
      <c r="A8904"/>
      <c r="B8904"/>
      <c r="D8904"/>
      <c r="E8904"/>
      <c r="F8904"/>
      <c r="H8904"/>
    </row>
    <row r="8905" spans="1:8" ht="15">
      <c r="A8905"/>
      <c r="B8905"/>
      <c r="D8905"/>
      <c r="E8905"/>
      <c r="F8905"/>
      <c r="H8905"/>
    </row>
    <row r="8906" spans="1:8" ht="15">
      <c r="A8906"/>
      <c r="B8906"/>
      <c r="D8906"/>
      <c r="E8906"/>
      <c r="F8906"/>
      <c r="H8906"/>
    </row>
    <row r="8907" spans="1:8" ht="15">
      <c r="A8907"/>
      <c r="B8907"/>
      <c r="D8907"/>
      <c r="E8907"/>
      <c r="F8907"/>
      <c r="H8907"/>
    </row>
    <row r="8908" spans="1:8" ht="15">
      <c r="A8908"/>
      <c r="B8908"/>
      <c r="D8908"/>
      <c r="E8908"/>
      <c r="F8908"/>
      <c r="H8908"/>
    </row>
    <row r="8909" spans="1:8" ht="15">
      <c r="A8909"/>
      <c r="B8909"/>
      <c r="D8909"/>
      <c r="E8909"/>
      <c r="F8909"/>
      <c r="H8909"/>
    </row>
    <row r="8910" spans="1:8" ht="15">
      <c r="A8910"/>
      <c r="B8910"/>
      <c r="D8910"/>
      <c r="E8910"/>
      <c r="F8910"/>
      <c r="H8910"/>
    </row>
    <row r="8911" spans="1:8" ht="15">
      <c r="A8911"/>
      <c r="B8911"/>
      <c r="D8911"/>
      <c r="E8911"/>
      <c r="F8911"/>
      <c r="H8911"/>
    </row>
    <row r="8912" spans="1:8" ht="15">
      <c r="A8912"/>
      <c r="B8912"/>
      <c r="D8912"/>
      <c r="E8912"/>
      <c r="F8912"/>
      <c r="H8912"/>
    </row>
    <row r="8913" spans="1:8" ht="15">
      <c r="A8913"/>
      <c r="B8913"/>
      <c r="D8913"/>
      <c r="E8913"/>
      <c r="F8913"/>
      <c r="H8913"/>
    </row>
    <row r="8914" spans="1:8" ht="15">
      <c r="A8914"/>
      <c r="B8914"/>
      <c r="D8914"/>
      <c r="E8914"/>
      <c r="F8914"/>
      <c r="H8914"/>
    </row>
    <row r="8915" spans="1:8" ht="15">
      <c r="A8915"/>
      <c r="B8915"/>
      <c r="D8915"/>
      <c r="E8915"/>
      <c r="F8915"/>
      <c r="H8915"/>
    </row>
    <row r="8916" spans="1:8" ht="15">
      <c r="A8916"/>
      <c r="B8916"/>
      <c r="D8916"/>
      <c r="E8916"/>
      <c r="F8916"/>
      <c r="H8916"/>
    </row>
    <row r="8917" spans="1:8" ht="15">
      <c r="A8917"/>
      <c r="B8917"/>
      <c r="D8917"/>
      <c r="E8917"/>
      <c r="F8917"/>
      <c r="H8917"/>
    </row>
    <row r="8918" spans="1:8" ht="15">
      <c r="A8918"/>
      <c r="B8918"/>
      <c r="D8918"/>
      <c r="E8918"/>
      <c r="F8918"/>
      <c r="H8918"/>
    </row>
    <row r="8919" spans="1:8" ht="15">
      <c r="A8919"/>
      <c r="B8919"/>
      <c r="D8919"/>
      <c r="E8919"/>
      <c r="F8919"/>
      <c r="H8919"/>
    </row>
    <row r="8920" spans="1:8" ht="15">
      <c r="A8920"/>
      <c r="B8920"/>
      <c r="D8920"/>
      <c r="E8920"/>
      <c r="F8920"/>
      <c r="H8920"/>
    </row>
    <row r="8921" spans="1:8" ht="15">
      <c r="A8921"/>
      <c r="B8921"/>
      <c r="D8921"/>
      <c r="E8921"/>
      <c r="F8921"/>
      <c r="H8921"/>
    </row>
    <row r="8922" spans="1:8" ht="15">
      <c r="A8922"/>
      <c r="B8922"/>
      <c r="D8922"/>
      <c r="E8922"/>
      <c r="F8922"/>
      <c r="H8922"/>
    </row>
    <row r="8923" spans="1:8" ht="15">
      <c r="A8923"/>
      <c r="B8923"/>
      <c r="D8923"/>
      <c r="E8923"/>
      <c r="F8923"/>
      <c r="H8923"/>
    </row>
    <row r="8924" spans="1:8" ht="15">
      <c r="A8924"/>
      <c r="B8924"/>
      <c r="D8924"/>
      <c r="E8924"/>
      <c r="F8924"/>
      <c r="H8924"/>
    </row>
    <row r="8925" spans="1:8" ht="15">
      <c r="A8925"/>
      <c r="B8925"/>
      <c r="D8925"/>
      <c r="E8925"/>
      <c r="F8925"/>
      <c r="H8925"/>
    </row>
    <row r="8926" spans="1:8" ht="15">
      <c r="A8926"/>
      <c r="B8926"/>
      <c r="D8926"/>
      <c r="E8926"/>
      <c r="F8926"/>
      <c r="H8926"/>
    </row>
    <row r="8927" spans="1:8" ht="15">
      <c r="A8927"/>
      <c r="B8927"/>
      <c r="D8927"/>
      <c r="E8927"/>
      <c r="F8927"/>
      <c r="H8927"/>
    </row>
    <row r="8928" spans="1:8" ht="15">
      <c r="A8928"/>
      <c r="B8928"/>
      <c r="D8928"/>
      <c r="E8928"/>
      <c r="F8928"/>
      <c r="H8928"/>
    </row>
    <row r="8929" spans="1:8" ht="15">
      <c r="A8929"/>
      <c r="B8929"/>
      <c r="D8929"/>
      <c r="E8929"/>
      <c r="F8929"/>
      <c r="H8929"/>
    </row>
    <row r="8930" spans="1:8" ht="15">
      <c r="A8930"/>
      <c r="B8930"/>
      <c r="D8930"/>
      <c r="E8930"/>
      <c r="F8930"/>
      <c r="H8930"/>
    </row>
    <row r="8931" spans="1:8" ht="15">
      <c r="A8931"/>
      <c r="B8931"/>
      <c r="D8931"/>
      <c r="E8931"/>
      <c r="F8931"/>
      <c r="H8931"/>
    </row>
    <row r="8932" spans="1:8" ht="15">
      <c r="A8932"/>
      <c r="B8932"/>
      <c r="D8932"/>
      <c r="E8932"/>
      <c r="F8932"/>
      <c r="H8932"/>
    </row>
    <row r="8933" spans="1:8" ht="15">
      <c r="A8933"/>
      <c r="B8933"/>
      <c r="D8933"/>
      <c r="E8933"/>
      <c r="F8933"/>
      <c r="H8933"/>
    </row>
    <row r="8934" spans="1:8" ht="15">
      <c r="A8934"/>
      <c r="B8934"/>
      <c r="D8934"/>
      <c r="E8934"/>
      <c r="F8934"/>
      <c r="H8934"/>
    </row>
    <row r="8935" spans="1:8" ht="15">
      <c r="A8935"/>
      <c r="B8935"/>
      <c r="D8935"/>
      <c r="E8935"/>
      <c r="F8935"/>
      <c r="H8935"/>
    </row>
    <row r="8936" spans="1:8" ht="15">
      <c r="A8936"/>
      <c r="B8936"/>
      <c r="D8936"/>
      <c r="E8936"/>
      <c r="F8936"/>
      <c r="H8936"/>
    </row>
    <row r="8937" spans="1:8" ht="15">
      <c r="A8937"/>
      <c r="B8937"/>
      <c r="D8937"/>
      <c r="E8937"/>
      <c r="F8937"/>
      <c r="H8937"/>
    </row>
    <row r="8938" spans="1:8" ht="15">
      <c r="A8938"/>
      <c r="B8938"/>
      <c r="D8938"/>
      <c r="E8938"/>
      <c r="F8938"/>
      <c r="H8938"/>
    </row>
    <row r="8939" spans="1:8" ht="15">
      <c r="A8939"/>
      <c r="B8939"/>
      <c r="D8939"/>
      <c r="E8939"/>
      <c r="F8939"/>
      <c r="H8939"/>
    </row>
    <row r="8940" spans="1:8" ht="15">
      <c r="A8940"/>
      <c r="B8940"/>
      <c r="D8940"/>
      <c r="E8940"/>
      <c r="F8940"/>
      <c r="H8940"/>
    </row>
    <row r="8941" spans="1:8" ht="15">
      <c r="A8941"/>
      <c r="B8941"/>
      <c r="D8941"/>
      <c r="E8941"/>
      <c r="F8941"/>
      <c r="H8941"/>
    </row>
    <row r="8942" spans="1:8" ht="15">
      <c r="A8942"/>
      <c r="B8942"/>
      <c r="D8942"/>
      <c r="E8942"/>
      <c r="F8942"/>
      <c r="H8942"/>
    </row>
    <row r="8943" spans="1:8" ht="15">
      <c r="A8943"/>
      <c r="B8943"/>
      <c r="D8943"/>
      <c r="E8943"/>
      <c r="F8943"/>
      <c r="H8943"/>
    </row>
    <row r="8944" spans="1:8" ht="15">
      <c r="A8944"/>
      <c r="B8944"/>
      <c r="D8944"/>
      <c r="E8944"/>
      <c r="F8944"/>
      <c r="H8944"/>
    </row>
    <row r="8945" spans="1:8" ht="15">
      <c r="A8945"/>
      <c r="B8945"/>
      <c r="D8945"/>
      <c r="E8945"/>
      <c r="F8945"/>
      <c r="H8945"/>
    </row>
    <row r="8946" spans="1:8" ht="15">
      <c r="A8946"/>
      <c r="B8946"/>
      <c r="D8946"/>
      <c r="E8946"/>
      <c r="F8946"/>
      <c r="H8946"/>
    </row>
    <row r="8947" spans="1:8" ht="15">
      <c r="A8947"/>
      <c r="B8947"/>
      <c r="D8947"/>
      <c r="E8947"/>
      <c r="F8947"/>
      <c r="H8947"/>
    </row>
    <row r="8948" spans="1:8" ht="15">
      <c r="A8948"/>
      <c r="B8948"/>
      <c r="D8948"/>
      <c r="E8948"/>
      <c r="F8948"/>
      <c r="H8948"/>
    </row>
    <row r="8949" spans="1:8" ht="15">
      <c r="A8949"/>
      <c r="B8949"/>
      <c r="D8949"/>
      <c r="E8949"/>
      <c r="F8949"/>
      <c r="H8949"/>
    </row>
    <row r="8950" spans="1:8" ht="15">
      <c r="A8950"/>
      <c r="B8950"/>
      <c r="D8950"/>
      <c r="E8950"/>
      <c r="F8950"/>
      <c r="H8950"/>
    </row>
    <row r="8951" spans="1:8" ht="15">
      <c r="A8951"/>
      <c r="B8951"/>
      <c r="D8951"/>
      <c r="E8951"/>
      <c r="F8951"/>
      <c r="H8951"/>
    </row>
    <row r="8952" spans="1:8" ht="15">
      <c r="A8952"/>
      <c r="B8952"/>
      <c r="D8952"/>
      <c r="E8952"/>
      <c r="F8952"/>
      <c r="H8952"/>
    </row>
    <row r="8953" spans="1:8" ht="15">
      <c r="A8953"/>
      <c r="B8953"/>
      <c r="D8953"/>
      <c r="E8953"/>
      <c r="F8953"/>
      <c r="H8953"/>
    </row>
    <row r="8954" spans="1:8" ht="15">
      <c r="A8954"/>
      <c r="B8954"/>
      <c r="D8954"/>
      <c r="E8954"/>
      <c r="F8954"/>
      <c r="H8954"/>
    </row>
    <row r="8955" spans="1:8" ht="15">
      <c r="A8955"/>
      <c r="B8955"/>
      <c r="D8955"/>
      <c r="E8955"/>
      <c r="F8955"/>
      <c r="H8955"/>
    </row>
    <row r="8956" spans="1:8" ht="15">
      <c r="A8956"/>
      <c r="B8956"/>
      <c r="D8956"/>
      <c r="E8956"/>
      <c r="F8956"/>
      <c r="H8956"/>
    </row>
    <row r="8957" spans="1:8" ht="15">
      <c r="A8957"/>
      <c r="B8957"/>
      <c r="D8957"/>
      <c r="E8957"/>
      <c r="F8957"/>
      <c r="H8957"/>
    </row>
    <row r="8958" spans="1:8" ht="15">
      <c r="A8958"/>
      <c r="B8958"/>
      <c r="D8958"/>
      <c r="E8958"/>
      <c r="F8958"/>
      <c r="H8958"/>
    </row>
    <row r="8959" spans="1:8" ht="15">
      <c r="A8959"/>
      <c r="B8959"/>
      <c r="D8959"/>
      <c r="E8959"/>
      <c r="F8959"/>
      <c r="H8959"/>
    </row>
    <row r="8960" spans="1:8" ht="15">
      <c r="A8960"/>
      <c r="B8960"/>
      <c r="D8960"/>
      <c r="E8960"/>
      <c r="F8960"/>
      <c r="H8960"/>
    </row>
    <row r="8961" spans="1:8" ht="15">
      <c r="A8961"/>
      <c r="B8961"/>
      <c r="D8961"/>
      <c r="E8961"/>
      <c r="F8961"/>
      <c r="H8961"/>
    </row>
    <row r="8962" spans="1:8" ht="15">
      <c r="A8962"/>
      <c r="B8962"/>
      <c r="D8962"/>
      <c r="E8962"/>
      <c r="F8962"/>
      <c r="H8962"/>
    </row>
    <row r="8963" spans="1:8" ht="15">
      <c r="A8963"/>
      <c r="B8963"/>
      <c r="D8963"/>
      <c r="E8963"/>
      <c r="F8963"/>
      <c r="H8963"/>
    </row>
    <row r="8964" spans="1:8" ht="15">
      <c r="A8964"/>
      <c r="B8964"/>
      <c r="D8964"/>
      <c r="E8964"/>
      <c r="F8964"/>
      <c r="H8964"/>
    </row>
    <row r="8965" spans="1:8" ht="15">
      <c r="A8965"/>
      <c r="B8965"/>
      <c r="D8965"/>
      <c r="E8965"/>
      <c r="F8965"/>
      <c r="H8965"/>
    </row>
    <row r="8966" spans="1:8" ht="15">
      <c r="A8966"/>
      <c r="B8966"/>
      <c r="D8966"/>
      <c r="E8966"/>
      <c r="F8966"/>
      <c r="H8966"/>
    </row>
    <row r="8967" spans="1:8" ht="15">
      <c r="A8967"/>
      <c r="B8967"/>
      <c r="D8967"/>
      <c r="E8967"/>
      <c r="F8967"/>
      <c r="H8967"/>
    </row>
    <row r="8968" spans="1:8" ht="15">
      <c r="A8968"/>
      <c r="B8968"/>
      <c r="D8968"/>
      <c r="E8968"/>
      <c r="F8968"/>
      <c r="H8968"/>
    </row>
    <row r="8969" spans="1:8" ht="15">
      <c r="A8969"/>
      <c r="B8969"/>
      <c r="D8969"/>
      <c r="E8969"/>
      <c r="F8969"/>
      <c r="H8969"/>
    </row>
    <row r="8970" spans="1:8" ht="15">
      <c r="A8970"/>
      <c r="B8970"/>
      <c r="D8970"/>
      <c r="E8970"/>
      <c r="F8970"/>
      <c r="H8970"/>
    </row>
    <row r="8971" spans="1:8" ht="15">
      <c r="A8971"/>
      <c r="B8971"/>
      <c r="D8971"/>
      <c r="E8971"/>
      <c r="F8971"/>
      <c r="H8971"/>
    </row>
    <row r="8972" spans="1:8" ht="15">
      <c r="A8972"/>
      <c r="B8972"/>
      <c r="D8972"/>
      <c r="E8972"/>
      <c r="F8972"/>
      <c r="H8972"/>
    </row>
    <row r="8973" spans="1:8" ht="15">
      <c r="A8973"/>
      <c r="B8973"/>
      <c r="D8973"/>
      <c r="E8973"/>
      <c r="F8973"/>
      <c r="H8973"/>
    </row>
    <row r="8974" spans="1:8" ht="15">
      <c r="A8974"/>
      <c r="B8974"/>
      <c r="D8974"/>
      <c r="E8974"/>
      <c r="F8974"/>
      <c r="H8974"/>
    </row>
    <row r="8975" spans="1:8" ht="15">
      <c r="A8975"/>
      <c r="B8975"/>
      <c r="D8975"/>
      <c r="E8975"/>
      <c r="F8975"/>
      <c r="H8975"/>
    </row>
    <row r="8976" spans="1:8" ht="15">
      <c r="A8976"/>
      <c r="B8976"/>
      <c r="D8976"/>
      <c r="E8976"/>
      <c r="F8976"/>
      <c r="H8976"/>
    </row>
    <row r="8977" spans="1:8" ht="15">
      <c r="A8977"/>
      <c r="B8977"/>
      <c r="D8977"/>
      <c r="E8977"/>
      <c r="F8977"/>
      <c r="H8977"/>
    </row>
    <row r="8978" spans="1:8" ht="15">
      <c r="A8978"/>
      <c r="B8978"/>
      <c r="D8978"/>
      <c r="E8978"/>
      <c r="F8978"/>
      <c r="H8978"/>
    </row>
    <row r="8979" spans="1:8" ht="15">
      <c r="A8979"/>
      <c r="B8979"/>
      <c r="D8979"/>
      <c r="E8979"/>
      <c r="F8979"/>
      <c r="H8979"/>
    </row>
    <row r="8980" spans="1:8" ht="15">
      <c r="A8980"/>
      <c r="B8980"/>
      <c r="D8980"/>
      <c r="E8980"/>
      <c r="F8980"/>
      <c r="H8980"/>
    </row>
    <row r="8981" spans="1:8" ht="15">
      <c r="A8981"/>
      <c r="B8981"/>
      <c r="D8981"/>
      <c r="E8981"/>
      <c r="F8981"/>
      <c r="H8981"/>
    </row>
    <row r="8982" spans="1:8" ht="15">
      <c r="A8982"/>
      <c r="B8982"/>
      <c r="D8982"/>
      <c r="E8982"/>
      <c r="F8982"/>
      <c r="H8982"/>
    </row>
    <row r="8983" spans="1:8" ht="15">
      <c r="A8983"/>
      <c r="B8983"/>
      <c r="D8983"/>
      <c r="E8983"/>
      <c r="F8983"/>
      <c r="H8983"/>
    </row>
    <row r="8984" spans="1:8" ht="15">
      <c r="A8984"/>
      <c r="B8984"/>
      <c r="D8984"/>
      <c r="E8984"/>
      <c r="F8984"/>
      <c r="H8984"/>
    </row>
    <row r="8985" spans="1:8" ht="15">
      <c r="A8985"/>
      <c r="B8985"/>
      <c r="D8985"/>
      <c r="E8985"/>
      <c r="F8985"/>
      <c r="H8985"/>
    </row>
    <row r="8986" spans="1:8" ht="15">
      <c r="A8986"/>
      <c r="B8986"/>
      <c r="D8986"/>
      <c r="E8986"/>
      <c r="F8986"/>
      <c r="H8986"/>
    </row>
    <row r="8987" spans="1:8" ht="15">
      <c r="A8987"/>
      <c r="B8987"/>
      <c r="D8987"/>
      <c r="E8987"/>
      <c r="F8987"/>
      <c r="H8987"/>
    </row>
    <row r="8988" spans="1:8" ht="15">
      <c r="A8988"/>
      <c r="B8988"/>
      <c r="D8988"/>
      <c r="E8988"/>
      <c r="F8988"/>
      <c r="H8988"/>
    </row>
    <row r="8989" spans="1:8" ht="15">
      <c r="A8989"/>
      <c r="B8989"/>
      <c r="D8989"/>
      <c r="E8989"/>
      <c r="F8989"/>
      <c r="H8989"/>
    </row>
    <row r="8990" spans="1:8" ht="15">
      <c r="A8990"/>
      <c r="B8990"/>
      <c r="D8990"/>
      <c r="E8990"/>
      <c r="F8990"/>
      <c r="H8990"/>
    </row>
    <row r="8991" spans="1:8" ht="15">
      <c r="A8991"/>
      <c r="B8991"/>
      <c r="D8991"/>
      <c r="E8991"/>
      <c r="F8991"/>
      <c r="H8991"/>
    </row>
    <row r="8992" spans="1:8" ht="15">
      <c r="A8992"/>
      <c r="B8992"/>
      <c r="D8992"/>
      <c r="E8992"/>
      <c r="F8992"/>
      <c r="H8992"/>
    </row>
    <row r="8993" spans="1:8" ht="15">
      <c r="A8993"/>
      <c r="B8993"/>
      <c r="D8993"/>
      <c r="E8993"/>
      <c r="F8993"/>
      <c r="H8993"/>
    </row>
    <row r="8994" spans="1:8" ht="15">
      <c r="A8994"/>
      <c r="B8994"/>
      <c r="D8994"/>
      <c r="E8994"/>
      <c r="F8994"/>
      <c r="H8994"/>
    </row>
    <row r="8995" spans="1:8" ht="15">
      <c r="A8995"/>
      <c r="B8995"/>
      <c r="D8995"/>
      <c r="E8995"/>
      <c r="F8995"/>
      <c r="H8995"/>
    </row>
    <row r="8996" spans="1:8" ht="15">
      <c r="A8996"/>
      <c r="B8996"/>
      <c r="D8996"/>
      <c r="E8996"/>
      <c r="F8996"/>
      <c r="H8996"/>
    </row>
    <row r="8997" spans="1:8" ht="15">
      <c r="A8997"/>
      <c r="B8997"/>
      <c r="D8997"/>
      <c r="E8997"/>
      <c r="F8997"/>
      <c r="H8997"/>
    </row>
    <row r="8998" spans="1:8" ht="15">
      <c r="A8998"/>
      <c r="B8998"/>
      <c r="D8998"/>
      <c r="E8998"/>
      <c r="F8998"/>
      <c r="H8998"/>
    </row>
    <row r="8999" spans="1:8" ht="15">
      <c r="A8999"/>
      <c r="B8999"/>
      <c r="D8999"/>
      <c r="E8999"/>
      <c r="F8999"/>
      <c r="H8999"/>
    </row>
    <row r="9000" spans="1:8" ht="15">
      <c r="A9000"/>
      <c r="B9000"/>
      <c r="D9000"/>
      <c r="E9000"/>
      <c r="F9000"/>
      <c r="H9000"/>
    </row>
    <row r="9001" spans="1:8" ht="15">
      <c r="A9001"/>
      <c r="B9001"/>
      <c r="D9001"/>
      <c r="E9001"/>
      <c r="F9001"/>
      <c r="H9001"/>
    </row>
    <row r="9002" spans="1:8" ht="15">
      <c r="A9002"/>
      <c r="B9002"/>
      <c r="D9002"/>
      <c r="E9002"/>
      <c r="F9002"/>
      <c r="H9002"/>
    </row>
    <row r="9003" spans="1:8" ht="15">
      <c r="A9003"/>
      <c r="B9003"/>
      <c r="D9003"/>
      <c r="E9003"/>
      <c r="F9003"/>
      <c r="H9003"/>
    </row>
    <row r="9004" spans="1:8" ht="15">
      <c r="A9004"/>
      <c r="B9004"/>
      <c r="D9004"/>
      <c r="E9004"/>
      <c r="F9004"/>
      <c r="H9004"/>
    </row>
    <row r="9005" spans="1:8" ht="15">
      <c r="A9005"/>
      <c r="B9005"/>
      <c r="D9005"/>
      <c r="E9005"/>
      <c r="F9005"/>
      <c r="H9005"/>
    </row>
    <row r="9006" spans="1:8" ht="15">
      <c r="A9006"/>
      <c r="B9006"/>
      <c r="D9006"/>
      <c r="E9006"/>
      <c r="F9006"/>
      <c r="H9006"/>
    </row>
    <row r="9007" spans="1:8" ht="15">
      <c r="A9007"/>
      <c r="B9007"/>
      <c r="D9007"/>
      <c r="E9007"/>
      <c r="F9007"/>
      <c r="H9007"/>
    </row>
    <row r="9008" spans="1:8" ht="15">
      <c r="A9008"/>
      <c r="B9008"/>
      <c r="D9008"/>
      <c r="E9008"/>
      <c r="F9008"/>
      <c r="H9008"/>
    </row>
    <row r="9009" spans="1:8" ht="15">
      <c r="A9009"/>
      <c r="B9009"/>
      <c r="D9009"/>
      <c r="E9009"/>
      <c r="F9009"/>
      <c r="H9009"/>
    </row>
    <row r="9010" spans="1:8" ht="15">
      <c r="A9010"/>
      <c r="B9010"/>
      <c r="D9010"/>
      <c r="E9010"/>
      <c r="F9010"/>
      <c r="H9010"/>
    </row>
    <row r="9011" spans="1:8" ht="15">
      <c r="A9011"/>
      <c r="B9011"/>
      <c r="D9011"/>
      <c r="E9011"/>
      <c r="F9011"/>
      <c r="H9011"/>
    </row>
    <row r="9012" spans="1:8" ht="15">
      <c r="A9012"/>
      <c r="B9012"/>
      <c r="D9012"/>
      <c r="E9012"/>
      <c r="F9012"/>
      <c r="H9012"/>
    </row>
    <row r="9013" spans="1:8" ht="15">
      <c r="A9013"/>
      <c r="B9013"/>
      <c r="D9013"/>
      <c r="E9013"/>
      <c r="F9013"/>
      <c r="H9013"/>
    </row>
    <row r="9014" spans="1:8" ht="15">
      <c r="A9014"/>
      <c r="B9014"/>
      <c r="D9014"/>
      <c r="E9014"/>
      <c r="F9014"/>
      <c r="H9014"/>
    </row>
    <row r="9015" spans="1:8" ht="15">
      <c r="A9015"/>
      <c r="B9015"/>
      <c r="D9015"/>
      <c r="E9015"/>
      <c r="F9015"/>
      <c r="H9015"/>
    </row>
    <row r="9016" spans="1:8" ht="15">
      <c r="A9016"/>
      <c r="B9016"/>
      <c r="D9016"/>
      <c r="E9016"/>
      <c r="F9016"/>
      <c r="H9016"/>
    </row>
    <row r="9017" spans="1:8" ht="15">
      <c r="A9017"/>
      <c r="B9017"/>
      <c r="D9017"/>
      <c r="E9017"/>
      <c r="F9017"/>
      <c r="H9017"/>
    </row>
    <row r="9018" spans="1:8" ht="15">
      <c r="A9018"/>
      <c r="B9018"/>
      <c r="D9018"/>
      <c r="E9018"/>
      <c r="F9018"/>
      <c r="H9018"/>
    </row>
    <row r="9019" spans="1:8" ht="15">
      <c r="A9019"/>
      <c r="B9019"/>
      <c r="D9019"/>
      <c r="E9019"/>
      <c r="F9019"/>
      <c r="H9019"/>
    </row>
    <row r="9020" spans="1:8" ht="15">
      <c r="A9020"/>
      <c r="B9020"/>
      <c r="D9020"/>
      <c r="E9020"/>
      <c r="F9020"/>
      <c r="H9020"/>
    </row>
    <row r="9021" spans="1:8" ht="15">
      <c r="A9021"/>
      <c r="B9021"/>
      <c r="D9021"/>
      <c r="E9021"/>
      <c r="F9021"/>
      <c r="H9021"/>
    </row>
    <row r="9022" spans="1:8" ht="15">
      <c r="A9022"/>
      <c r="B9022"/>
      <c r="D9022"/>
      <c r="E9022"/>
      <c r="F9022"/>
      <c r="H9022"/>
    </row>
    <row r="9023" spans="1:8" ht="15">
      <c r="A9023"/>
      <c r="B9023"/>
      <c r="D9023"/>
      <c r="E9023"/>
      <c r="F9023"/>
      <c r="H9023"/>
    </row>
    <row r="9024" spans="1:8" ht="15">
      <c r="A9024"/>
      <c r="B9024"/>
      <c r="D9024"/>
      <c r="E9024"/>
      <c r="F9024"/>
      <c r="H9024"/>
    </row>
    <row r="9025" spans="1:8" ht="15">
      <c r="A9025"/>
      <c r="B9025"/>
      <c r="D9025"/>
      <c r="E9025"/>
      <c r="F9025"/>
      <c r="H9025"/>
    </row>
    <row r="9026" spans="1:8" ht="15">
      <c r="A9026"/>
      <c r="B9026"/>
      <c r="D9026"/>
      <c r="E9026"/>
      <c r="F9026"/>
      <c r="H9026"/>
    </row>
    <row r="9027" spans="1:8" ht="15">
      <c r="A9027"/>
      <c r="B9027"/>
      <c r="D9027"/>
      <c r="E9027"/>
      <c r="F9027"/>
      <c r="H9027"/>
    </row>
    <row r="9028" spans="1:8" ht="15">
      <c r="A9028"/>
      <c r="B9028"/>
      <c r="D9028"/>
      <c r="E9028"/>
      <c r="F9028"/>
      <c r="H9028"/>
    </row>
    <row r="9029" spans="1:8" ht="15">
      <c r="A9029"/>
      <c r="B9029"/>
      <c r="D9029"/>
      <c r="E9029"/>
      <c r="F9029"/>
      <c r="H9029"/>
    </row>
    <row r="9030" spans="1:8" ht="15">
      <c r="A9030"/>
      <c r="B9030"/>
      <c r="D9030"/>
      <c r="E9030"/>
      <c r="F9030"/>
      <c r="H9030"/>
    </row>
    <row r="9031" spans="1:8" ht="15">
      <c r="A9031"/>
      <c r="B9031"/>
      <c r="D9031"/>
      <c r="E9031"/>
      <c r="F9031"/>
      <c r="H9031"/>
    </row>
    <row r="9032" spans="1:8" ht="15">
      <c r="A9032"/>
      <c r="B9032"/>
      <c r="D9032"/>
      <c r="E9032"/>
      <c r="F9032"/>
      <c r="H9032"/>
    </row>
    <row r="9033" spans="1:8" ht="15">
      <c r="A9033"/>
      <c r="B9033"/>
      <c r="D9033"/>
      <c r="E9033"/>
      <c r="F9033"/>
      <c r="H9033"/>
    </row>
    <row r="9034" spans="1:8" ht="15">
      <c r="A9034"/>
      <c r="B9034"/>
      <c r="D9034"/>
      <c r="E9034"/>
      <c r="F9034"/>
      <c r="H9034"/>
    </row>
    <row r="9035" spans="1:8" ht="15">
      <c r="A9035"/>
      <c r="B9035"/>
      <c r="D9035"/>
      <c r="E9035"/>
      <c r="F9035"/>
      <c r="H9035"/>
    </row>
    <row r="9036" spans="1:8" ht="15">
      <c r="A9036"/>
      <c r="B9036"/>
      <c r="D9036"/>
      <c r="E9036"/>
      <c r="F9036"/>
      <c r="H9036"/>
    </row>
    <row r="9037" spans="1:8" ht="15">
      <c r="A9037"/>
      <c r="B9037"/>
      <c r="D9037"/>
      <c r="E9037"/>
      <c r="F9037"/>
      <c r="H9037"/>
    </row>
    <row r="9038" spans="1:8" ht="15">
      <c r="A9038"/>
      <c r="B9038"/>
      <c r="D9038"/>
      <c r="E9038"/>
      <c r="F9038"/>
      <c r="H9038"/>
    </row>
    <row r="9039" spans="1:8" ht="15">
      <c r="A9039"/>
      <c r="B9039"/>
      <c r="D9039"/>
      <c r="E9039"/>
      <c r="F9039"/>
      <c r="H9039"/>
    </row>
    <row r="9040" spans="1:8" ht="15">
      <c r="A9040"/>
      <c r="B9040"/>
      <c r="D9040"/>
      <c r="E9040"/>
      <c r="F9040"/>
      <c r="H9040"/>
    </row>
    <row r="9041" spans="1:8" ht="15">
      <c r="A9041"/>
      <c r="B9041"/>
      <c r="D9041"/>
      <c r="E9041"/>
      <c r="F9041"/>
      <c r="H9041"/>
    </row>
    <row r="9042" spans="1:8" ht="15">
      <c r="A9042"/>
      <c r="B9042"/>
      <c r="D9042"/>
      <c r="E9042"/>
      <c r="F9042"/>
      <c r="H9042"/>
    </row>
    <row r="9043" spans="1:8" ht="15">
      <c r="A9043"/>
      <c r="B9043"/>
      <c r="D9043"/>
      <c r="E9043"/>
      <c r="F9043"/>
      <c r="H9043"/>
    </row>
    <row r="9044" spans="1:8" ht="15">
      <c r="A9044"/>
      <c r="B9044"/>
      <c r="D9044"/>
      <c r="E9044"/>
      <c r="F9044"/>
      <c r="H9044"/>
    </row>
    <row r="9045" spans="1:8" ht="15">
      <c r="A9045"/>
      <c r="B9045"/>
      <c r="D9045"/>
      <c r="E9045"/>
      <c r="F9045"/>
      <c r="H9045"/>
    </row>
    <row r="9046" spans="1:8" ht="15">
      <c r="A9046"/>
      <c r="B9046"/>
      <c r="D9046"/>
      <c r="E9046"/>
      <c r="F9046"/>
      <c r="H9046"/>
    </row>
    <row r="9047" spans="1:8" ht="15">
      <c r="A9047"/>
      <c r="B9047"/>
      <c r="D9047"/>
      <c r="E9047"/>
      <c r="F9047"/>
      <c r="H9047"/>
    </row>
    <row r="9048" spans="1:8" ht="15">
      <c r="A9048"/>
      <c r="B9048"/>
      <c r="D9048"/>
      <c r="E9048"/>
      <c r="F9048"/>
      <c r="H9048"/>
    </row>
    <row r="9049" spans="1:8" ht="15">
      <c r="A9049"/>
      <c r="B9049"/>
      <c r="D9049"/>
      <c r="E9049"/>
      <c r="F9049"/>
      <c r="H9049"/>
    </row>
    <row r="9050" spans="1:8" ht="15">
      <c r="A9050"/>
      <c r="B9050"/>
      <c r="D9050"/>
      <c r="E9050"/>
      <c r="F9050"/>
      <c r="H9050"/>
    </row>
    <row r="9051" spans="1:8" ht="15">
      <c r="A9051"/>
      <c r="B9051"/>
      <c r="D9051"/>
      <c r="E9051"/>
      <c r="F9051"/>
      <c r="H9051"/>
    </row>
    <row r="9052" spans="1:8" ht="15">
      <c r="A9052"/>
      <c r="B9052"/>
      <c r="D9052"/>
      <c r="E9052"/>
      <c r="F9052"/>
      <c r="H9052"/>
    </row>
    <row r="9053" spans="1:8" ht="15">
      <c r="A9053"/>
      <c r="B9053"/>
      <c r="D9053"/>
      <c r="E9053"/>
      <c r="F9053"/>
      <c r="H9053"/>
    </row>
    <row r="9054" spans="1:8" ht="15">
      <c r="A9054"/>
      <c r="B9054"/>
      <c r="D9054"/>
      <c r="E9054"/>
      <c r="F9054"/>
      <c r="H9054"/>
    </row>
    <row r="9055" spans="1:8" ht="15">
      <c r="A9055"/>
      <c r="B9055"/>
      <c r="D9055"/>
      <c r="E9055"/>
      <c r="F9055"/>
      <c r="H9055"/>
    </row>
    <row r="9056" spans="1:8" ht="15">
      <c r="A9056"/>
      <c r="B9056"/>
      <c r="D9056"/>
      <c r="E9056"/>
      <c r="F9056"/>
      <c r="H9056"/>
    </row>
    <row r="9057" spans="1:8" ht="15">
      <c r="A9057"/>
      <c r="B9057"/>
      <c r="D9057"/>
      <c r="E9057"/>
      <c r="F9057"/>
      <c r="H9057"/>
    </row>
    <row r="9058" spans="1:8" ht="15">
      <c r="A9058"/>
      <c r="B9058"/>
      <c r="D9058"/>
      <c r="E9058"/>
      <c r="F9058"/>
      <c r="H9058"/>
    </row>
    <row r="9059" spans="1:8" ht="15">
      <c r="A9059"/>
      <c r="B9059"/>
      <c r="D9059"/>
      <c r="E9059"/>
      <c r="F9059"/>
      <c r="H9059"/>
    </row>
    <row r="9060" spans="1:8" ht="15">
      <c r="A9060"/>
      <c r="B9060"/>
      <c r="D9060"/>
      <c r="E9060"/>
      <c r="F9060"/>
      <c r="H9060"/>
    </row>
    <row r="9061" spans="1:8" ht="15">
      <c r="A9061"/>
      <c r="B9061"/>
      <c r="D9061"/>
      <c r="E9061"/>
      <c r="F9061"/>
      <c r="H9061"/>
    </row>
    <row r="9062" spans="1:8" ht="15">
      <c r="A9062"/>
      <c r="B9062"/>
      <c r="D9062"/>
      <c r="E9062"/>
      <c r="F9062"/>
      <c r="H9062"/>
    </row>
    <row r="9063" spans="1:8" ht="15">
      <c r="A9063"/>
      <c r="B9063"/>
      <c r="D9063"/>
      <c r="E9063"/>
      <c r="F9063"/>
      <c r="H9063"/>
    </row>
    <row r="9064" spans="1:8" ht="15">
      <c r="A9064"/>
      <c r="B9064"/>
      <c r="D9064"/>
      <c r="E9064"/>
      <c r="F9064"/>
      <c r="H9064"/>
    </row>
    <row r="9065" spans="1:8" ht="15">
      <c r="A9065"/>
      <c r="B9065"/>
      <c r="D9065"/>
      <c r="E9065"/>
      <c r="F9065"/>
      <c r="H9065"/>
    </row>
    <row r="9066" spans="1:8" ht="15">
      <c r="A9066"/>
      <c r="B9066"/>
      <c r="D9066"/>
      <c r="E9066"/>
      <c r="F9066"/>
      <c r="H9066"/>
    </row>
    <row r="9067" spans="1:8" ht="15">
      <c r="A9067"/>
      <c r="B9067"/>
      <c r="D9067"/>
      <c r="E9067"/>
      <c r="F9067"/>
      <c r="H9067"/>
    </row>
    <row r="9068" spans="1:8" ht="15">
      <c r="A9068"/>
      <c r="B9068"/>
      <c r="D9068"/>
      <c r="E9068"/>
      <c r="F9068"/>
      <c r="H9068"/>
    </row>
    <row r="9069" spans="1:8" ht="15">
      <c r="A9069"/>
      <c r="B9069"/>
      <c r="D9069"/>
      <c r="E9069"/>
      <c r="F9069"/>
      <c r="H9069"/>
    </row>
    <row r="9070" spans="1:8" ht="15">
      <c r="A9070"/>
      <c r="B9070"/>
      <c r="D9070"/>
      <c r="E9070"/>
      <c r="F9070"/>
      <c r="H9070"/>
    </row>
    <row r="9071" spans="1:8" ht="15">
      <c r="A9071"/>
      <c r="B9071"/>
      <c r="D9071"/>
      <c r="E9071"/>
      <c r="F9071"/>
      <c r="H9071"/>
    </row>
    <row r="9072" spans="1:8" ht="15">
      <c r="A9072"/>
      <c r="B9072"/>
      <c r="D9072"/>
      <c r="E9072"/>
      <c r="F9072"/>
      <c r="H9072"/>
    </row>
    <row r="9073" spans="1:8" ht="15">
      <c r="A9073"/>
      <c r="B9073"/>
      <c r="D9073"/>
      <c r="E9073"/>
      <c r="F9073"/>
      <c r="H9073"/>
    </row>
    <row r="9074" spans="1:8" ht="15">
      <c r="A9074"/>
      <c r="B9074"/>
      <c r="D9074"/>
      <c r="E9074"/>
      <c r="F9074"/>
      <c r="H9074"/>
    </row>
    <row r="9075" spans="1:8" ht="15">
      <c r="A9075"/>
      <c r="B9075"/>
      <c r="D9075"/>
      <c r="E9075"/>
      <c r="F9075"/>
      <c r="H9075"/>
    </row>
    <row r="9076" spans="1:8" ht="15">
      <c r="A9076"/>
      <c r="B9076"/>
      <c r="D9076"/>
      <c r="E9076"/>
      <c r="F9076"/>
      <c r="H9076"/>
    </row>
    <row r="9077" spans="1:8" ht="15">
      <c r="A9077"/>
      <c r="B9077"/>
      <c r="D9077"/>
      <c r="E9077"/>
      <c r="F9077"/>
      <c r="H9077"/>
    </row>
    <row r="9078" spans="1:8" ht="15">
      <c r="A9078"/>
      <c r="B9078"/>
      <c r="D9078"/>
      <c r="E9078"/>
      <c r="F9078"/>
      <c r="H9078"/>
    </row>
    <row r="9079" spans="1:8" ht="15">
      <c r="A9079"/>
      <c r="B9079"/>
      <c r="D9079"/>
      <c r="E9079"/>
      <c r="F9079"/>
      <c r="H9079"/>
    </row>
    <row r="9080" spans="1:8" ht="15">
      <c r="A9080"/>
      <c r="B9080"/>
      <c r="D9080"/>
      <c r="E9080"/>
      <c r="F9080"/>
      <c r="H9080"/>
    </row>
    <row r="9081" spans="1:8" ht="15">
      <c r="A9081"/>
      <c r="B9081"/>
      <c r="D9081"/>
      <c r="E9081"/>
      <c r="F9081"/>
      <c r="H9081"/>
    </row>
    <row r="9082" spans="1:8" ht="15">
      <c r="A9082"/>
      <c r="B9082"/>
      <c r="D9082"/>
      <c r="E9082"/>
      <c r="F9082"/>
      <c r="H9082"/>
    </row>
    <row r="9083" spans="1:8" ht="15">
      <c r="A9083"/>
      <c r="B9083"/>
      <c r="D9083"/>
      <c r="E9083"/>
      <c r="F9083"/>
      <c r="H9083"/>
    </row>
    <row r="9084" spans="1:8" ht="15">
      <c r="A9084"/>
      <c r="B9084"/>
      <c r="D9084"/>
      <c r="E9084"/>
      <c r="F9084"/>
      <c r="H9084"/>
    </row>
    <row r="9085" spans="1:8" ht="15">
      <c r="A9085"/>
      <c r="B9085"/>
      <c r="D9085"/>
      <c r="E9085"/>
      <c r="F9085"/>
      <c r="H9085"/>
    </row>
    <row r="9086" spans="1:8" ht="15">
      <c r="A9086"/>
      <c r="B9086"/>
      <c r="D9086"/>
      <c r="E9086"/>
      <c r="F9086"/>
      <c r="H9086"/>
    </row>
    <row r="9087" spans="1:8" ht="15">
      <c r="A9087"/>
      <c r="B9087"/>
      <c r="D9087"/>
      <c r="E9087"/>
      <c r="F9087"/>
      <c r="H9087"/>
    </row>
    <row r="9088" spans="1:8" ht="15">
      <c r="A9088"/>
      <c r="B9088"/>
      <c r="D9088"/>
      <c r="E9088"/>
      <c r="F9088"/>
      <c r="H9088"/>
    </row>
    <row r="9089" spans="1:8" ht="15">
      <c r="A9089"/>
      <c r="B9089"/>
      <c r="D9089"/>
      <c r="E9089"/>
      <c r="F9089"/>
      <c r="H9089"/>
    </row>
    <row r="9090" spans="1:8" ht="15">
      <c r="A9090"/>
      <c r="B9090"/>
      <c r="D9090"/>
      <c r="E9090"/>
      <c r="F9090"/>
      <c r="H9090"/>
    </row>
    <row r="9091" spans="1:8" ht="15">
      <c r="A9091"/>
      <c r="B9091"/>
      <c r="D9091"/>
      <c r="E9091"/>
      <c r="F9091"/>
      <c r="H9091"/>
    </row>
    <row r="9092" spans="1:8" ht="15">
      <c r="A9092"/>
      <c r="B9092"/>
      <c r="D9092"/>
      <c r="E9092"/>
      <c r="F9092"/>
      <c r="H9092"/>
    </row>
    <row r="9093" spans="1:8" ht="15">
      <c r="A9093"/>
      <c r="B9093"/>
      <c r="D9093"/>
      <c r="E9093"/>
      <c r="F9093"/>
      <c r="H9093"/>
    </row>
    <row r="9094" spans="1:8" ht="15">
      <c r="A9094"/>
      <c r="B9094"/>
      <c r="D9094"/>
      <c r="E9094"/>
      <c r="F9094"/>
      <c r="H9094"/>
    </row>
    <row r="9095" spans="1:8" ht="15">
      <c r="A9095"/>
      <c r="B9095"/>
      <c r="D9095"/>
      <c r="E9095"/>
      <c r="F9095"/>
      <c r="H9095"/>
    </row>
    <row r="9096" spans="1:8" ht="15">
      <c r="A9096"/>
      <c r="B9096"/>
      <c r="D9096"/>
      <c r="E9096"/>
      <c r="F9096"/>
      <c r="H9096"/>
    </row>
    <row r="9097" spans="1:8" ht="15">
      <c r="A9097"/>
      <c r="B9097"/>
      <c r="D9097"/>
      <c r="E9097"/>
      <c r="F9097"/>
      <c r="H9097"/>
    </row>
    <row r="9098" spans="1:8" ht="15">
      <c r="A9098"/>
      <c r="B9098"/>
      <c r="D9098"/>
      <c r="E9098"/>
      <c r="F9098"/>
      <c r="H9098"/>
    </row>
    <row r="9099" spans="1:8" ht="15">
      <c r="A9099"/>
      <c r="B9099"/>
      <c r="D9099"/>
      <c r="E9099"/>
      <c r="F9099"/>
      <c r="H9099"/>
    </row>
    <row r="9100" spans="1:8" ht="15">
      <c r="A9100"/>
      <c r="B9100"/>
      <c r="D9100"/>
      <c r="E9100"/>
      <c r="F9100"/>
      <c r="H9100"/>
    </row>
    <row r="9101" spans="1:8" ht="15">
      <c r="A9101"/>
      <c r="B9101"/>
      <c r="D9101"/>
      <c r="E9101"/>
      <c r="F9101"/>
      <c r="H9101"/>
    </row>
    <row r="9102" spans="1:8" ht="15">
      <c r="A9102"/>
      <c r="B9102"/>
      <c r="D9102"/>
      <c r="E9102"/>
      <c r="F9102"/>
      <c r="H9102"/>
    </row>
    <row r="9103" spans="1:8" ht="15">
      <c r="A9103"/>
      <c r="B9103"/>
      <c r="D9103"/>
      <c r="E9103"/>
      <c r="F9103"/>
      <c r="H9103"/>
    </row>
    <row r="9104" spans="1:8" ht="15">
      <c r="A9104"/>
      <c r="B9104"/>
      <c r="D9104"/>
      <c r="E9104"/>
      <c r="F9104"/>
      <c r="H9104"/>
    </row>
    <row r="9105" spans="1:8" ht="15">
      <c r="A9105"/>
      <c r="B9105"/>
      <c r="D9105"/>
      <c r="E9105"/>
      <c r="F9105"/>
      <c r="H9105"/>
    </row>
    <row r="9106" spans="1:8" ht="15">
      <c r="A9106"/>
      <c r="B9106"/>
      <c r="D9106"/>
      <c r="E9106"/>
      <c r="F9106"/>
      <c r="H9106"/>
    </row>
    <row r="9107" spans="1:8" ht="15">
      <c r="A9107"/>
      <c r="B9107"/>
      <c r="D9107"/>
      <c r="E9107"/>
      <c r="F9107"/>
      <c r="H9107"/>
    </row>
    <row r="9108" spans="1:8" ht="15">
      <c r="A9108"/>
      <c r="B9108"/>
      <c r="D9108"/>
      <c r="E9108"/>
      <c r="F9108"/>
      <c r="H9108"/>
    </row>
    <row r="9109" spans="1:8" ht="15">
      <c r="A9109"/>
      <c r="B9109"/>
      <c r="D9109"/>
      <c r="E9109"/>
      <c r="F9109"/>
      <c r="H9109"/>
    </row>
    <row r="9110" spans="1:8" ht="15">
      <c r="A9110"/>
      <c r="B9110"/>
      <c r="D9110"/>
      <c r="E9110"/>
      <c r="F9110"/>
      <c r="H9110"/>
    </row>
    <row r="9111" spans="1:8" ht="15">
      <c r="A9111"/>
      <c r="B9111"/>
      <c r="D9111"/>
      <c r="E9111"/>
      <c r="F9111"/>
      <c r="H9111"/>
    </row>
    <row r="9112" spans="1:8" ht="15">
      <c r="A9112"/>
      <c r="B9112"/>
      <c r="D9112"/>
      <c r="E9112"/>
      <c r="F9112"/>
      <c r="H9112"/>
    </row>
    <row r="9113" spans="1:8" ht="15">
      <c r="A9113"/>
      <c r="B9113"/>
      <c r="D9113"/>
      <c r="E9113"/>
      <c r="F9113"/>
      <c r="H9113"/>
    </row>
    <row r="9114" spans="1:8" ht="15">
      <c r="A9114"/>
      <c r="B9114"/>
      <c r="D9114"/>
      <c r="E9114"/>
      <c r="F9114"/>
      <c r="H9114"/>
    </row>
    <row r="9115" spans="1:8" ht="15">
      <c r="A9115"/>
      <c r="B9115"/>
      <c r="D9115"/>
      <c r="E9115"/>
      <c r="F9115"/>
      <c r="H9115"/>
    </row>
    <row r="9116" spans="1:8" ht="15">
      <c r="A9116"/>
      <c r="B9116"/>
      <c r="D9116"/>
      <c r="E9116"/>
      <c r="F9116"/>
      <c r="H9116"/>
    </row>
    <row r="9117" spans="1:8" ht="15">
      <c r="A9117"/>
      <c r="B9117"/>
      <c r="D9117"/>
      <c r="E9117"/>
      <c r="F9117"/>
      <c r="H9117"/>
    </row>
    <row r="9118" spans="1:8" ht="15">
      <c r="A9118"/>
      <c r="B9118"/>
      <c r="D9118"/>
      <c r="E9118"/>
      <c r="F9118"/>
      <c r="H9118"/>
    </row>
    <row r="9119" spans="1:8" ht="15">
      <c r="A9119"/>
      <c r="B9119"/>
      <c r="D9119"/>
      <c r="E9119"/>
      <c r="F9119"/>
      <c r="H9119"/>
    </row>
    <row r="9120" spans="1:8" ht="15">
      <c r="A9120"/>
      <c r="B9120"/>
      <c r="D9120"/>
      <c r="E9120"/>
      <c r="F9120"/>
      <c r="H9120"/>
    </row>
    <row r="9121" spans="1:8" ht="15">
      <c r="A9121"/>
      <c r="B9121"/>
      <c r="D9121"/>
      <c r="E9121"/>
      <c r="F9121"/>
      <c r="H9121"/>
    </row>
    <row r="9122" spans="1:8" ht="15">
      <c r="A9122"/>
      <c r="B9122"/>
      <c r="D9122"/>
      <c r="E9122"/>
      <c r="F9122"/>
      <c r="H9122"/>
    </row>
    <row r="9123" spans="1:8" ht="15">
      <c r="A9123"/>
      <c r="B9123"/>
      <c r="D9123"/>
      <c r="E9123"/>
      <c r="F9123"/>
      <c r="H9123"/>
    </row>
    <row r="9124" spans="1:8" ht="15">
      <c r="A9124"/>
      <c r="B9124"/>
      <c r="D9124"/>
      <c r="E9124"/>
      <c r="F9124"/>
      <c r="H9124"/>
    </row>
    <row r="9125" spans="1:8" ht="15">
      <c r="A9125"/>
      <c r="B9125"/>
      <c r="D9125"/>
      <c r="E9125"/>
      <c r="F9125"/>
      <c r="H9125"/>
    </row>
    <row r="9126" spans="1:8" ht="15">
      <c r="A9126"/>
      <c r="B9126"/>
      <c r="D9126"/>
      <c r="E9126"/>
      <c r="F9126"/>
      <c r="H9126"/>
    </row>
    <row r="9127" spans="1:8" ht="15">
      <c r="A9127"/>
      <c r="B9127"/>
      <c r="D9127"/>
      <c r="E9127"/>
      <c r="F9127"/>
      <c r="H9127"/>
    </row>
    <row r="9128" spans="1:8" ht="15">
      <c r="A9128"/>
      <c r="B9128"/>
      <c r="D9128"/>
      <c r="E9128"/>
      <c r="F9128"/>
      <c r="H9128"/>
    </row>
    <row r="9129" spans="1:8" ht="15">
      <c r="A9129"/>
      <c r="B9129"/>
      <c r="D9129"/>
      <c r="E9129"/>
      <c r="F9129"/>
      <c r="H9129"/>
    </row>
    <row r="9130" spans="1:8" ht="15">
      <c r="A9130"/>
      <c r="B9130"/>
      <c r="D9130"/>
      <c r="E9130"/>
      <c r="F9130"/>
      <c r="H9130"/>
    </row>
    <row r="9131" spans="1:8" ht="15">
      <c r="A9131"/>
      <c r="B9131"/>
      <c r="D9131"/>
      <c r="E9131"/>
      <c r="F9131"/>
      <c r="H9131"/>
    </row>
    <row r="9132" spans="1:8" ht="15">
      <c r="A9132"/>
      <c r="B9132"/>
      <c r="D9132"/>
      <c r="E9132"/>
      <c r="F9132"/>
      <c r="H9132"/>
    </row>
    <row r="9133" spans="1:8" ht="15">
      <c r="A9133"/>
      <c r="B9133"/>
      <c r="D9133"/>
      <c r="E9133"/>
      <c r="F9133"/>
      <c r="H9133"/>
    </row>
    <row r="9134" spans="1:8" ht="15">
      <c r="A9134"/>
      <c r="B9134"/>
      <c r="D9134"/>
      <c r="E9134"/>
      <c r="F9134"/>
      <c r="H9134"/>
    </row>
    <row r="9135" spans="1:8" ht="15">
      <c r="A9135"/>
      <c r="B9135"/>
      <c r="D9135"/>
      <c r="E9135"/>
      <c r="F9135"/>
      <c r="H9135"/>
    </row>
    <row r="9136" spans="1:8" ht="15">
      <c r="A9136"/>
      <c r="B9136"/>
      <c r="D9136"/>
      <c r="E9136"/>
      <c r="F9136"/>
      <c r="H9136"/>
    </row>
    <row r="9137" spans="1:8" ht="15">
      <c r="A9137"/>
      <c r="B9137"/>
      <c r="D9137"/>
      <c r="E9137"/>
      <c r="F9137"/>
      <c r="H9137"/>
    </row>
    <row r="9138" spans="1:8" ht="15">
      <c r="A9138"/>
      <c r="B9138"/>
      <c r="D9138"/>
      <c r="E9138"/>
      <c r="F9138"/>
      <c r="H9138"/>
    </row>
    <row r="9139" spans="1:8" ht="15">
      <c r="A9139"/>
      <c r="B9139"/>
      <c r="D9139"/>
      <c r="E9139"/>
      <c r="F9139"/>
      <c r="H9139"/>
    </row>
    <row r="9140" spans="1:8" ht="15">
      <c r="A9140"/>
      <c r="B9140"/>
      <c r="D9140"/>
      <c r="E9140"/>
      <c r="F9140"/>
      <c r="H9140"/>
    </row>
    <row r="9141" spans="1:8" ht="15">
      <c r="A9141"/>
      <c r="B9141"/>
      <c r="D9141"/>
      <c r="E9141"/>
      <c r="F9141"/>
      <c r="H9141"/>
    </row>
    <row r="9142" spans="1:8" ht="15">
      <c r="A9142"/>
      <c r="B9142"/>
      <c r="D9142"/>
      <c r="E9142"/>
      <c r="F9142"/>
      <c r="H9142"/>
    </row>
    <row r="9143" spans="1:8" ht="15">
      <c r="A9143"/>
      <c r="B9143"/>
      <c r="D9143"/>
      <c r="E9143"/>
      <c r="F9143"/>
      <c r="H9143"/>
    </row>
    <row r="9144" spans="1:8" ht="15">
      <c r="A9144"/>
      <c r="B9144"/>
      <c r="D9144"/>
      <c r="E9144"/>
      <c r="F9144"/>
      <c r="H9144"/>
    </row>
    <row r="9145" spans="1:8" ht="15">
      <c r="A9145"/>
      <c r="B9145"/>
      <c r="D9145"/>
      <c r="E9145"/>
      <c r="F9145"/>
      <c r="H9145"/>
    </row>
    <row r="9146" spans="1:8" ht="15">
      <c r="A9146"/>
      <c r="B9146"/>
      <c r="D9146"/>
      <c r="E9146"/>
      <c r="F9146"/>
      <c r="H9146"/>
    </row>
    <row r="9147" spans="1:8" ht="15">
      <c r="A9147"/>
      <c r="B9147"/>
      <c r="D9147"/>
      <c r="E9147"/>
      <c r="F9147"/>
      <c r="H9147"/>
    </row>
    <row r="9148" spans="1:8" ht="15">
      <c r="A9148"/>
      <c r="B9148"/>
      <c r="D9148"/>
      <c r="E9148"/>
      <c r="F9148"/>
      <c r="H9148"/>
    </row>
    <row r="9149" spans="1:8" ht="15">
      <c r="A9149"/>
      <c r="B9149"/>
      <c r="D9149"/>
      <c r="E9149"/>
      <c r="F9149"/>
      <c r="H9149"/>
    </row>
    <row r="9150" spans="1:8" ht="15">
      <c r="A9150"/>
      <c r="B9150"/>
      <c r="D9150"/>
      <c r="E9150"/>
      <c r="F9150"/>
      <c r="H9150"/>
    </row>
    <row r="9151" spans="1:8" ht="15">
      <c r="A9151"/>
      <c r="B9151"/>
      <c r="D9151"/>
      <c r="E9151"/>
      <c r="F9151"/>
      <c r="H9151"/>
    </row>
    <row r="9152" spans="1:8" ht="15">
      <c r="A9152"/>
      <c r="B9152"/>
      <c r="D9152"/>
      <c r="E9152"/>
      <c r="F9152"/>
      <c r="H9152"/>
    </row>
    <row r="9153" spans="1:8" ht="15">
      <c r="A9153"/>
      <c r="B9153"/>
      <c r="D9153"/>
      <c r="E9153"/>
      <c r="F9153"/>
      <c r="H9153"/>
    </row>
    <row r="9154" spans="1:8" ht="15">
      <c r="A9154"/>
      <c r="B9154"/>
      <c r="D9154"/>
      <c r="E9154"/>
      <c r="F9154"/>
      <c r="H9154"/>
    </row>
    <row r="9155" spans="1:8" ht="15">
      <c r="A9155"/>
      <c r="B9155"/>
      <c r="D9155"/>
      <c r="E9155"/>
      <c r="F9155"/>
      <c r="H9155"/>
    </row>
    <row r="9156" spans="1:8" ht="15">
      <c r="A9156"/>
      <c r="B9156"/>
      <c r="D9156"/>
      <c r="E9156"/>
      <c r="F9156"/>
      <c r="H9156"/>
    </row>
    <row r="9157" spans="1:8" ht="15">
      <c r="A9157"/>
      <c r="B9157"/>
      <c r="D9157"/>
      <c r="E9157"/>
      <c r="F9157"/>
      <c r="H9157"/>
    </row>
    <row r="9158" spans="1:8" ht="15">
      <c r="A9158"/>
      <c r="B9158"/>
      <c r="D9158"/>
      <c r="E9158"/>
      <c r="F9158"/>
      <c r="H9158"/>
    </row>
    <row r="9159" spans="1:8" ht="15">
      <c r="A9159"/>
      <c r="B9159"/>
      <c r="D9159"/>
      <c r="E9159"/>
      <c r="F9159"/>
      <c r="H9159"/>
    </row>
    <row r="9160" spans="1:8" ht="15">
      <c r="A9160"/>
      <c r="B9160"/>
      <c r="D9160"/>
      <c r="E9160"/>
      <c r="F9160"/>
      <c r="H9160"/>
    </row>
    <row r="9161" spans="1:8" ht="15">
      <c r="A9161"/>
      <c r="B9161"/>
      <c r="D9161"/>
      <c r="E9161"/>
      <c r="F9161"/>
      <c r="H9161"/>
    </row>
    <row r="9162" spans="1:8" ht="15">
      <c r="A9162"/>
      <c r="B9162"/>
      <c r="D9162"/>
      <c r="E9162"/>
      <c r="F9162"/>
      <c r="H9162"/>
    </row>
    <row r="9163" spans="1:8" ht="15">
      <c r="A9163"/>
      <c r="B9163"/>
      <c r="D9163"/>
      <c r="E9163"/>
      <c r="F9163"/>
      <c r="H9163"/>
    </row>
    <row r="9164" spans="1:8" ht="15">
      <c r="A9164"/>
      <c r="B9164"/>
      <c r="D9164"/>
      <c r="E9164"/>
      <c r="F9164"/>
      <c r="H9164"/>
    </row>
    <row r="9165" spans="1:8" ht="15">
      <c r="A9165"/>
      <c r="B9165"/>
      <c r="D9165"/>
      <c r="E9165"/>
      <c r="F9165"/>
      <c r="H9165"/>
    </row>
    <row r="9166" spans="1:8" ht="15">
      <c r="A9166"/>
      <c r="B9166"/>
      <c r="D9166"/>
      <c r="E9166"/>
      <c r="F9166"/>
      <c r="H9166"/>
    </row>
    <row r="9167" spans="1:8" ht="15">
      <c r="A9167"/>
      <c r="B9167"/>
      <c r="D9167"/>
      <c r="E9167"/>
      <c r="F9167"/>
      <c r="H9167"/>
    </row>
    <row r="9168" spans="1:8" ht="15">
      <c r="A9168"/>
      <c r="B9168"/>
      <c r="D9168"/>
      <c r="E9168"/>
      <c r="F9168"/>
      <c r="H9168"/>
    </row>
    <row r="9169" spans="1:8" ht="15">
      <c r="A9169"/>
      <c r="B9169"/>
      <c r="D9169"/>
      <c r="E9169"/>
      <c r="F9169"/>
      <c r="H9169"/>
    </row>
    <row r="9170" spans="1:8" ht="15">
      <c r="A9170"/>
      <c r="B9170"/>
      <c r="D9170"/>
      <c r="E9170"/>
      <c r="F9170"/>
      <c r="H9170"/>
    </row>
    <row r="9171" spans="1:8" ht="15">
      <c r="A9171"/>
      <c r="B9171"/>
      <c r="D9171"/>
      <c r="E9171"/>
      <c r="F9171"/>
      <c r="H9171"/>
    </row>
    <row r="9172" spans="1:8" ht="15">
      <c r="A9172"/>
      <c r="B9172"/>
      <c r="D9172"/>
      <c r="E9172"/>
      <c r="F9172"/>
      <c r="H9172"/>
    </row>
    <row r="9173" spans="1:8" ht="15">
      <c r="A9173"/>
      <c r="B9173"/>
      <c r="D9173"/>
      <c r="E9173"/>
      <c r="F9173"/>
      <c r="H9173"/>
    </row>
    <row r="9174" spans="1:8" ht="15">
      <c r="A9174"/>
      <c r="B9174"/>
      <c r="D9174"/>
      <c r="E9174"/>
      <c r="F9174"/>
      <c r="H9174"/>
    </row>
    <row r="9175" spans="1:8" ht="15">
      <c r="A9175"/>
      <c r="B9175"/>
      <c r="D9175"/>
      <c r="E9175"/>
      <c r="F9175"/>
      <c r="H9175"/>
    </row>
    <row r="9176" spans="1:8" ht="15">
      <c r="A9176"/>
      <c r="B9176"/>
      <c r="D9176"/>
      <c r="E9176"/>
      <c r="F9176"/>
      <c r="H9176"/>
    </row>
    <row r="9177" spans="1:8" ht="15">
      <c r="A9177"/>
      <c r="B9177"/>
      <c r="D9177"/>
      <c r="E9177"/>
      <c r="F9177"/>
      <c r="H9177"/>
    </row>
    <row r="9178" spans="1:8" ht="15">
      <c r="A9178"/>
      <c r="B9178"/>
      <c r="D9178"/>
      <c r="E9178"/>
      <c r="F9178"/>
      <c r="H9178"/>
    </row>
    <row r="9179" spans="1:8" ht="15">
      <c r="A9179"/>
      <c r="B9179"/>
      <c r="D9179"/>
      <c r="E9179"/>
      <c r="F9179"/>
      <c r="H9179"/>
    </row>
    <row r="9180" spans="1:8" ht="15">
      <c r="A9180"/>
      <c r="B9180"/>
      <c r="D9180"/>
      <c r="E9180"/>
      <c r="F9180"/>
      <c r="H9180"/>
    </row>
    <row r="9181" spans="1:8" ht="15">
      <c r="A9181"/>
      <c r="B9181"/>
      <c r="D9181"/>
      <c r="E9181"/>
      <c r="F9181"/>
      <c r="H9181"/>
    </row>
    <row r="9182" spans="1:8" ht="15">
      <c r="A9182"/>
      <c r="B9182"/>
      <c r="D9182"/>
      <c r="E9182"/>
      <c r="F9182"/>
      <c r="H9182"/>
    </row>
    <row r="9183" spans="1:8" ht="15">
      <c r="A9183"/>
      <c r="B9183"/>
      <c r="D9183"/>
      <c r="E9183"/>
      <c r="F9183"/>
      <c r="H9183"/>
    </row>
    <row r="9184" spans="1:8" ht="15">
      <c r="A9184"/>
      <c r="B9184"/>
      <c r="D9184"/>
      <c r="E9184"/>
      <c r="F9184"/>
      <c r="H9184"/>
    </row>
    <row r="9185" spans="1:8" ht="15">
      <c r="A9185"/>
      <c r="B9185"/>
      <c r="D9185"/>
      <c r="E9185"/>
      <c r="F9185"/>
      <c r="H9185"/>
    </row>
    <row r="9186" spans="1:8" ht="15">
      <c r="A9186"/>
      <c r="B9186"/>
      <c r="D9186"/>
      <c r="E9186"/>
      <c r="F9186"/>
      <c r="H9186"/>
    </row>
    <row r="9187" spans="1:8" ht="15">
      <c r="A9187"/>
      <c r="B9187"/>
      <c r="D9187"/>
      <c r="E9187"/>
      <c r="F9187"/>
      <c r="H9187"/>
    </row>
    <row r="9188" spans="1:8" ht="15">
      <c r="A9188"/>
      <c r="B9188"/>
      <c r="D9188"/>
      <c r="E9188"/>
      <c r="F9188"/>
      <c r="H9188"/>
    </row>
    <row r="9189" spans="1:8" ht="15">
      <c r="A9189"/>
      <c r="B9189"/>
      <c r="D9189"/>
      <c r="E9189"/>
      <c r="F9189"/>
      <c r="H9189"/>
    </row>
    <row r="9190" spans="1:8" ht="15">
      <c r="A9190"/>
      <c r="B9190"/>
      <c r="D9190"/>
      <c r="E9190"/>
      <c r="F9190"/>
      <c r="H9190"/>
    </row>
    <row r="9191" spans="1:8" ht="15">
      <c r="A9191"/>
      <c r="B9191"/>
      <c r="D9191"/>
      <c r="E9191"/>
      <c r="F9191"/>
      <c r="H9191"/>
    </row>
    <row r="9192" spans="1:8" ht="15">
      <c r="A9192"/>
      <c r="B9192"/>
      <c r="D9192"/>
      <c r="E9192"/>
      <c r="F9192"/>
      <c r="H9192"/>
    </row>
    <row r="9193" spans="1:8" ht="15">
      <c r="A9193"/>
      <c r="B9193"/>
      <c r="D9193"/>
      <c r="E9193"/>
      <c r="F9193"/>
      <c r="H9193"/>
    </row>
    <row r="9194" spans="1:8" ht="15">
      <c r="A9194"/>
      <c r="B9194"/>
      <c r="D9194"/>
      <c r="E9194"/>
      <c r="F9194"/>
      <c r="H9194"/>
    </row>
    <row r="9195" spans="1:8" ht="15">
      <c r="A9195"/>
      <c r="B9195"/>
      <c r="D9195"/>
      <c r="E9195"/>
      <c r="F9195"/>
      <c r="H9195"/>
    </row>
    <row r="9196" spans="1:8" ht="15">
      <c r="A9196"/>
      <c r="B9196"/>
      <c r="D9196"/>
      <c r="E9196"/>
      <c r="F9196"/>
      <c r="H9196"/>
    </row>
    <row r="9197" spans="1:8" ht="15">
      <c r="A9197"/>
      <c r="B9197"/>
      <c r="D9197"/>
      <c r="E9197"/>
      <c r="F9197"/>
      <c r="H9197"/>
    </row>
    <row r="9198" spans="1:8" ht="15">
      <c r="A9198"/>
      <c r="B9198"/>
      <c r="D9198"/>
      <c r="E9198"/>
      <c r="F9198"/>
      <c r="H9198"/>
    </row>
    <row r="9199" spans="1:8" ht="15">
      <c r="A9199"/>
      <c r="B9199"/>
      <c r="D9199"/>
      <c r="E9199"/>
      <c r="F9199"/>
      <c r="H9199"/>
    </row>
    <row r="9200" spans="1:8" ht="15">
      <c r="A9200"/>
      <c r="B9200"/>
      <c r="D9200"/>
      <c r="E9200"/>
      <c r="F9200"/>
      <c r="H9200"/>
    </row>
    <row r="9201" spans="1:8" ht="15">
      <c r="A9201"/>
      <c r="B9201"/>
      <c r="D9201"/>
      <c r="E9201"/>
      <c r="F9201"/>
      <c r="H9201"/>
    </row>
    <row r="9202" spans="1:8" ht="15">
      <c r="A9202"/>
      <c r="B9202"/>
      <c r="D9202"/>
      <c r="E9202"/>
      <c r="F9202"/>
      <c r="H9202"/>
    </row>
    <row r="9203" spans="1:8" ht="15">
      <c r="A9203"/>
      <c r="B9203"/>
      <c r="D9203"/>
      <c r="E9203"/>
      <c r="F9203"/>
      <c r="H9203"/>
    </row>
    <row r="9204" spans="1:8" ht="15">
      <c r="A9204"/>
      <c r="B9204"/>
      <c r="D9204"/>
      <c r="E9204"/>
      <c r="F9204"/>
      <c r="H9204"/>
    </row>
    <row r="9205" spans="1:8" ht="15">
      <c r="A9205"/>
      <c r="B9205"/>
      <c r="D9205"/>
      <c r="E9205"/>
      <c r="F9205"/>
      <c r="H9205"/>
    </row>
    <row r="9206" spans="1:8" ht="15">
      <c r="A9206"/>
      <c r="B9206"/>
      <c r="D9206"/>
      <c r="E9206"/>
      <c r="F9206"/>
      <c r="H9206"/>
    </row>
    <row r="9207" spans="1:8" ht="15">
      <c r="A9207"/>
      <c r="B9207"/>
      <c r="D9207"/>
      <c r="E9207"/>
      <c r="F9207"/>
      <c r="H9207"/>
    </row>
    <row r="9208" spans="1:8" ht="15">
      <c r="A9208"/>
      <c r="B9208"/>
      <c r="D9208"/>
      <c r="E9208"/>
      <c r="F9208"/>
      <c r="H9208"/>
    </row>
    <row r="9209" spans="1:8" ht="15">
      <c r="A9209"/>
      <c r="B9209"/>
      <c r="D9209"/>
      <c r="E9209"/>
      <c r="F9209"/>
      <c r="H9209"/>
    </row>
    <row r="9210" spans="1:8" ht="15">
      <c r="A9210"/>
      <c r="B9210"/>
      <c r="D9210"/>
      <c r="E9210"/>
      <c r="F9210"/>
      <c r="H9210"/>
    </row>
    <row r="9211" spans="1:8" ht="15">
      <c r="A9211"/>
      <c r="B9211"/>
      <c r="D9211"/>
      <c r="E9211"/>
      <c r="F9211"/>
      <c r="H9211"/>
    </row>
    <row r="9212" spans="1:8" ht="15">
      <c r="A9212"/>
      <c r="B9212"/>
      <c r="D9212"/>
      <c r="E9212"/>
      <c r="F9212"/>
      <c r="H9212"/>
    </row>
    <row r="9213" spans="1:8" ht="15">
      <c r="A9213"/>
      <c r="B9213"/>
      <c r="D9213"/>
      <c r="E9213"/>
      <c r="F9213"/>
      <c r="H9213"/>
    </row>
    <row r="9214" spans="1:8" ht="15">
      <c r="A9214"/>
      <c r="B9214"/>
      <c r="D9214"/>
      <c r="E9214"/>
      <c r="F9214"/>
      <c r="H9214"/>
    </row>
    <row r="9215" spans="1:8" ht="15">
      <c r="A9215"/>
      <c r="B9215"/>
      <c r="D9215"/>
      <c r="E9215"/>
      <c r="F9215"/>
      <c r="H9215"/>
    </row>
    <row r="9216" spans="1:8" ht="15">
      <c r="A9216"/>
      <c r="B9216"/>
      <c r="D9216"/>
      <c r="E9216"/>
      <c r="F9216"/>
      <c r="H9216"/>
    </row>
    <row r="9217" spans="1:8" ht="15">
      <c r="A9217"/>
      <c r="B9217"/>
      <c r="D9217"/>
      <c r="E9217"/>
      <c r="F9217"/>
      <c r="H9217"/>
    </row>
    <row r="9218" spans="1:8" ht="15">
      <c r="A9218"/>
      <c r="B9218"/>
      <c r="D9218"/>
      <c r="E9218"/>
      <c r="F9218"/>
      <c r="H9218"/>
    </row>
    <row r="9219" spans="1:8" ht="15">
      <c r="A9219"/>
      <c r="B9219"/>
      <c r="D9219"/>
      <c r="E9219"/>
      <c r="F9219"/>
      <c r="H9219"/>
    </row>
    <row r="9220" spans="1:8" ht="15">
      <c r="A9220"/>
      <c r="B9220"/>
      <c r="D9220"/>
      <c r="E9220"/>
      <c r="F9220"/>
      <c r="H9220"/>
    </row>
    <row r="9221" spans="1:8" ht="15">
      <c r="A9221"/>
      <c r="B9221"/>
      <c r="D9221"/>
      <c r="E9221"/>
      <c r="F9221"/>
      <c r="H9221"/>
    </row>
    <row r="9222" spans="1:8" ht="15">
      <c r="A9222"/>
      <c r="B9222"/>
      <c r="D9222"/>
      <c r="E9222"/>
      <c r="F9222"/>
      <c r="H9222"/>
    </row>
    <row r="9223" spans="1:8" ht="15">
      <c r="A9223"/>
      <c r="B9223"/>
      <c r="D9223"/>
      <c r="E9223"/>
      <c r="F9223"/>
      <c r="H9223"/>
    </row>
    <row r="9224" spans="1:8" ht="15">
      <c r="A9224"/>
      <c r="B9224"/>
      <c r="D9224"/>
      <c r="E9224"/>
      <c r="F9224"/>
      <c r="H9224"/>
    </row>
    <row r="9225" spans="1:8" ht="15">
      <c r="A9225"/>
      <c r="B9225"/>
      <c r="D9225"/>
      <c r="E9225"/>
      <c r="F9225"/>
      <c r="H9225"/>
    </row>
    <row r="9226" spans="1:8" ht="15">
      <c r="A9226"/>
      <c r="B9226"/>
      <c r="D9226"/>
      <c r="E9226"/>
      <c r="F9226"/>
      <c r="H9226"/>
    </row>
    <row r="9227" spans="1:8" ht="15">
      <c r="A9227"/>
      <c r="B9227"/>
      <c r="D9227"/>
      <c r="E9227"/>
      <c r="F9227"/>
      <c r="H9227"/>
    </row>
    <row r="9228" spans="1:8" ht="15">
      <c r="A9228"/>
      <c r="B9228"/>
      <c r="D9228"/>
      <c r="E9228"/>
      <c r="F9228"/>
      <c r="H9228"/>
    </row>
    <row r="9229" spans="1:8" ht="15">
      <c r="A9229"/>
      <c r="B9229"/>
      <c r="D9229"/>
      <c r="E9229"/>
      <c r="F9229"/>
      <c r="H9229"/>
    </row>
    <row r="9230" spans="1:8" ht="15">
      <c r="A9230"/>
      <c r="B9230"/>
      <c r="D9230"/>
      <c r="E9230"/>
      <c r="F9230"/>
      <c r="H9230"/>
    </row>
    <row r="9231" spans="1:8" ht="15">
      <c r="A9231"/>
      <c r="B9231"/>
      <c r="D9231"/>
      <c r="E9231"/>
      <c r="F9231"/>
      <c r="H9231"/>
    </row>
    <row r="9232" spans="1:8" ht="15">
      <c r="A9232"/>
      <c r="B9232"/>
      <c r="D9232"/>
      <c r="E9232"/>
      <c r="F9232"/>
      <c r="H9232"/>
    </row>
    <row r="9233" spans="1:8" ht="15">
      <c r="A9233"/>
      <c r="B9233"/>
      <c r="D9233"/>
      <c r="E9233"/>
      <c r="F9233"/>
      <c r="H9233"/>
    </row>
    <row r="9234" spans="1:8" ht="15">
      <c r="A9234"/>
      <c r="B9234"/>
      <c r="D9234"/>
      <c r="E9234"/>
      <c r="F9234"/>
      <c r="H9234"/>
    </row>
    <row r="9235" spans="1:8" ht="15">
      <c r="A9235"/>
      <c r="B9235"/>
      <c r="D9235"/>
      <c r="E9235"/>
      <c r="F9235"/>
      <c r="H9235"/>
    </row>
    <row r="9236" spans="1:8" ht="15">
      <c r="A9236"/>
      <c r="B9236"/>
      <c r="D9236"/>
      <c r="E9236"/>
      <c r="F9236"/>
      <c r="H9236"/>
    </row>
    <row r="9237" spans="1:8" ht="15">
      <c r="A9237"/>
      <c r="B9237"/>
      <c r="D9237"/>
      <c r="E9237"/>
      <c r="F9237"/>
      <c r="H9237"/>
    </row>
    <row r="9238" spans="1:8" ht="15">
      <c r="A9238"/>
      <c r="B9238"/>
      <c r="D9238"/>
      <c r="E9238"/>
      <c r="F9238"/>
      <c r="H9238"/>
    </row>
    <row r="9239" spans="1:8" ht="15">
      <c r="A9239"/>
      <c r="B9239"/>
      <c r="D9239"/>
      <c r="E9239"/>
      <c r="F9239"/>
      <c r="H9239"/>
    </row>
    <row r="9240" spans="1:8" ht="15">
      <c r="A9240"/>
      <c r="B9240"/>
      <c r="D9240"/>
      <c r="E9240"/>
      <c r="F9240"/>
      <c r="H9240"/>
    </row>
    <row r="9241" spans="1:8" ht="15">
      <c r="A9241"/>
      <c r="B9241"/>
      <c r="D9241"/>
      <c r="E9241"/>
      <c r="F9241"/>
      <c r="H9241"/>
    </row>
    <row r="9242" spans="1:8" ht="15">
      <c r="A9242"/>
      <c r="B9242"/>
      <c r="D9242"/>
      <c r="E9242"/>
      <c r="F9242"/>
      <c r="H9242"/>
    </row>
    <row r="9243" spans="1:8" ht="15">
      <c r="A9243"/>
      <c r="B9243"/>
      <c r="D9243"/>
      <c r="E9243"/>
      <c r="F9243"/>
      <c r="H9243"/>
    </row>
    <row r="9244" spans="1:8" ht="15">
      <c r="A9244"/>
      <c r="B9244"/>
      <c r="D9244"/>
      <c r="E9244"/>
      <c r="F9244"/>
      <c r="H9244"/>
    </row>
    <row r="9245" spans="1:8" ht="15">
      <c r="A9245"/>
      <c r="B9245"/>
      <c r="D9245"/>
      <c r="E9245"/>
      <c r="F9245"/>
      <c r="H9245"/>
    </row>
    <row r="9246" spans="1:8" ht="15">
      <c r="A9246"/>
      <c r="B9246"/>
      <c r="D9246"/>
      <c r="E9246"/>
      <c r="F9246"/>
      <c r="H9246"/>
    </row>
    <row r="9247" spans="1:8" ht="15">
      <c r="A9247"/>
      <c r="B9247"/>
      <c r="D9247"/>
      <c r="E9247"/>
      <c r="F9247"/>
      <c r="H9247"/>
    </row>
    <row r="9248" spans="1:8" ht="15">
      <c r="A9248"/>
      <c r="B9248"/>
      <c r="D9248"/>
      <c r="E9248"/>
      <c r="F9248"/>
      <c r="H9248"/>
    </row>
    <row r="9249" spans="1:8" ht="15">
      <c r="A9249"/>
      <c r="B9249"/>
      <c r="D9249"/>
      <c r="E9249"/>
      <c r="F9249"/>
      <c r="H9249"/>
    </row>
    <row r="9250" spans="1:8" ht="15">
      <c r="A9250"/>
      <c r="B9250"/>
      <c r="D9250"/>
      <c r="E9250"/>
      <c r="F9250"/>
      <c r="H9250"/>
    </row>
    <row r="9251" spans="1:8" ht="15">
      <c r="A9251"/>
      <c r="B9251"/>
      <c r="D9251"/>
      <c r="E9251"/>
      <c r="F9251"/>
      <c r="H9251"/>
    </row>
    <row r="9252" spans="1:8" ht="15">
      <c r="A9252"/>
      <c r="B9252"/>
      <c r="D9252"/>
      <c r="E9252"/>
      <c r="F9252"/>
      <c r="H9252"/>
    </row>
    <row r="9253" spans="1:8" ht="15">
      <c r="A9253"/>
      <c r="B9253"/>
      <c r="D9253"/>
      <c r="E9253"/>
      <c r="F9253"/>
      <c r="H9253"/>
    </row>
    <row r="9254" spans="1:8" ht="15">
      <c r="A9254"/>
      <c r="B9254"/>
      <c r="D9254"/>
      <c r="E9254"/>
      <c r="F9254"/>
      <c r="H9254"/>
    </row>
    <row r="9255" spans="1:8" ht="15">
      <c r="A9255"/>
      <c r="B9255"/>
      <c r="D9255"/>
      <c r="E9255"/>
      <c r="F9255"/>
      <c r="H9255"/>
    </row>
    <row r="9256" spans="1:8" ht="15">
      <c r="A9256"/>
      <c r="B9256"/>
      <c r="D9256"/>
      <c r="E9256"/>
      <c r="F9256"/>
      <c r="H9256"/>
    </row>
    <row r="9257" spans="1:8" ht="15">
      <c r="A9257"/>
      <c r="B9257"/>
      <c r="D9257"/>
      <c r="E9257"/>
      <c r="F9257"/>
      <c r="H9257"/>
    </row>
    <row r="9258" spans="1:8" ht="15">
      <c r="A9258"/>
      <c r="B9258"/>
      <c r="D9258"/>
      <c r="E9258"/>
      <c r="F9258"/>
      <c r="H9258"/>
    </row>
    <row r="9259" spans="1:8" ht="15">
      <c r="A9259"/>
      <c r="B9259"/>
      <c r="D9259"/>
      <c r="E9259"/>
      <c r="F9259"/>
      <c r="H9259"/>
    </row>
    <row r="9260" spans="1:8" ht="15">
      <c r="A9260"/>
      <c r="B9260"/>
      <c r="D9260"/>
      <c r="E9260"/>
      <c r="F9260"/>
      <c r="H9260"/>
    </row>
    <row r="9261" spans="1:8" ht="15">
      <c r="A9261"/>
      <c r="B9261"/>
      <c r="D9261"/>
      <c r="E9261"/>
      <c r="F9261"/>
      <c r="H9261"/>
    </row>
    <row r="9262" spans="1:8" ht="15">
      <c r="A9262"/>
      <c r="B9262"/>
      <c r="D9262"/>
      <c r="E9262"/>
      <c r="F9262"/>
      <c r="H9262"/>
    </row>
    <row r="9263" spans="1:8" ht="15">
      <c r="A9263"/>
      <c r="B9263"/>
      <c r="D9263"/>
      <c r="E9263"/>
      <c r="F9263"/>
      <c r="H9263"/>
    </row>
    <row r="9264" spans="1:8" ht="15">
      <c r="A9264"/>
      <c r="B9264"/>
      <c r="D9264"/>
      <c r="E9264"/>
      <c r="F9264"/>
      <c r="H9264"/>
    </row>
    <row r="9265" spans="1:8" ht="15">
      <c r="A9265"/>
      <c r="B9265"/>
      <c r="D9265"/>
      <c r="E9265"/>
      <c r="F9265"/>
      <c r="H9265"/>
    </row>
    <row r="9266" spans="1:8" ht="15">
      <c r="A9266"/>
      <c r="B9266"/>
      <c r="D9266"/>
      <c r="E9266"/>
      <c r="F9266"/>
      <c r="H9266"/>
    </row>
    <row r="9267" spans="1:8" ht="15">
      <c r="A9267"/>
      <c r="B9267"/>
      <c r="D9267"/>
      <c r="E9267"/>
      <c r="F9267"/>
      <c r="H9267"/>
    </row>
    <row r="9268" spans="1:8" ht="15">
      <c r="A9268"/>
      <c r="B9268"/>
      <c r="D9268"/>
      <c r="E9268"/>
      <c r="F9268"/>
      <c r="H9268"/>
    </row>
    <row r="9269" spans="1:8" ht="15">
      <c r="A9269"/>
      <c r="B9269"/>
      <c r="D9269"/>
      <c r="E9269"/>
      <c r="F9269"/>
      <c r="H9269"/>
    </row>
    <row r="9270" spans="1:8" ht="15">
      <c r="A9270"/>
      <c r="B9270"/>
      <c r="D9270"/>
      <c r="E9270"/>
      <c r="F9270"/>
      <c r="H9270"/>
    </row>
    <row r="9271" spans="1:8" ht="15">
      <c r="A9271"/>
      <c r="B9271"/>
      <c r="D9271"/>
      <c r="E9271"/>
      <c r="F9271"/>
      <c r="H9271"/>
    </row>
    <row r="9272" spans="1:8" ht="15">
      <c r="A9272"/>
      <c r="B9272"/>
      <c r="D9272"/>
      <c r="E9272"/>
      <c r="F9272"/>
      <c r="H9272"/>
    </row>
    <row r="9273" spans="1:8" ht="15">
      <c r="A9273"/>
      <c r="B9273"/>
      <c r="D9273"/>
      <c r="E9273"/>
      <c r="F9273"/>
      <c r="H9273"/>
    </row>
    <row r="9274" spans="1:8" ht="15">
      <c r="A9274"/>
      <c r="B9274"/>
      <c r="D9274"/>
      <c r="E9274"/>
      <c r="F9274"/>
      <c r="H9274"/>
    </row>
    <row r="9275" spans="1:8" ht="15">
      <c r="A9275"/>
      <c r="B9275"/>
      <c r="D9275"/>
      <c r="E9275"/>
      <c r="F9275"/>
      <c r="H9275"/>
    </row>
    <row r="9276" spans="1:8" ht="15">
      <c r="A9276"/>
      <c r="B9276"/>
      <c r="D9276"/>
      <c r="E9276"/>
      <c r="F9276"/>
      <c r="H9276"/>
    </row>
    <row r="9277" spans="1:8" ht="15">
      <c r="A9277"/>
      <c r="B9277"/>
      <c r="D9277"/>
      <c r="E9277"/>
      <c r="F9277"/>
      <c r="H9277"/>
    </row>
    <row r="9278" spans="1:8" ht="15">
      <c r="A9278"/>
      <c r="B9278"/>
      <c r="D9278"/>
      <c r="E9278"/>
      <c r="F9278"/>
      <c r="H9278"/>
    </row>
    <row r="9279" spans="1:8" ht="15">
      <c r="A9279"/>
      <c r="B9279"/>
      <c r="D9279"/>
      <c r="E9279"/>
      <c r="F9279"/>
      <c r="H9279"/>
    </row>
    <row r="9280" spans="1:8" ht="15">
      <c r="A9280"/>
      <c r="B9280"/>
      <c r="D9280"/>
      <c r="E9280"/>
      <c r="F9280"/>
      <c r="H9280"/>
    </row>
    <row r="9281" spans="1:8" ht="15">
      <c r="A9281"/>
      <c r="B9281"/>
      <c r="D9281"/>
      <c r="E9281"/>
      <c r="F9281"/>
      <c r="H9281"/>
    </row>
    <row r="9282" spans="1:8" ht="15">
      <c r="A9282"/>
      <c r="B9282"/>
      <c r="D9282"/>
      <c r="E9282"/>
      <c r="F9282"/>
      <c r="H9282"/>
    </row>
    <row r="9283" spans="1:8" ht="15">
      <c r="A9283"/>
      <c r="B9283"/>
      <c r="D9283"/>
      <c r="E9283"/>
      <c r="F9283"/>
      <c r="H9283"/>
    </row>
    <row r="9284" spans="1:8" ht="15">
      <c r="A9284"/>
      <c r="B9284"/>
      <c r="D9284"/>
      <c r="E9284"/>
      <c r="F9284"/>
      <c r="H9284"/>
    </row>
    <row r="9285" spans="1:8" ht="15">
      <c r="A9285"/>
      <c r="B9285"/>
      <c r="D9285"/>
      <c r="E9285"/>
      <c r="F9285"/>
      <c r="H9285"/>
    </row>
    <row r="9286" spans="1:8" ht="15">
      <c r="A9286"/>
      <c r="B9286"/>
      <c r="D9286"/>
      <c r="E9286"/>
      <c r="F9286"/>
      <c r="H9286"/>
    </row>
    <row r="9287" spans="1:8" ht="15">
      <c r="A9287"/>
      <c r="B9287"/>
      <c r="D9287"/>
      <c r="E9287"/>
      <c r="F9287"/>
      <c r="H9287"/>
    </row>
    <row r="9288" spans="1:8" ht="15">
      <c r="A9288"/>
      <c r="B9288"/>
      <c r="D9288"/>
      <c r="E9288"/>
      <c r="F9288"/>
      <c r="H9288"/>
    </row>
    <row r="9289" spans="1:8" ht="15">
      <c r="A9289"/>
      <c r="B9289"/>
      <c r="D9289"/>
      <c r="E9289"/>
      <c r="F9289"/>
      <c r="H9289"/>
    </row>
    <row r="9290" spans="1:8" ht="15">
      <c r="A9290"/>
      <c r="B9290"/>
      <c r="D9290"/>
      <c r="E9290"/>
      <c r="F9290"/>
      <c r="H9290"/>
    </row>
    <row r="9291" spans="1:8" ht="15">
      <c r="A9291"/>
      <c r="B9291"/>
      <c r="D9291"/>
      <c r="E9291"/>
      <c r="F9291"/>
      <c r="H9291"/>
    </row>
    <row r="9292" spans="1:8" ht="15">
      <c r="A9292"/>
      <c r="B9292"/>
      <c r="D9292"/>
      <c r="E9292"/>
      <c r="F9292"/>
      <c r="H9292"/>
    </row>
    <row r="9293" spans="1:8" ht="15">
      <c r="A9293"/>
      <c r="B9293"/>
      <c r="D9293"/>
      <c r="E9293"/>
      <c r="F9293"/>
      <c r="H9293"/>
    </row>
    <row r="9294" spans="1:8" ht="15">
      <c r="A9294"/>
      <c r="B9294"/>
      <c r="D9294"/>
      <c r="E9294"/>
      <c r="F9294"/>
      <c r="H9294"/>
    </row>
    <row r="9295" spans="1:8" ht="15">
      <c r="A9295"/>
      <c r="B9295"/>
      <c r="D9295"/>
      <c r="E9295"/>
      <c r="F9295"/>
      <c r="H9295"/>
    </row>
    <row r="9296" spans="1:8" ht="15">
      <c r="A9296"/>
      <c r="B9296"/>
      <c r="D9296"/>
      <c r="E9296"/>
      <c r="F9296"/>
      <c r="H9296"/>
    </row>
    <row r="9297" spans="1:8" ht="15">
      <c r="A9297"/>
      <c r="B9297"/>
      <c r="D9297"/>
      <c r="E9297"/>
      <c r="F9297"/>
      <c r="H9297"/>
    </row>
    <row r="9298" spans="1:8" ht="15">
      <c r="A9298"/>
      <c r="B9298"/>
      <c r="D9298"/>
      <c r="E9298"/>
      <c r="F9298"/>
      <c r="H9298"/>
    </row>
    <row r="9299" spans="1:8" ht="15">
      <c r="A9299"/>
      <c r="B9299"/>
      <c r="D9299"/>
      <c r="E9299"/>
      <c r="F9299"/>
      <c r="H9299"/>
    </row>
    <row r="9300" spans="1:8" ht="15">
      <c r="A9300"/>
      <c r="B9300"/>
      <c r="D9300"/>
      <c r="E9300"/>
      <c r="F9300"/>
      <c r="H9300"/>
    </row>
    <row r="9301" spans="1:8" ht="15">
      <c r="A9301"/>
      <c r="B9301"/>
      <c r="D9301"/>
      <c r="E9301"/>
      <c r="F9301"/>
      <c r="H9301"/>
    </row>
    <row r="9302" spans="1:8" ht="15">
      <c r="A9302"/>
      <c r="B9302"/>
      <c r="D9302"/>
      <c r="E9302"/>
      <c r="F9302"/>
      <c r="H9302"/>
    </row>
    <row r="9303" spans="1:8" ht="15">
      <c r="A9303"/>
      <c r="B9303"/>
      <c r="D9303"/>
      <c r="E9303"/>
      <c r="F9303"/>
      <c r="H9303"/>
    </row>
    <row r="9304" spans="1:8" ht="15">
      <c r="A9304"/>
      <c r="B9304"/>
      <c r="D9304"/>
      <c r="E9304"/>
      <c r="F9304"/>
      <c r="H9304"/>
    </row>
    <row r="9305" spans="1:8" ht="15">
      <c r="A9305"/>
      <c r="B9305"/>
      <c r="D9305"/>
      <c r="E9305"/>
      <c r="F9305"/>
      <c r="H9305"/>
    </row>
    <row r="9306" spans="1:8" ht="15">
      <c r="A9306"/>
      <c r="B9306"/>
      <c r="D9306"/>
      <c r="E9306"/>
      <c r="F9306"/>
      <c r="H9306"/>
    </row>
    <row r="9307" spans="1:8" ht="15">
      <c r="A9307"/>
      <c r="B9307"/>
      <c r="D9307"/>
      <c r="E9307"/>
      <c r="F9307"/>
      <c r="H9307"/>
    </row>
    <row r="9308" spans="1:8" ht="15">
      <c r="A9308"/>
      <c r="B9308"/>
      <c r="D9308"/>
      <c r="E9308"/>
      <c r="F9308"/>
      <c r="H9308"/>
    </row>
    <row r="9309" spans="1:8" ht="15">
      <c r="A9309"/>
      <c r="B9309"/>
      <c r="D9309"/>
      <c r="E9309"/>
      <c r="F9309"/>
      <c r="H9309"/>
    </row>
    <row r="9310" spans="1:8" ht="15">
      <c r="A9310"/>
      <c r="B9310"/>
      <c r="D9310"/>
      <c r="E9310"/>
      <c r="F9310"/>
      <c r="H9310"/>
    </row>
    <row r="9311" spans="1:8" ht="15">
      <c r="A9311"/>
      <c r="B9311"/>
      <c r="D9311"/>
      <c r="E9311"/>
      <c r="F9311"/>
      <c r="H9311"/>
    </row>
    <row r="9312" spans="1:8" ht="15">
      <c r="A9312"/>
      <c r="B9312"/>
      <c r="D9312"/>
      <c r="E9312"/>
      <c r="F9312"/>
      <c r="H9312"/>
    </row>
    <row r="9313" spans="1:8" ht="15">
      <c r="A9313"/>
      <c r="B9313"/>
      <c r="D9313"/>
      <c r="E9313"/>
      <c r="F9313"/>
      <c r="H9313"/>
    </row>
    <row r="9314" spans="1:8" ht="15">
      <c r="A9314"/>
      <c r="B9314"/>
      <c r="D9314"/>
      <c r="E9314"/>
      <c r="F9314"/>
      <c r="H9314"/>
    </row>
    <row r="9315" spans="1:8" ht="15">
      <c r="A9315"/>
      <c r="B9315"/>
      <c r="D9315"/>
      <c r="E9315"/>
      <c r="F9315"/>
      <c r="H9315"/>
    </row>
    <row r="9316" spans="1:8" ht="15">
      <c r="A9316"/>
      <c r="B9316"/>
      <c r="D9316"/>
      <c r="E9316"/>
      <c r="F9316"/>
      <c r="H9316"/>
    </row>
    <row r="9317" spans="1:8" ht="15">
      <c r="A9317"/>
      <c r="B9317"/>
      <c r="D9317"/>
      <c r="E9317"/>
      <c r="F9317"/>
      <c r="H9317"/>
    </row>
    <row r="9318" spans="1:8" ht="15">
      <c r="A9318"/>
      <c r="B9318"/>
      <c r="D9318"/>
      <c r="E9318"/>
      <c r="F9318"/>
      <c r="H9318"/>
    </row>
    <row r="9319" spans="1:8" ht="15">
      <c r="A9319"/>
      <c r="B9319"/>
      <c r="D9319"/>
      <c r="E9319"/>
      <c r="F9319"/>
      <c r="H9319"/>
    </row>
    <row r="9320" spans="1:8" ht="15">
      <c r="A9320"/>
      <c r="B9320"/>
      <c r="D9320"/>
      <c r="E9320"/>
      <c r="F9320"/>
      <c r="H9320"/>
    </row>
    <row r="9321" spans="1:8" ht="15">
      <c r="A9321"/>
      <c r="B9321"/>
      <c r="D9321"/>
      <c r="E9321"/>
      <c r="F9321"/>
      <c r="H9321"/>
    </row>
    <row r="9322" spans="1:8" ht="15">
      <c r="A9322"/>
      <c r="B9322"/>
      <c r="D9322"/>
      <c r="E9322"/>
      <c r="F9322"/>
      <c r="H9322"/>
    </row>
    <row r="9323" spans="1:8" ht="15">
      <c r="A9323"/>
      <c r="B9323"/>
      <c r="D9323"/>
      <c r="E9323"/>
      <c r="F9323"/>
      <c r="H9323"/>
    </row>
    <row r="9324" spans="1:8" ht="15">
      <c r="A9324"/>
      <c r="B9324"/>
      <c r="D9324"/>
      <c r="E9324"/>
      <c r="F9324"/>
      <c r="H9324"/>
    </row>
    <row r="9325" spans="1:8" ht="15">
      <c r="A9325"/>
      <c r="B9325"/>
      <c r="D9325"/>
      <c r="E9325"/>
      <c r="F9325"/>
      <c r="H9325"/>
    </row>
    <row r="9326" spans="1:8" ht="15">
      <c r="A9326"/>
      <c r="B9326"/>
      <c r="D9326"/>
      <c r="E9326"/>
      <c r="F9326"/>
      <c r="H9326"/>
    </row>
    <row r="9327" spans="1:8" ht="15">
      <c r="A9327"/>
      <c r="B9327"/>
      <c r="D9327"/>
      <c r="E9327"/>
      <c r="F9327"/>
      <c r="H9327"/>
    </row>
    <row r="9328" spans="1:8" ht="15">
      <c r="A9328"/>
      <c r="B9328"/>
      <c r="D9328"/>
      <c r="E9328"/>
      <c r="F9328"/>
      <c r="H9328"/>
    </row>
    <row r="9329" spans="1:8" ht="15">
      <c r="A9329"/>
      <c r="B9329"/>
      <c r="D9329"/>
      <c r="E9329"/>
      <c r="F9329"/>
      <c r="H9329"/>
    </row>
    <row r="9330" spans="1:8" ht="15">
      <c r="A9330"/>
      <c r="B9330"/>
      <c r="D9330"/>
      <c r="E9330"/>
      <c r="F9330"/>
      <c r="H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1442</v>
      </c>
      <c r="B1" s="7" t="s">
        <v>1443</v>
      </c>
      <c r="C1" s="7" t="s">
        <v>1444</v>
      </c>
      <c r="D1" s="7" t="s">
        <v>1445</v>
      </c>
      <c r="E1" s="7" t="s">
        <v>1446</v>
      </c>
      <c r="F1" s="7" t="s">
        <v>1447</v>
      </c>
      <c r="G1" s="125" t="s">
        <v>1448</v>
      </c>
      <c r="H1" s="125" t="s">
        <v>1449</v>
      </c>
      <c r="I1" s="7" t="s">
        <v>1450</v>
      </c>
      <c r="J1" s="7" t="s">
        <v>1451</v>
      </c>
      <c r="K1" s="125" t="s">
        <v>1452</v>
      </c>
      <c r="L1" s="125" t="s">
        <v>1453</v>
      </c>
      <c r="M1" s="125" t="s">
        <v>1454</v>
      </c>
      <c r="N1" s="125" t="s">
        <v>1455</v>
      </c>
      <c r="O1" s="7" t="s">
        <v>1456</v>
      </c>
      <c r="P1" s="7" t="s">
        <v>1457</v>
      </c>
      <c r="Q1" s="125" t="s">
        <v>1458</v>
      </c>
      <c r="R1" s="125" t="s">
        <v>1459</v>
      </c>
      <c r="S1" s="125" t="s">
        <v>1460</v>
      </c>
      <c r="T1" s="125" t="s">
        <v>1461</v>
      </c>
      <c r="U1" s="125" t="s">
        <v>1462</v>
      </c>
      <c r="V1" s="125" t="s">
        <v>1463</v>
      </c>
    </row>
    <row r="2" spans="1:22" ht="15">
      <c r="A2" s="51" t="s">
        <v>1153</v>
      </c>
      <c r="B2" s="125">
        <v>2</v>
      </c>
      <c r="C2" s="51" t="s">
        <v>1153</v>
      </c>
      <c r="D2" s="125">
        <v>2</v>
      </c>
      <c r="E2" s="51" t="s">
        <v>985</v>
      </c>
      <c r="F2" s="125">
        <v>2</v>
      </c>
      <c r="G2" s="125"/>
      <c r="H2" s="125"/>
      <c r="I2" s="51" t="s">
        <v>947</v>
      </c>
      <c r="J2" s="125">
        <v>2</v>
      </c>
      <c r="K2" s="125"/>
      <c r="L2" s="125"/>
      <c r="M2" s="125"/>
      <c r="N2" s="125"/>
      <c r="O2" s="51" t="s">
        <v>1017</v>
      </c>
      <c r="P2" s="125">
        <v>1</v>
      </c>
      <c r="Q2" s="125"/>
      <c r="R2" s="125"/>
      <c r="S2" s="125"/>
      <c r="T2" s="125"/>
      <c r="U2" s="125"/>
      <c r="V2" s="125"/>
    </row>
    <row r="3" spans="1:22" ht="15">
      <c r="A3" s="85" t="s">
        <v>1147</v>
      </c>
      <c r="B3" s="125">
        <v>2</v>
      </c>
      <c r="C3" s="51" t="s">
        <v>1072</v>
      </c>
      <c r="D3" s="125">
        <v>2</v>
      </c>
      <c r="E3" s="51" t="s">
        <v>1464</v>
      </c>
      <c r="F3" s="125">
        <v>1</v>
      </c>
      <c r="G3" s="125"/>
      <c r="H3" s="125"/>
      <c r="I3" s="125"/>
      <c r="J3" s="125"/>
      <c r="K3" s="125"/>
      <c r="L3" s="125"/>
      <c r="M3" s="125"/>
      <c r="N3" s="125"/>
      <c r="O3" s="125"/>
      <c r="P3" s="125"/>
      <c r="Q3" s="125"/>
      <c r="R3" s="125"/>
      <c r="S3" s="125"/>
      <c r="T3" s="125"/>
      <c r="U3" s="125"/>
      <c r="V3" s="125"/>
    </row>
    <row r="4" spans="1:22" ht="15" customHeight="1">
      <c r="A4" s="85" t="s">
        <v>1465</v>
      </c>
      <c r="B4" s="125">
        <v>2</v>
      </c>
      <c r="C4" s="51" t="s">
        <v>1094</v>
      </c>
      <c r="D4" s="125">
        <v>2</v>
      </c>
      <c r="E4" s="51" t="s">
        <v>1466</v>
      </c>
      <c r="F4" s="125">
        <v>1</v>
      </c>
      <c r="G4" s="125"/>
      <c r="H4" s="125"/>
      <c r="I4" s="125"/>
      <c r="J4" s="125"/>
      <c r="K4" s="125"/>
      <c r="L4" s="125"/>
      <c r="M4" s="125"/>
      <c r="N4" s="125"/>
      <c r="O4" s="125"/>
      <c r="P4" s="125"/>
      <c r="Q4" s="125"/>
      <c r="R4" s="125"/>
      <c r="S4" s="125"/>
      <c r="T4" s="125"/>
      <c r="U4" s="125"/>
      <c r="V4" s="125"/>
    </row>
    <row r="5" spans="1:22" ht="15">
      <c r="A5" s="85" t="s">
        <v>1102</v>
      </c>
      <c r="B5" s="125">
        <v>2</v>
      </c>
      <c r="C5" s="51" t="s">
        <v>1102</v>
      </c>
      <c r="D5" s="125">
        <v>2</v>
      </c>
      <c r="E5" s="51" t="s">
        <v>1467</v>
      </c>
      <c r="F5" s="125">
        <v>1</v>
      </c>
      <c r="G5" s="125"/>
      <c r="H5" s="125"/>
      <c r="I5" s="125"/>
      <c r="J5" s="125"/>
      <c r="K5" s="125"/>
      <c r="L5" s="125"/>
      <c r="M5" s="125"/>
      <c r="N5" s="125"/>
      <c r="O5" s="125"/>
      <c r="P5" s="125"/>
      <c r="Q5" s="125"/>
      <c r="R5" s="125"/>
      <c r="S5" s="125"/>
      <c r="T5" s="125"/>
      <c r="U5" s="125"/>
      <c r="V5" s="125"/>
    </row>
    <row r="6" spans="1:22" ht="15" customHeight="1">
      <c r="A6" s="85" t="s">
        <v>1094</v>
      </c>
      <c r="B6" s="125">
        <v>2</v>
      </c>
      <c r="C6" s="51" t="s">
        <v>1465</v>
      </c>
      <c r="D6" s="125">
        <v>2</v>
      </c>
      <c r="E6" s="51" t="s">
        <v>1468</v>
      </c>
      <c r="F6" s="125">
        <v>1</v>
      </c>
      <c r="G6" s="125"/>
      <c r="H6" s="125"/>
      <c r="I6" s="125"/>
      <c r="J6" s="125"/>
      <c r="K6" s="125"/>
      <c r="L6" s="125"/>
      <c r="M6" s="125"/>
      <c r="N6" s="125"/>
      <c r="O6" s="125"/>
      <c r="P6" s="125"/>
      <c r="Q6" s="125"/>
      <c r="R6" s="125"/>
      <c r="S6" s="125"/>
      <c r="T6" s="125"/>
      <c r="U6" s="125"/>
      <c r="V6" s="125"/>
    </row>
    <row r="7" spans="1:22" ht="15" customHeight="1">
      <c r="A7" s="85" t="s">
        <v>1072</v>
      </c>
      <c r="B7" s="125">
        <v>2</v>
      </c>
      <c r="C7" s="51" t="s">
        <v>1147</v>
      </c>
      <c r="D7" s="125">
        <v>2</v>
      </c>
      <c r="E7" s="51" t="s">
        <v>1469</v>
      </c>
      <c r="F7" s="125">
        <v>1</v>
      </c>
      <c r="G7" s="125"/>
      <c r="H7" s="125"/>
      <c r="I7" s="125"/>
      <c r="J7" s="125"/>
      <c r="K7" s="125"/>
      <c r="L7" s="125"/>
      <c r="M7" s="125"/>
      <c r="N7" s="125"/>
      <c r="O7" s="125"/>
      <c r="P7" s="125"/>
      <c r="Q7" s="125"/>
      <c r="R7" s="125"/>
      <c r="S7" s="125"/>
      <c r="T7" s="125"/>
      <c r="U7" s="125"/>
      <c r="V7" s="125"/>
    </row>
    <row r="8" spans="1:22" ht="15" customHeight="1">
      <c r="A8" s="85" t="s">
        <v>985</v>
      </c>
      <c r="B8" s="125">
        <v>2</v>
      </c>
      <c r="C8" s="51" t="s">
        <v>1470</v>
      </c>
      <c r="D8" s="125">
        <v>1</v>
      </c>
      <c r="E8" s="51" t="s">
        <v>1471</v>
      </c>
      <c r="F8" s="125">
        <v>1</v>
      </c>
      <c r="G8" s="125"/>
      <c r="H8" s="125"/>
      <c r="I8" s="125"/>
      <c r="J8" s="125"/>
      <c r="K8" s="125"/>
      <c r="L8" s="125"/>
      <c r="M8" s="125"/>
      <c r="N8" s="125"/>
      <c r="O8" s="125"/>
      <c r="P8" s="125"/>
      <c r="Q8" s="125"/>
      <c r="R8" s="125"/>
      <c r="S8" s="125"/>
      <c r="T8" s="125"/>
      <c r="U8" s="125"/>
      <c r="V8" s="125"/>
    </row>
    <row r="9" spans="1:22" ht="15" customHeight="1">
      <c r="A9" s="85" t="s">
        <v>947</v>
      </c>
      <c r="B9" s="125">
        <v>2</v>
      </c>
      <c r="C9" s="125"/>
      <c r="D9" s="125"/>
      <c r="E9" s="51" t="s">
        <v>1472</v>
      </c>
      <c r="F9" s="125">
        <v>1</v>
      </c>
      <c r="G9" s="125"/>
      <c r="H9" s="125"/>
      <c r="I9" s="125"/>
      <c r="J9" s="125"/>
      <c r="K9" s="125"/>
      <c r="L9" s="125"/>
      <c r="M9" s="125"/>
      <c r="N9" s="125"/>
      <c r="O9" s="125"/>
      <c r="P9" s="125"/>
      <c r="Q9" s="125"/>
      <c r="R9" s="125"/>
      <c r="S9" s="125"/>
      <c r="T9" s="125"/>
      <c r="U9" s="125"/>
      <c r="V9" s="125"/>
    </row>
    <row r="10" spans="1:22" ht="15" customHeight="1">
      <c r="A10" s="85" t="s">
        <v>1464</v>
      </c>
      <c r="B10" s="125">
        <v>1</v>
      </c>
      <c r="C10" s="125"/>
      <c r="D10" s="125"/>
      <c r="E10" s="51" t="s">
        <v>1473</v>
      </c>
      <c r="F10" s="125">
        <v>1</v>
      </c>
      <c r="G10" s="125"/>
      <c r="H10" s="125"/>
      <c r="I10" s="125"/>
      <c r="J10" s="125"/>
      <c r="K10" s="125"/>
      <c r="L10" s="125"/>
      <c r="M10" s="125"/>
      <c r="N10" s="125"/>
      <c r="O10" s="125"/>
      <c r="P10" s="125"/>
      <c r="Q10" s="125"/>
      <c r="R10" s="125"/>
      <c r="S10" s="125"/>
      <c r="T10" s="125"/>
      <c r="U10" s="125"/>
      <c r="V10" s="125"/>
    </row>
    <row r="11" spans="1:22" ht="15" customHeight="1">
      <c r="A11" s="85" t="s">
        <v>1474</v>
      </c>
      <c r="B11" s="125">
        <v>1</v>
      </c>
      <c r="C11" s="125"/>
      <c r="D11" s="125"/>
      <c r="E11" s="51" t="s">
        <v>1475</v>
      </c>
      <c r="F11" s="125">
        <v>1</v>
      </c>
      <c r="G11" s="125"/>
      <c r="H11" s="125"/>
      <c r="I11" s="125"/>
      <c r="J11" s="125"/>
      <c r="K11" s="125"/>
      <c r="L11" s="125"/>
      <c r="M11" s="125"/>
      <c r="N11" s="125"/>
      <c r="O11" s="125"/>
      <c r="P11" s="125"/>
      <c r="Q11" s="125"/>
      <c r="R11" s="125"/>
      <c r="S11" s="125"/>
      <c r="T11" s="125"/>
      <c r="U11" s="125"/>
      <c r="V11" s="125"/>
    </row>
    <row r="13" ht="15" customHeight="1"/>
    <row r="14" spans="1:22" ht="15" customHeight="1">
      <c r="A14" s="7" t="s">
        <v>1476</v>
      </c>
      <c r="B14" s="7" t="s">
        <v>1443</v>
      </c>
      <c r="C14" s="7" t="s">
        <v>1477</v>
      </c>
      <c r="D14" s="7" t="s">
        <v>1445</v>
      </c>
      <c r="E14" s="7" t="s">
        <v>1478</v>
      </c>
      <c r="F14" s="7" t="s">
        <v>1447</v>
      </c>
      <c r="G14" s="125" t="s">
        <v>1479</v>
      </c>
      <c r="H14" s="125" t="s">
        <v>1449</v>
      </c>
      <c r="I14" s="7" t="s">
        <v>1480</v>
      </c>
      <c r="J14" s="7" t="s">
        <v>1451</v>
      </c>
      <c r="K14" s="125" t="s">
        <v>1481</v>
      </c>
      <c r="L14" s="125" t="s">
        <v>1453</v>
      </c>
      <c r="M14" s="125" t="s">
        <v>1482</v>
      </c>
      <c r="N14" s="125" t="s">
        <v>1455</v>
      </c>
      <c r="O14" s="7" t="s">
        <v>1483</v>
      </c>
      <c r="P14" s="7" t="s">
        <v>1457</v>
      </c>
      <c r="Q14" s="125" t="s">
        <v>1484</v>
      </c>
      <c r="R14" s="125" t="s">
        <v>1459</v>
      </c>
      <c r="S14" s="125" t="s">
        <v>1485</v>
      </c>
      <c r="T14" s="125" t="s">
        <v>1461</v>
      </c>
      <c r="U14" s="125" t="s">
        <v>1486</v>
      </c>
      <c r="V14" s="125" t="s">
        <v>1463</v>
      </c>
    </row>
    <row r="15" spans="1:22" ht="15" customHeight="1">
      <c r="A15" s="125" t="s">
        <v>625</v>
      </c>
      <c r="B15" s="125">
        <v>11</v>
      </c>
      <c r="C15" s="125" t="s">
        <v>562</v>
      </c>
      <c r="D15" s="125">
        <v>2</v>
      </c>
      <c r="E15" s="125" t="s">
        <v>625</v>
      </c>
      <c r="F15" s="125">
        <v>11</v>
      </c>
      <c r="G15" s="125"/>
      <c r="H15" s="125"/>
      <c r="I15" s="125" t="s">
        <v>276</v>
      </c>
      <c r="J15" s="125">
        <v>2</v>
      </c>
      <c r="K15" s="125"/>
      <c r="L15" s="125"/>
      <c r="M15" s="125"/>
      <c r="N15" s="125"/>
      <c r="O15" s="125" t="s">
        <v>342</v>
      </c>
      <c r="P15" s="125">
        <v>1</v>
      </c>
      <c r="Q15" s="125"/>
      <c r="R15" s="125"/>
      <c r="S15" s="125"/>
      <c r="T15" s="125"/>
      <c r="U15" s="125"/>
      <c r="V15" s="125"/>
    </row>
    <row r="16" spans="1:22" ht="15" customHeight="1">
      <c r="A16" s="124" t="s">
        <v>147</v>
      </c>
      <c r="B16" s="125">
        <v>2</v>
      </c>
      <c r="C16" s="125" t="s">
        <v>406</v>
      </c>
      <c r="D16" s="125">
        <v>2</v>
      </c>
      <c r="E16" s="125" t="s">
        <v>320</v>
      </c>
      <c r="F16" s="125">
        <v>2</v>
      </c>
      <c r="G16" s="125"/>
      <c r="H16" s="125"/>
      <c r="I16" s="125"/>
      <c r="J16" s="125"/>
      <c r="K16" s="125"/>
      <c r="L16" s="125"/>
      <c r="M16" s="125"/>
      <c r="N16" s="125"/>
      <c r="O16" s="125"/>
      <c r="P16" s="125"/>
      <c r="Q16" s="125"/>
      <c r="R16" s="125"/>
      <c r="S16" s="125"/>
      <c r="T16" s="125"/>
      <c r="U16" s="125"/>
      <c r="V16" s="125"/>
    </row>
    <row r="17" spans="1:22" ht="15">
      <c r="A17" s="124" t="s">
        <v>562</v>
      </c>
      <c r="B17" s="125">
        <v>2</v>
      </c>
      <c r="C17" s="125" t="s">
        <v>437</v>
      </c>
      <c r="D17" s="125">
        <v>2</v>
      </c>
      <c r="E17" s="125" t="s">
        <v>666</v>
      </c>
      <c r="F17" s="125">
        <v>1</v>
      </c>
      <c r="G17" s="125"/>
      <c r="H17" s="125"/>
      <c r="I17" s="125"/>
      <c r="J17" s="125"/>
      <c r="K17" s="125"/>
      <c r="L17" s="125"/>
      <c r="M17" s="125"/>
      <c r="N17" s="125"/>
      <c r="O17" s="125"/>
      <c r="P17" s="125"/>
      <c r="Q17" s="125"/>
      <c r="R17" s="125"/>
      <c r="S17" s="125"/>
      <c r="T17" s="125"/>
      <c r="U17" s="125"/>
      <c r="V17" s="125"/>
    </row>
    <row r="18" spans="1:22" ht="15" customHeight="1">
      <c r="A18" s="124" t="s">
        <v>557</v>
      </c>
      <c r="B18" s="125">
        <v>2</v>
      </c>
      <c r="C18" s="125" t="s">
        <v>452</v>
      </c>
      <c r="D18" s="125">
        <v>2</v>
      </c>
      <c r="E18" s="125" t="s">
        <v>670</v>
      </c>
      <c r="F18" s="125">
        <v>1</v>
      </c>
      <c r="G18" s="125"/>
      <c r="H18" s="125"/>
      <c r="I18" s="125"/>
      <c r="J18" s="125"/>
      <c r="K18" s="125"/>
      <c r="L18" s="125"/>
      <c r="M18" s="125"/>
      <c r="N18" s="125"/>
      <c r="O18" s="125"/>
      <c r="P18" s="125"/>
      <c r="Q18" s="125"/>
      <c r="R18" s="125"/>
      <c r="S18" s="125"/>
      <c r="T18" s="125"/>
      <c r="U18" s="125"/>
      <c r="V18" s="125"/>
    </row>
    <row r="19" spans="1:22" ht="15" customHeight="1">
      <c r="A19" s="124" t="s">
        <v>532</v>
      </c>
      <c r="B19" s="125">
        <v>2</v>
      </c>
      <c r="C19" s="125" t="s">
        <v>532</v>
      </c>
      <c r="D19" s="125">
        <v>2</v>
      </c>
      <c r="E19" s="125" t="s">
        <v>602</v>
      </c>
      <c r="F19" s="125">
        <v>1</v>
      </c>
      <c r="G19" s="125"/>
      <c r="H19" s="125"/>
      <c r="I19" s="125"/>
      <c r="J19" s="125"/>
      <c r="K19" s="125"/>
      <c r="L19" s="125"/>
      <c r="M19" s="125"/>
      <c r="N19" s="125"/>
      <c r="O19" s="125"/>
      <c r="P19" s="125"/>
      <c r="Q19" s="125"/>
      <c r="R19" s="125"/>
      <c r="S19" s="125"/>
      <c r="T19" s="125"/>
      <c r="U19" s="125"/>
      <c r="V19" s="125"/>
    </row>
    <row r="20" spans="1:22" ht="15" customHeight="1">
      <c r="A20" s="124" t="s">
        <v>452</v>
      </c>
      <c r="B20" s="125">
        <v>2</v>
      </c>
      <c r="C20" s="125" t="s">
        <v>557</v>
      </c>
      <c r="D20" s="125">
        <v>2</v>
      </c>
      <c r="E20" s="125" t="s">
        <v>607</v>
      </c>
      <c r="F20" s="125">
        <v>1</v>
      </c>
      <c r="G20" s="125"/>
      <c r="H20" s="125"/>
      <c r="I20" s="125"/>
      <c r="J20" s="125"/>
      <c r="K20" s="125"/>
      <c r="L20" s="125"/>
      <c r="M20" s="125"/>
      <c r="N20" s="125"/>
      <c r="O20" s="125"/>
      <c r="P20" s="125"/>
      <c r="Q20" s="125"/>
      <c r="R20" s="125"/>
      <c r="S20" s="125"/>
      <c r="T20" s="125"/>
      <c r="U20" s="125"/>
      <c r="V20" s="125"/>
    </row>
    <row r="21" spans="1:22" ht="15" customHeight="1">
      <c r="A21" s="124" t="s">
        <v>437</v>
      </c>
      <c r="B21" s="125">
        <v>2</v>
      </c>
      <c r="C21" s="125" t="s">
        <v>541</v>
      </c>
      <c r="D21" s="125">
        <v>1</v>
      </c>
      <c r="E21" s="125" t="s">
        <v>147</v>
      </c>
      <c r="F21" s="125">
        <v>1</v>
      </c>
      <c r="G21" s="125"/>
      <c r="H21" s="125"/>
      <c r="I21" s="125"/>
      <c r="J21" s="125"/>
      <c r="K21" s="125"/>
      <c r="L21" s="125"/>
      <c r="M21" s="125"/>
      <c r="N21" s="125"/>
      <c r="O21" s="125"/>
      <c r="P21" s="125"/>
      <c r="Q21" s="125"/>
      <c r="R21" s="125"/>
      <c r="S21" s="125"/>
      <c r="T21" s="125"/>
      <c r="U21" s="125"/>
      <c r="V21" s="125"/>
    </row>
    <row r="22" spans="1:22" ht="15" customHeight="1">
      <c r="A22" s="124" t="s">
        <v>406</v>
      </c>
      <c r="B22" s="125">
        <v>2</v>
      </c>
      <c r="C22" s="125"/>
      <c r="D22" s="125"/>
      <c r="E22" s="125"/>
      <c r="F22" s="125"/>
      <c r="G22" s="125"/>
      <c r="H22" s="125"/>
      <c r="I22" s="125"/>
      <c r="J22" s="125"/>
      <c r="K22" s="125"/>
      <c r="L22" s="125"/>
      <c r="M22" s="125"/>
      <c r="N22" s="125"/>
      <c r="O22" s="125"/>
      <c r="P22" s="125"/>
      <c r="Q22" s="125"/>
      <c r="R22" s="125"/>
      <c r="S22" s="125"/>
      <c r="T22" s="125"/>
      <c r="U22" s="125"/>
      <c r="V22" s="125"/>
    </row>
    <row r="23" spans="1:22" ht="15">
      <c r="A23" s="124" t="s">
        <v>320</v>
      </c>
      <c r="B23" s="125">
        <v>2</v>
      </c>
      <c r="C23" s="125"/>
      <c r="D23" s="125"/>
      <c r="E23" s="125"/>
      <c r="F23" s="125"/>
      <c r="G23" s="125"/>
      <c r="H23" s="125"/>
      <c r="I23" s="125"/>
      <c r="J23" s="125"/>
      <c r="K23" s="125"/>
      <c r="L23" s="125"/>
      <c r="M23" s="125"/>
      <c r="N23" s="125"/>
      <c r="O23" s="125"/>
      <c r="P23" s="125"/>
      <c r="Q23" s="125"/>
      <c r="R23" s="125"/>
      <c r="S23" s="125"/>
      <c r="T23" s="125"/>
      <c r="U23" s="125"/>
      <c r="V23" s="125"/>
    </row>
    <row r="24" spans="1:22" ht="15" customHeight="1">
      <c r="A24" s="124" t="s">
        <v>276</v>
      </c>
      <c r="B24" s="125">
        <v>2</v>
      </c>
      <c r="C24" s="125"/>
      <c r="D24" s="125"/>
      <c r="E24" s="125"/>
      <c r="F24" s="125"/>
      <c r="G24" s="125"/>
      <c r="H24" s="125"/>
      <c r="I24" s="125"/>
      <c r="J24" s="125"/>
      <c r="K24" s="125"/>
      <c r="L24" s="125"/>
      <c r="M24" s="125"/>
      <c r="N24" s="125"/>
      <c r="O24" s="125"/>
      <c r="P24" s="125"/>
      <c r="Q24" s="125"/>
      <c r="R24" s="125"/>
      <c r="S24" s="125"/>
      <c r="T24" s="125"/>
      <c r="U24" s="125"/>
      <c r="V24" s="125"/>
    </row>
    <row r="25" ht="15" customHeight="1"/>
    <row r="26" ht="15" customHeight="1"/>
    <row r="27" spans="1:22" ht="15" customHeight="1">
      <c r="A27" s="7" t="s">
        <v>1487</v>
      </c>
      <c r="B27" s="7" t="s">
        <v>1443</v>
      </c>
      <c r="C27" s="7" t="s">
        <v>1488</v>
      </c>
      <c r="D27" s="7" t="s">
        <v>1445</v>
      </c>
      <c r="E27" s="7" t="s">
        <v>1489</v>
      </c>
      <c r="F27" s="7" t="s">
        <v>1447</v>
      </c>
      <c r="G27" s="125" t="s">
        <v>1490</v>
      </c>
      <c r="H27" s="125" t="s">
        <v>1449</v>
      </c>
      <c r="I27" s="125" t="s">
        <v>1491</v>
      </c>
      <c r="J27" s="125" t="s">
        <v>1451</v>
      </c>
      <c r="K27" s="125" t="s">
        <v>1492</v>
      </c>
      <c r="L27" s="125" t="s">
        <v>1453</v>
      </c>
      <c r="M27" s="125" t="s">
        <v>1493</v>
      </c>
      <c r="N27" s="125" t="s">
        <v>1455</v>
      </c>
      <c r="O27" s="7" t="s">
        <v>1494</v>
      </c>
      <c r="P27" s="7" t="s">
        <v>1457</v>
      </c>
      <c r="Q27" s="125" t="s">
        <v>1495</v>
      </c>
      <c r="R27" s="125" t="s">
        <v>1459</v>
      </c>
      <c r="S27" s="125" t="s">
        <v>1496</v>
      </c>
      <c r="T27" s="125" t="s">
        <v>1461</v>
      </c>
      <c r="U27" s="125" t="s">
        <v>1497</v>
      </c>
      <c r="V27" s="125" t="s">
        <v>1463</v>
      </c>
    </row>
    <row r="28" spans="1:22" ht="15">
      <c r="A28" s="125" t="s">
        <v>626</v>
      </c>
      <c r="B28" s="125">
        <v>8</v>
      </c>
      <c r="C28" s="125" t="s">
        <v>533</v>
      </c>
      <c r="D28" s="125">
        <v>4</v>
      </c>
      <c r="E28" s="125" t="s">
        <v>626</v>
      </c>
      <c r="F28" s="125">
        <v>8</v>
      </c>
      <c r="G28" s="125"/>
      <c r="H28" s="125"/>
      <c r="I28" s="125"/>
      <c r="J28" s="125"/>
      <c r="K28" s="125"/>
      <c r="L28" s="125"/>
      <c r="M28" s="125"/>
      <c r="N28" s="125"/>
      <c r="O28" s="125" t="s">
        <v>1498</v>
      </c>
      <c r="P28" s="125">
        <v>2</v>
      </c>
      <c r="Q28" s="125"/>
      <c r="R28" s="125"/>
      <c r="S28" s="125"/>
      <c r="T28" s="125"/>
      <c r="U28" s="125"/>
      <c r="V28" s="125"/>
    </row>
    <row r="29" spans="1:22" ht="15">
      <c r="A29" s="124" t="s">
        <v>1499</v>
      </c>
      <c r="B29" s="125">
        <v>6</v>
      </c>
      <c r="C29" s="125" t="s">
        <v>453</v>
      </c>
      <c r="D29" s="125">
        <v>2</v>
      </c>
      <c r="E29" s="125" t="s">
        <v>1499</v>
      </c>
      <c r="F29" s="125">
        <v>6</v>
      </c>
      <c r="G29" s="125"/>
      <c r="H29" s="125"/>
      <c r="I29" s="125"/>
      <c r="J29" s="125"/>
      <c r="K29" s="125"/>
      <c r="L29" s="125"/>
      <c r="M29" s="125"/>
      <c r="N29" s="125"/>
      <c r="O29" s="125" t="s">
        <v>1500</v>
      </c>
      <c r="P29" s="125">
        <v>2</v>
      </c>
      <c r="Q29" s="125"/>
      <c r="R29" s="125"/>
      <c r="S29" s="125"/>
      <c r="T29" s="125"/>
      <c r="U29" s="125"/>
      <c r="V29" s="125"/>
    </row>
    <row r="30" spans="1:22" ht="15" customHeight="1">
      <c r="A30" s="124" t="s">
        <v>533</v>
      </c>
      <c r="B30" s="125">
        <v>4</v>
      </c>
      <c r="C30" s="125" t="s">
        <v>1501</v>
      </c>
      <c r="D30" s="125">
        <v>2</v>
      </c>
      <c r="E30" s="125" t="s">
        <v>1502</v>
      </c>
      <c r="F30" s="125">
        <v>2</v>
      </c>
      <c r="G30" s="125"/>
      <c r="H30" s="125"/>
      <c r="I30" s="125"/>
      <c r="J30" s="125"/>
      <c r="K30" s="125"/>
      <c r="L30" s="125"/>
      <c r="M30" s="125"/>
      <c r="N30" s="125"/>
      <c r="O30" s="125" t="s">
        <v>1503</v>
      </c>
      <c r="P30" s="125">
        <v>2</v>
      </c>
      <c r="Q30" s="125"/>
      <c r="R30" s="125"/>
      <c r="S30" s="125"/>
      <c r="T30" s="125"/>
      <c r="U30" s="125"/>
      <c r="V30" s="125"/>
    </row>
    <row r="31" spans="1:22" ht="15">
      <c r="A31" s="124" t="s">
        <v>1502</v>
      </c>
      <c r="B31" s="125">
        <v>2</v>
      </c>
      <c r="C31" s="125" t="s">
        <v>542</v>
      </c>
      <c r="D31" s="125">
        <v>2</v>
      </c>
      <c r="E31" s="125" t="s">
        <v>608</v>
      </c>
      <c r="F31" s="125">
        <v>1</v>
      </c>
      <c r="G31" s="125"/>
      <c r="H31" s="125"/>
      <c r="I31" s="125"/>
      <c r="J31" s="125"/>
      <c r="K31" s="125"/>
      <c r="L31" s="125"/>
      <c r="M31" s="125"/>
      <c r="N31" s="125"/>
      <c r="O31" s="125" t="s">
        <v>1504</v>
      </c>
      <c r="P31" s="125">
        <v>2</v>
      </c>
      <c r="Q31" s="125"/>
      <c r="R31" s="125"/>
      <c r="S31" s="125"/>
      <c r="T31" s="125"/>
      <c r="U31" s="125"/>
      <c r="V31" s="125"/>
    </row>
    <row r="32" spans="1:22" ht="15" customHeight="1">
      <c r="A32" s="124" t="s">
        <v>542</v>
      </c>
      <c r="B32" s="125">
        <v>2</v>
      </c>
      <c r="C32" s="125"/>
      <c r="D32" s="125"/>
      <c r="E32" s="125" t="s">
        <v>1505</v>
      </c>
      <c r="F32" s="125">
        <v>1</v>
      </c>
      <c r="G32" s="125"/>
      <c r="H32" s="125"/>
      <c r="I32" s="125"/>
      <c r="J32" s="125"/>
      <c r="K32" s="125"/>
      <c r="L32" s="125"/>
      <c r="M32" s="125"/>
      <c r="N32" s="125"/>
      <c r="O32" s="125" t="s">
        <v>1506</v>
      </c>
      <c r="P32" s="125">
        <v>2</v>
      </c>
      <c r="Q32" s="125"/>
      <c r="R32" s="125"/>
      <c r="S32" s="125"/>
      <c r="T32" s="125"/>
      <c r="U32" s="125"/>
      <c r="V32" s="125"/>
    </row>
    <row r="33" spans="1:22" ht="15" customHeight="1">
      <c r="A33" s="124" t="s">
        <v>1501</v>
      </c>
      <c r="B33" s="125">
        <v>2</v>
      </c>
      <c r="C33" s="125"/>
      <c r="D33" s="125"/>
      <c r="E33" s="125" t="s">
        <v>1507</v>
      </c>
      <c r="F33" s="125">
        <v>1</v>
      </c>
      <c r="G33" s="125"/>
      <c r="H33" s="125"/>
      <c r="I33" s="125"/>
      <c r="J33" s="125"/>
      <c r="K33" s="125"/>
      <c r="L33" s="125"/>
      <c r="M33" s="125"/>
      <c r="N33" s="125"/>
      <c r="O33" s="125" t="s">
        <v>1508</v>
      </c>
      <c r="P33" s="125">
        <v>2</v>
      </c>
      <c r="Q33" s="125"/>
      <c r="R33" s="125"/>
      <c r="S33" s="125"/>
      <c r="T33" s="125"/>
      <c r="U33" s="125"/>
      <c r="V33" s="125"/>
    </row>
    <row r="34" spans="1:22" ht="15" customHeight="1">
      <c r="A34" s="124" t="s">
        <v>453</v>
      </c>
      <c r="B34" s="125">
        <v>2</v>
      </c>
      <c r="C34" s="125"/>
      <c r="D34" s="125"/>
      <c r="E34" s="125" t="s">
        <v>640</v>
      </c>
      <c r="F34" s="125">
        <v>1</v>
      </c>
      <c r="G34" s="125"/>
      <c r="H34" s="125"/>
      <c r="I34" s="125"/>
      <c r="J34" s="125"/>
      <c r="K34" s="125"/>
      <c r="L34" s="125"/>
      <c r="M34" s="125"/>
      <c r="N34" s="125"/>
      <c r="O34" s="125" t="s">
        <v>1509</v>
      </c>
      <c r="P34" s="125">
        <v>2</v>
      </c>
      <c r="Q34" s="125"/>
      <c r="R34" s="125"/>
      <c r="S34" s="125"/>
      <c r="T34" s="125"/>
      <c r="U34" s="125"/>
      <c r="V34" s="125"/>
    </row>
    <row r="35" spans="1:22" ht="15" customHeight="1">
      <c r="A35" s="124" t="s">
        <v>1503</v>
      </c>
      <c r="B35" s="125">
        <v>2</v>
      </c>
      <c r="C35" s="125"/>
      <c r="D35" s="125"/>
      <c r="E35" s="125" t="s">
        <v>1510</v>
      </c>
      <c r="F35" s="125">
        <v>1</v>
      </c>
      <c r="G35" s="125"/>
      <c r="H35" s="125"/>
      <c r="I35" s="125"/>
      <c r="J35" s="125"/>
      <c r="K35" s="125"/>
      <c r="L35" s="125"/>
      <c r="M35" s="125"/>
      <c r="N35" s="125"/>
      <c r="O35" s="125" t="s">
        <v>1511</v>
      </c>
      <c r="P35" s="125">
        <v>1</v>
      </c>
      <c r="Q35" s="125"/>
      <c r="R35" s="125"/>
      <c r="S35" s="125"/>
      <c r="T35" s="125"/>
      <c r="U35" s="125"/>
      <c r="V35" s="125"/>
    </row>
    <row r="36" spans="1:22" ht="15">
      <c r="A36" s="124" t="s">
        <v>1504</v>
      </c>
      <c r="B36" s="125">
        <v>2</v>
      </c>
      <c r="C36" s="125"/>
      <c r="D36" s="125"/>
      <c r="E36" s="125" t="s">
        <v>1512</v>
      </c>
      <c r="F36" s="125">
        <v>1</v>
      </c>
      <c r="G36" s="125"/>
      <c r="H36" s="125"/>
      <c r="I36" s="125"/>
      <c r="J36" s="125"/>
      <c r="K36" s="125"/>
      <c r="L36" s="125"/>
      <c r="M36" s="125"/>
      <c r="N36" s="125"/>
      <c r="O36" s="125"/>
      <c r="P36" s="125"/>
      <c r="Q36" s="125"/>
      <c r="R36" s="125"/>
      <c r="S36" s="125"/>
      <c r="T36" s="125"/>
      <c r="U36" s="125"/>
      <c r="V36" s="125"/>
    </row>
    <row r="37" spans="1:22" ht="15" customHeight="1">
      <c r="A37" s="124" t="s">
        <v>1506</v>
      </c>
      <c r="B37" s="125">
        <v>2</v>
      </c>
      <c r="C37" s="125"/>
      <c r="D37" s="125"/>
      <c r="E37" s="125"/>
      <c r="F37" s="125"/>
      <c r="G37" s="125"/>
      <c r="H37" s="125"/>
      <c r="I37" s="125"/>
      <c r="J37" s="125"/>
      <c r="K37" s="125"/>
      <c r="L37" s="125"/>
      <c r="M37" s="125"/>
      <c r="N37" s="125"/>
      <c r="O37" s="125"/>
      <c r="P37" s="125"/>
      <c r="Q37" s="125"/>
      <c r="R37" s="125"/>
      <c r="S37" s="125"/>
      <c r="T37" s="125"/>
      <c r="U37" s="125"/>
      <c r="V37" s="125"/>
    </row>
    <row r="38" ht="15" customHeight="1"/>
    <row r="39" ht="15" customHeight="1"/>
    <row r="40" spans="1:22" ht="15" customHeight="1">
      <c r="A40" s="7" t="s">
        <v>1513</v>
      </c>
      <c r="B40" s="7" t="s">
        <v>1443</v>
      </c>
      <c r="C40" s="7" t="s">
        <v>1514</v>
      </c>
      <c r="D40" s="7" t="s">
        <v>1445</v>
      </c>
      <c r="E40" s="7" t="s">
        <v>1515</v>
      </c>
      <c r="F40" s="7" t="s">
        <v>1447</v>
      </c>
      <c r="G40" s="7" t="s">
        <v>1516</v>
      </c>
      <c r="H40" s="7" t="s">
        <v>1449</v>
      </c>
      <c r="I40" s="7" t="s">
        <v>1517</v>
      </c>
      <c r="J40" s="7" t="s">
        <v>1451</v>
      </c>
      <c r="K40" s="125" t="s">
        <v>1518</v>
      </c>
      <c r="L40" s="125" t="s">
        <v>1453</v>
      </c>
      <c r="M40" s="7" t="s">
        <v>1519</v>
      </c>
      <c r="N40" s="7" t="s">
        <v>1455</v>
      </c>
      <c r="O40" s="7" t="s">
        <v>1520</v>
      </c>
      <c r="P40" s="7" t="s">
        <v>1457</v>
      </c>
      <c r="Q40" s="7" t="s">
        <v>1521</v>
      </c>
      <c r="R40" s="7" t="s">
        <v>1459</v>
      </c>
      <c r="S40" s="7" t="s">
        <v>1522</v>
      </c>
      <c r="T40" s="7" t="s">
        <v>1461</v>
      </c>
      <c r="U40" s="125" t="s">
        <v>1523</v>
      </c>
      <c r="V40" s="125" t="s">
        <v>1463</v>
      </c>
    </row>
    <row r="41" spans="1:22" ht="15">
      <c r="A41" s="126" t="s">
        <v>504</v>
      </c>
      <c r="B41" s="126">
        <v>14</v>
      </c>
      <c r="C41" s="126" t="s">
        <v>1528</v>
      </c>
      <c r="D41" s="126">
        <v>14</v>
      </c>
      <c r="E41" s="126" t="s">
        <v>623</v>
      </c>
      <c r="F41" s="126">
        <v>11</v>
      </c>
      <c r="G41" s="126" t="s">
        <v>1524</v>
      </c>
      <c r="H41" s="126">
        <v>8</v>
      </c>
      <c r="I41" s="126" t="s">
        <v>1525</v>
      </c>
      <c r="J41" s="126">
        <v>4</v>
      </c>
      <c r="K41" s="126"/>
      <c r="L41" s="126"/>
      <c r="M41" s="126" t="s">
        <v>181</v>
      </c>
      <c r="N41" s="126">
        <v>2</v>
      </c>
      <c r="O41" s="126" t="s">
        <v>1526</v>
      </c>
      <c r="P41" s="126">
        <v>3</v>
      </c>
      <c r="Q41" s="126" t="s">
        <v>1527</v>
      </c>
      <c r="R41" s="126">
        <v>2</v>
      </c>
      <c r="S41" s="126" t="s">
        <v>1286</v>
      </c>
      <c r="T41" s="126">
        <v>2</v>
      </c>
      <c r="U41" s="126"/>
      <c r="V41" s="126"/>
    </row>
    <row r="42" spans="1:22" ht="15">
      <c r="A42" s="127" t="s">
        <v>1528</v>
      </c>
      <c r="B42" s="126">
        <v>14</v>
      </c>
      <c r="C42" s="126" t="s">
        <v>1534</v>
      </c>
      <c r="D42" s="126">
        <v>14</v>
      </c>
      <c r="E42" s="126" t="s">
        <v>1529</v>
      </c>
      <c r="F42" s="126">
        <v>8</v>
      </c>
      <c r="G42" s="126" t="s">
        <v>1530</v>
      </c>
      <c r="H42" s="126">
        <v>4</v>
      </c>
      <c r="I42" s="126" t="s">
        <v>1531</v>
      </c>
      <c r="J42" s="126">
        <v>4</v>
      </c>
      <c r="K42" s="126"/>
      <c r="L42" s="126"/>
      <c r="M42" s="126" t="s">
        <v>183</v>
      </c>
      <c r="N42" s="126">
        <v>2</v>
      </c>
      <c r="O42" s="126" t="s">
        <v>1532</v>
      </c>
      <c r="P42" s="126">
        <v>3</v>
      </c>
      <c r="Q42" s="126" t="s">
        <v>1533</v>
      </c>
      <c r="R42" s="126">
        <v>2</v>
      </c>
      <c r="S42" s="126"/>
      <c r="T42" s="126"/>
      <c r="U42" s="126"/>
      <c r="V42" s="126"/>
    </row>
    <row r="43" spans="1:22" ht="15" customHeight="1">
      <c r="A43" s="127" t="s">
        <v>1534</v>
      </c>
      <c r="B43" s="126">
        <v>14</v>
      </c>
      <c r="C43" s="126" t="s">
        <v>504</v>
      </c>
      <c r="D43" s="126">
        <v>14</v>
      </c>
      <c r="E43" s="126" t="s">
        <v>1535</v>
      </c>
      <c r="F43" s="126">
        <v>6</v>
      </c>
      <c r="G43" s="126" t="s">
        <v>1536</v>
      </c>
      <c r="H43" s="126">
        <v>3</v>
      </c>
      <c r="I43" s="126" t="s">
        <v>1537</v>
      </c>
      <c r="J43" s="126">
        <v>3</v>
      </c>
      <c r="K43" s="126"/>
      <c r="L43" s="126"/>
      <c r="M43" s="126" t="s">
        <v>1538</v>
      </c>
      <c r="N43" s="126">
        <v>2</v>
      </c>
      <c r="O43" s="126" t="s">
        <v>1539</v>
      </c>
      <c r="P43" s="126">
        <v>3</v>
      </c>
      <c r="Q43" s="126" t="s">
        <v>1540</v>
      </c>
      <c r="R43" s="126">
        <v>2</v>
      </c>
      <c r="S43" s="126"/>
      <c r="T43" s="126"/>
      <c r="U43" s="126"/>
      <c r="V43" s="126"/>
    </row>
    <row r="44" spans="1:22" ht="15">
      <c r="A44" s="127" t="s">
        <v>623</v>
      </c>
      <c r="B44" s="126">
        <v>11</v>
      </c>
      <c r="C44" s="126" t="s">
        <v>1541</v>
      </c>
      <c r="D44" s="126">
        <v>7</v>
      </c>
      <c r="E44" s="126" t="s">
        <v>1530</v>
      </c>
      <c r="F44" s="126">
        <v>5</v>
      </c>
      <c r="G44" s="126" t="s">
        <v>1542</v>
      </c>
      <c r="H44" s="126">
        <v>2</v>
      </c>
      <c r="I44" s="126" t="s">
        <v>285</v>
      </c>
      <c r="J44" s="126">
        <v>3</v>
      </c>
      <c r="K44" s="126"/>
      <c r="L44" s="126"/>
      <c r="M44" s="126" t="s">
        <v>179</v>
      </c>
      <c r="N44" s="126">
        <v>2</v>
      </c>
      <c r="O44" s="126" t="s">
        <v>1543</v>
      </c>
      <c r="P44" s="126">
        <v>2</v>
      </c>
      <c r="Q44" s="126" t="s">
        <v>1544</v>
      </c>
      <c r="R44" s="126">
        <v>2</v>
      </c>
      <c r="S44" s="126"/>
      <c r="T44" s="126"/>
      <c r="U44" s="126"/>
      <c r="V44" s="126"/>
    </row>
    <row r="45" spans="1:22" ht="15" customHeight="1">
      <c r="A45" s="127" t="s">
        <v>1530</v>
      </c>
      <c r="B45" s="126">
        <v>9</v>
      </c>
      <c r="C45" s="126" t="s">
        <v>1545</v>
      </c>
      <c r="D45" s="126">
        <v>6</v>
      </c>
      <c r="E45" s="126" t="s">
        <v>1556</v>
      </c>
      <c r="F45" s="126">
        <v>3</v>
      </c>
      <c r="G45" s="126" t="s">
        <v>1547</v>
      </c>
      <c r="H45" s="126">
        <v>2</v>
      </c>
      <c r="I45" s="126" t="s">
        <v>274</v>
      </c>
      <c r="J45" s="126">
        <v>3</v>
      </c>
      <c r="K45" s="126"/>
      <c r="L45" s="126"/>
      <c r="M45" s="126" t="s">
        <v>182</v>
      </c>
      <c r="N45" s="126">
        <v>2</v>
      </c>
      <c r="O45" s="126" t="s">
        <v>1548</v>
      </c>
      <c r="P45" s="126">
        <v>2</v>
      </c>
      <c r="Q45" s="126" t="s">
        <v>1549</v>
      </c>
      <c r="R45" s="126">
        <v>2</v>
      </c>
      <c r="S45" s="126"/>
      <c r="T45" s="126"/>
      <c r="U45" s="126"/>
      <c r="V45" s="126"/>
    </row>
    <row r="46" spans="1:22" ht="15" customHeight="1">
      <c r="A46" s="127" t="s">
        <v>1524</v>
      </c>
      <c r="B46" s="126">
        <v>9</v>
      </c>
      <c r="C46" s="126" t="s">
        <v>1555</v>
      </c>
      <c r="D46" s="126">
        <v>6</v>
      </c>
      <c r="E46" s="126" t="s">
        <v>1550</v>
      </c>
      <c r="F46" s="126">
        <v>3</v>
      </c>
      <c r="G46" s="126" t="s">
        <v>1551</v>
      </c>
      <c r="H46" s="126">
        <v>2</v>
      </c>
      <c r="I46" s="126" t="s">
        <v>1552</v>
      </c>
      <c r="J46" s="126">
        <v>2</v>
      </c>
      <c r="K46" s="126"/>
      <c r="L46" s="126"/>
      <c r="M46" s="126" t="s">
        <v>163</v>
      </c>
      <c r="N46" s="126">
        <v>2</v>
      </c>
      <c r="O46" s="126" t="s">
        <v>1553</v>
      </c>
      <c r="P46" s="126">
        <v>2</v>
      </c>
      <c r="Q46" s="126" t="s">
        <v>1554</v>
      </c>
      <c r="R46" s="126">
        <v>2</v>
      </c>
      <c r="S46" s="126"/>
      <c r="T46" s="126"/>
      <c r="U46" s="126"/>
      <c r="V46" s="126"/>
    </row>
    <row r="47" spans="1:22" ht="15" customHeight="1">
      <c r="A47" s="127" t="s">
        <v>1545</v>
      </c>
      <c r="B47" s="126">
        <v>8</v>
      </c>
      <c r="C47" s="126" t="s">
        <v>530</v>
      </c>
      <c r="D47" s="126">
        <v>6</v>
      </c>
      <c r="E47" s="126" t="s">
        <v>1546</v>
      </c>
      <c r="F47" s="126">
        <v>3</v>
      </c>
      <c r="G47" s="126" t="s">
        <v>1557</v>
      </c>
      <c r="H47" s="126">
        <v>2</v>
      </c>
      <c r="I47" s="126" t="s">
        <v>1558</v>
      </c>
      <c r="J47" s="126">
        <v>2</v>
      </c>
      <c r="K47" s="126"/>
      <c r="L47" s="126"/>
      <c r="M47" s="126"/>
      <c r="N47" s="126"/>
      <c r="O47" s="126" t="s">
        <v>1559</v>
      </c>
      <c r="P47" s="126">
        <v>2</v>
      </c>
      <c r="Q47" s="126" t="s">
        <v>1507</v>
      </c>
      <c r="R47" s="126">
        <v>2</v>
      </c>
      <c r="S47" s="126"/>
      <c r="T47" s="126"/>
      <c r="U47" s="126"/>
      <c r="V47" s="126"/>
    </row>
    <row r="48" spans="1:22" ht="15" customHeight="1">
      <c r="A48" s="127" t="s">
        <v>1541</v>
      </c>
      <c r="B48" s="126">
        <v>8</v>
      </c>
      <c r="C48" s="126" t="s">
        <v>1565</v>
      </c>
      <c r="D48" s="126">
        <v>4</v>
      </c>
      <c r="E48" s="126" t="s">
        <v>1566</v>
      </c>
      <c r="F48" s="126">
        <v>3</v>
      </c>
      <c r="G48" s="126" t="s">
        <v>1562</v>
      </c>
      <c r="H48" s="126">
        <v>2</v>
      </c>
      <c r="I48" s="126" t="s">
        <v>1563</v>
      </c>
      <c r="J48" s="126">
        <v>2</v>
      </c>
      <c r="K48" s="126"/>
      <c r="L48" s="126"/>
      <c r="M48" s="126"/>
      <c r="N48" s="126"/>
      <c r="O48" s="126" t="s">
        <v>1564</v>
      </c>
      <c r="P48" s="126">
        <v>2</v>
      </c>
      <c r="Q48" s="126" t="s">
        <v>1556</v>
      </c>
      <c r="R48" s="126">
        <v>2</v>
      </c>
      <c r="S48" s="126"/>
      <c r="T48" s="126"/>
      <c r="U48" s="126"/>
      <c r="V48" s="126"/>
    </row>
    <row r="49" spans="1:22" ht="15" customHeight="1">
      <c r="A49" s="127" t="s">
        <v>1529</v>
      </c>
      <c r="B49" s="126">
        <v>8</v>
      </c>
      <c r="C49" s="126" t="s">
        <v>1560</v>
      </c>
      <c r="D49" s="126">
        <v>4</v>
      </c>
      <c r="E49" s="126" t="s">
        <v>1561</v>
      </c>
      <c r="F49" s="126">
        <v>3</v>
      </c>
      <c r="G49" s="126" t="s">
        <v>1567</v>
      </c>
      <c r="H49" s="126">
        <v>2</v>
      </c>
      <c r="I49" s="126" t="s">
        <v>1568</v>
      </c>
      <c r="J49" s="126">
        <v>2</v>
      </c>
      <c r="K49" s="126"/>
      <c r="L49" s="126"/>
      <c r="M49" s="126"/>
      <c r="N49" s="126"/>
      <c r="O49" s="126" t="s">
        <v>1569</v>
      </c>
      <c r="P49" s="126">
        <v>2</v>
      </c>
      <c r="Q49" s="126" t="s">
        <v>1570</v>
      </c>
      <c r="R49" s="126">
        <v>2</v>
      </c>
      <c r="S49" s="126"/>
      <c r="T49" s="126"/>
      <c r="U49" s="126"/>
      <c r="V49" s="126"/>
    </row>
    <row r="50" spans="1:22" ht="15" customHeight="1">
      <c r="A50" s="127" t="s">
        <v>530</v>
      </c>
      <c r="B50" s="126">
        <v>6</v>
      </c>
      <c r="C50" s="126" t="s">
        <v>1571</v>
      </c>
      <c r="D50" s="126">
        <v>4</v>
      </c>
      <c r="E50" s="126" t="s">
        <v>1783</v>
      </c>
      <c r="F50" s="126">
        <v>2</v>
      </c>
      <c r="G50" s="126" t="s">
        <v>1573</v>
      </c>
      <c r="H50" s="126">
        <v>2</v>
      </c>
      <c r="I50" s="126" t="s">
        <v>1574</v>
      </c>
      <c r="J50" s="126">
        <v>2</v>
      </c>
      <c r="K50" s="126"/>
      <c r="L50" s="126"/>
      <c r="M50" s="126"/>
      <c r="N50" s="126"/>
      <c r="O50" s="126" t="s">
        <v>1575</v>
      </c>
      <c r="P50" s="126">
        <v>2</v>
      </c>
      <c r="Q50" s="126" t="s">
        <v>1576</v>
      </c>
      <c r="R50" s="126">
        <v>2</v>
      </c>
      <c r="S50" s="126"/>
      <c r="T50" s="126"/>
      <c r="U50" s="126"/>
      <c r="V50" s="126"/>
    </row>
    <row r="51" ht="15" customHeight="1"/>
    <row r="52" ht="15" customHeight="1"/>
    <row r="53" spans="1:22" ht="15" customHeight="1">
      <c r="A53" s="7" t="s">
        <v>1577</v>
      </c>
      <c r="B53" s="7" t="s">
        <v>1443</v>
      </c>
      <c r="C53" s="7" t="s">
        <v>1578</v>
      </c>
      <c r="D53" s="7" t="s">
        <v>1445</v>
      </c>
      <c r="E53" s="7" t="s">
        <v>1579</v>
      </c>
      <c r="F53" s="7" t="s">
        <v>1447</v>
      </c>
      <c r="G53" s="7" t="s">
        <v>1580</v>
      </c>
      <c r="H53" s="7" t="s">
        <v>1449</v>
      </c>
      <c r="I53" s="7" t="s">
        <v>1581</v>
      </c>
      <c r="J53" s="7" t="s">
        <v>1451</v>
      </c>
      <c r="K53" s="125" t="s">
        <v>1582</v>
      </c>
      <c r="L53" s="125" t="s">
        <v>1453</v>
      </c>
      <c r="M53" s="7" t="s">
        <v>1583</v>
      </c>
      <c r="N53" s="7" t="s">
        <v>1455</v>
      </c>
      <c r="O53" s="7" t="s">
        <v>1584</v>
      </c>
      <c r="P53" s="7" t="s">
        <v>1457</v>
      </c>
      <c r="Q53" s="7" t="s">
        <v>1585</v>
      </c>
      <c r="R53" s="7" t="s">
        <v>1459</v>
      </c>
      <c r="S53" s="125" t="s">
        <v>1586</v>
      </c>
      <c r="T53" s="125" t="s">
        <v>1461</v>
      </c>
      <c r="U53" s="125" t="s">
        <v>1587</v>
      </c>
      <c r="V53" s="125" t="s">
        <v>1463</v>
      </c>
    </row>
    <row r="54" spans="1:22" ht="15" customHeight="1">
      <c r="A54" s="126" t="s">
        <v>1588</v>
      </c>
      <c r="B54" s="126">
        <v>14</v>
      </c>
      <c r="C54" s="126" t="s">
        <v>1588</v>
      </c>
      <c r="D54" s="126">
        <v>14</v>
      </c>
      <c r="E54" s="126" t="s">
        <v>1590</v>
      </c>
      <c r="F54" s="126">
        <v>5</v>
      </c>
      <c r="G54" s="126" t="s">
        <v>1591</v>
      </c>
      <c r="H54" s="126">
        <v>6</v>
      </c>
      <c r="I54" s="126" t="s">
        <v>1592</v>
      </c>
      <c r="J54" s="126">
        <v>4</v>
      </c>
      <c r="K54" s="126"/>
      <c r="L54" s="126"/>
      <c r="M54" s="126" t="s">
        <v>1593</v>
      </c>
      <c r="N54" s="126">
        <v>2</v>
      </c>
      <c r="O54" s="126" t="s">
        <v>2228</v>
      </c>
      <c r="P54" s="126">
        <v>2</v>
      </c>
      <c r="Q54" s="126" t="s">
        <v>1594</v>
      </c>
      <c r="R54" s="126">
        <v>2</v>
      </c>
      <c r="S54" s="126"/>
      <c r="T54" s="126"/>
      <c r="U54" s="126"/>
      <c r="V54" s="126"/>
    </row>
    <row r="55" spans="1:22" ht="15">
      <c r="A55" s="127" t="s">
        <v>1589</v>
      </c>
      <c r="B55" s="126">
        <v>14</v>
      </c>
      <c r="C55" s="126" t="s">
        <v>1589</v>
      </c>
      <c r="D55" s="126">
        <v>14</v>
      </c>
      <c r="E55" s="126" t="s">
        <v>1595</v>
      </c>
      <c r="F55" s="126">
        <v>3</v>
      </c>
      <c r="G55" s="126" t="s">
        <v>1596</v>
      </c>
      <c r="H55" s="126">
        <v>2</v>
      </c>
      <c r="I55" s="126" t="s">
        <v>1624</v>
      </c>
      <c r="J55" s="126">
        <v>2</v>
      </c>
      <c r="K55" s="126"/>
      <c r="L55" s="126"/>
      <c r="M55" s="126" t="s">
        <v>1597</v>
      </c>
      <c r="N55" s="126">
        <v>2</v>
      </c>
      <c r="O55" s="126" t="s">
        <v>2229</v>
      </c>
      <c r="P55" s="126">
        <v>2</v>
      </c>
      <c r="Q55" s="126" t="s">
        <v>1598</v>
      </c>
      <c r="R55" s="126">
        <v>2</v>
      </c>
      <c r="S55" s="126"/>
      <c r="T55" s="126"/>
      <c r="U55" s="126"/>
      <c r="V55" s="126"/>
    </row>
    <row r="56" spans="1:22" ht="15" customHeight="1">
      <c r="A56" s="127" t="s">
        <v>1599</v>
      </c>
      <c r="B56" s="126">
        <v>6</v>
      </c>
      <c r="C56" s="126" t="s">
        <v>1599</v>
      </c>
      <c r="D56" s="126">
        <v>6</v>
      </c>
      <c r="E56" s="126" t="s">
        <v>1600</v>
      </c>
      <c r="F56" s="126">
        <v>3</v>
      </c>
      <c r="G56" s="126" t="s">
        <v>1601</v>
      </c>
      <c r="H56" s="126">
        <v>2</v>
      </c>
      <c r="I56" s="126" t="s">
        <v>1607</v>
      </c>
      <c r="J56" s="126">
        <v>2</v>
      </c>
      <c r="K56" s="126"/>
      <c r="L56" s="126"/>
      <c r="M56" s="126"/>
      <c r="N56" s="126"/>
      <c r="O56" s="126" t="s">
        <v>1618</v>
      </c>
      <c r="P56" s="126">
        <v>2</v>
      </c>
      <c r="Q56" s="126" t="s">
        <v>1603</v>
      </c>
      <c r="R56" s="126">
        <v>2</v>
      </c>
      <c r="S56" s="126"/>
      <c r="T56" s="126"/>
      <c r="U56" s="126"/>
      <c r="V56" s="126"/>
    </row>
    <row r="57" spans="1:22" ht="15" customHeight="1">
      <c r="A57" s="127" t="s">
        <v>1604</v>
      </c>
      <c r="B57" s="126">
        <v>6</v>
      </c>
      <c r="C57" s="126" t="s">
        <v>1604</v>
      </c>
      <c r="D57" s="126">
        <v>6</v>
      </c>
      <c r="E57" s="126" t="s">
        <v>1605</v>
      </c>
      <c r="F57" s="126">
        <v>2</v>
      </c>
      <c r="G57" s="126" t="s">
        <v>1606</v>
      </c>
      <c r="H57" s="126">
        <v>2</v>
      </c>
      <c r="I57" s="126" t="s">
        <v>1627</v>
      </c>
      <c r="J57" s="126">
        <v>2</v>
      </c>
      <c r="K57" s="126"/>
      <c r="L57" s="126"/>
      <c r="M57" s="126"/>
      <c r="N57" s="126"/>
      <c r="O57" s="126" t="s">
        <v>2230</v>
      </c>
      <c r="P57" s="126">
        <v>2</v>
      </c>
      <c r="Q57" s="126" t="s">
        <v>1609</v>
      </c>
      <c r="R57" s="126">
        <v>2</v>
      </c>
      <c r="S57" s="126"/>
      <c r="T57" s="126"/>
      <c r="U57" s="126"/>
      <c r="V57" s="126"/>
    </row>
    <row r="58" spans="1:22" ht="15" customHeight="1">
      <c r="A58" s="127" t="s">
        <v>1591</v>
      </c>
      <c r="B58" s="126">
        <v>6</v>
      </c>
      <c r="C58" s="126" t="s">
        <v>1610</v>
      </c>
      <c r="D58" s="126">
        <v>4</v>
      </c>
      <c r="E58" s="126" t="s">
        <v>1616</v>
      </c>
      <c r="F58" s="126">
        <v>2</v>
      </c>
      <c r="G58" s="126" t="s">
        <v>1612</v>
      </c>
      <c r="H58" s="126">
        <v>2</v>
      </c>
      <c r="I58" s="126" t="s">
        <v>2224</v>
      </c>
      <c r="J58" s="126">
        <v>2</v>
      </c>
      <c r="K58" s="126"/>
      <c r="L58" s="126"/>
      <c r="M58" s="126"/>
      <c r="N58" s="126"/>
      <c r="O58" s="126" t="s">
        <v>1608</v>
      </c>
      <c r="P58" s="126">
        <v>2</v>
      </c>
      <c r="Q58" s="126" t="s">
        <v>1614</v>
      </c>
      <c r="R58" s="126">
        <v>2</v>
      </c>
      <c r="S58" s="126"/>
      <c r="T58" s="126"/>
      <c r="U58" s="126"/>
      <c r="V58" s="126"/>
    </row>
    <row r="59" spans="1:22" ht="15" customHeight="1">
      <c r="A59" s="127" t="s">
        <v>1590</v>
      </c>
      <c r="B59" s="126">
        <v>5</v>
      </c>
      <c r="C59" s="126" t="s">
        <v>1615</v>
      </c>
      <c r="D59" s="126">
        <v>3</v>
      </c>
      <c r="E59" s="126" t="s">
        <v>1611</v>
      </c>
      <c r="F59" s="126">
        <v>2</v>
      </c>
      <c r="G59" s="126" t="s">
        <v>1617</v>
      </c>
      <c r="H59" s="126">
        <v>2</v>
      </c>
      <c r="I59" s="126" t="s">
        <v>1602</v>
      </c>
      <c r="J59" s="126">
        <v>2</v>
      </c>
      <c r="K59" s="126"/>
      <c r="L59" s="126"/>
      <c r="M59" s="126"/>
      <c r="N59" s="126"/>
      <c r="O59" s="126" t="s">
        <v>2231</v>
      </c>
      <c r="P59" s="126">
        <v>2</v>
      </c>
      <c r="Q59" s="126" t="s">
        <v>1619</v>
      </c>
      <c r="R59" s="126">
        <v>2</v>
      </c>
      <c r="S59" s="126"/>
      <c r="T59" s="126"/>
      <c r="U59" s="126"/>
      <c r="V59" s="126"/>
    </row>
    <row r="60" spans="1:22" ht="15" customHeight="1">
      <c r="A60" s="127" t="s">
        <v>1592</v>
      </c>
      <c r="B60" s="126">
        <v>4</v>
      </c>
      <c r="C60" s="126" t="s">
        <v>2220</v>
      </c>
      <c r="D60" s="126">
        <v>2</v>
      </c>
      <c r="E60" s="126"/>
      <c r="F60" s="126"/>
      <c r="G60" s="126" t="s">
        <v>1620</v>
      </c>
      <c r="H60" s="126">
        <v>2</v>
      </c>
      <c r="I60" s="126" t="s">
        <v>2225</v>
      </c>
      <c r="J60" s="126">
        <v>2</v>
      </c>
      <c r="K60" s="126"/>
      <c r="L60" s="126"/>
      <c r="M60" s="126"/>
      <c r="N60" s="126"/>
      <c r="O60" s="126" t="s">
        <v>2232</v>
      </c>
      <c r="P60" s="126">
        <v>2</v>
      </c>
      <c r="Q60" s="126" t="s">
        <v>1622</v>
      </c>
      <c r="R60" s="126">
        <v>2</v>
      </c>
      <c r="S60" s="126"/>
      <c r="T60" s="126"/>
      <c r="U60" s="126"/>
      <c r="V60" s="126"/>
    </row>
    <row r="61" spans="1:22" ht="15" customHeight="1">
      <c r="A61" s="127" t="s">
        <v>1610</v>
      </c>
      <c r="B61" s="126">
        <v>4</v>
      </c>
      <c r="C61" s="126" t="s">
        <v>2221</v>
      </c>
      <c r="D61" s="126">
        <v>2</v>
      </c>
      <c r="E61" s="126"/>
      <c r="F61" s="126"/>
      <c r="G61" s="126" t="s">
        <v>1623</v>
      </c>
      <c r="H61" s="126">
        <v>2</v>
      </c>
      <c r="I61" s="126" t="s">
        <v>2226</v>
      </c>
      <c r="J61" s="126">
        <v>2</v>
      </c>
      <c r="K61" s="126"/>
      <c r="L61" s="126"/>
      <c r="M61" s="126"/>
      <c r="N61" s="126"/>
      <c r="O61" s="126" t="s">
        <v>1628</v>
      </c>
      <c r="P61" s="126">
        <v>2</v>
      </c>
      <c r="Q61" s="126" t="s">
        <v>1625</v>
      </c>
      <c r="R61" s="126">
        <v>2</v>
      </c>
      <c r="S61" s="126"/>
      <c r="T61" s="126"/>
      <c r="U61" s="126"/>
      <c r="V61" s="126"/>
    </row>
    <row r="62" spans="1:22" ht="15">
      <c r="A62" s="127" t="s">
        <v>1600</v>
      </c>
      <c r="B62" s="126">
        <v>3</v>
      </c>
      <c r="C62" s="126" t="s">
        <v>2222</v>
      </c>
      <c r="D62" s="126">
        <v>2</v>
      </c>
      <c r="E62" s="126"/>
      <c r="F62" s="126"/>
      <c r="G62" s="126" t="s">
        <v>1626</v>
      </c>
      <c r="H62" s="126">
        <v>2</v>
      </c>
      <c r="I62" s="126" t="s">
        <v>1613</v>
      </c>
      <c r="J62" s="126">
        <v>2</v>
      </c>
      <c r="K62" s="126"/>
      <c r="L62" s="126"/>
      <c r="M62" s="126"/>
      <c r="N62" s="126"/>
      <c r="O62" s="126" t="s">
        <v>2233</v>
      </c>
      <c r="P62" s="126">
        <v>2</v>
      </c>
      <c r="Q62" s="126" t="s">
        <v>1629</v>
      </c>
      <c r="R62" s="126">
        <v>2</v>
      </c>
      <c r="S62" s="126"/>
      <c r="T62" s="126"/>
      <c r="U62" s="126"/>
      <c r="V62" s="126"/>
    </row>
    <row r="63" spans="1:22" ht="15" customHeight="1">
      <c r="A63" s="127" t="s">
        <v>1615</v>
      </c>
      <c r="B63" s="126">
        <v>3</v>
      </c>
      <c r="C63" s="126" t="s">
        <v>2223</v>
      </c>
      <c r="D63" s="126">
        <v>2</v>
      </c>
      <c r="E63" s="126"/>
      <c r="F63" s="126"/>
      <c r="G63" s="126" t="s">
        <v>1630</v>
      </c>
      <c r="H63" s="126">
        <v>2</v>
      </c>
      <c r="I63" s="126" t="s">
        <v>2227</v>
      </c>
      <c r="J63" s="126">
        <v>2</v>
      </c>
      <c r="K63" s="126"/>
      <c r="L63" s="126"/>
      <c r="M63" s="126"/>
      <c r="N63" s="126"/>
      <c r="O63" s="126" t="s">
        <v>1621</v>
      </c>
      <c r="P63" s="126">
        <v>2</v>
      </c>
      <c r="Q63" s="126" t="s">
        <v>1631</v>
      </c>
      <c r="R63" s="126">
        <v>2</v>
      </c>
      <c r="S63" s="126"/>
      <c r="T63" s="126"/>
      <c r="U63" s="126"/>
      <c r="V63" s="126"/>
    </row>
    <row r="64" ht="15" customHeight="1"/>
    <row r="65" ht="15" customHeight="1"/>
    <row r="66" spans="1:22" ht="15" customHeight="1">
      <c r="A66" s="7" t="s">
        <v>1632</v>
      </c>
      <c r="B66" s="7" t="s">
        <v>1443</v>
      </c>
      <c r="C66" s="7" t="s">
        <v>1633</v>
      </c>
      <c r="D66" s="7" t="s">
        <v>1445</v>
      </c>
      <c r="E66" s="7" t="s">
        <v>1634</v>
      </c>
      <c r="F66" s="7" t="s">
        <v>1447</v>
      </c>
      <c r="G66" s="125" t="s">
        <v>1635</v>
      </c>
      <c r="H66" s="125" t="s">
        <v>1449</v>
      </c>
      <c r="I66" s="7" t="s">
        <v>1636</v>
      </c>
      <c r="J66" s="7" t="s">
        <v>1451</v>
      </c>
      <c r="K66" s="7" t="s">
        <v>1637</v>
      </c>
      <c r="L66" s="7" t="s">
        <v>1453</v>
      </c>
      <c r="M66" s="7" t="s">
        <v>1638</v>
      </c>
      <c r="N66" s="7" t="s">
        <v>1455</v>
      </c>
      <c r="O66" s="125" t="s">
        <v>1639</v>
      </c>
      <c r="P66" s="125" t="s">
        <v>1457</v>
      </c>
      <c r="Q66" s="125" t="s">
        <v>1640</v>
      </c>
      <c r="R66" s="125" t="s">
        <v>1459</v>
      </c>
      <c r="S66" s="7" t="s">
        <v>1641</v>
      </c>
      <c r="T66" s="7" t="s">
        <v>1461</v>
      </c>
      <c r="U66" s="7" t="s">
        <v>1642</v>
      </c>
      <c r="V66" s="7" t="s">
        <v>1463</v>
      </c>
    </row>
    <row r="67" spans="1:22" ht="15">
      <c r="A67" s="125" t="s">
        <v>530</v>
      </c>
      <c r="B67" s="125">
        <v>3</v>
      </c>
      <c r="C67" s="125" t="s">
        <v>530</v>
      </c>
      <c r="D67" s="125">
        <v>3</v>
      </c>
      <c r="E67" s="125" t="s">
        <v>616</v>
      </c>
      <c r="F67" s="125">
        <v>1</v>
      </c>
      <c r="G67" s="125"/>
      <c r="H67" s="125"/>
      <c r="I67" s="125" t="s">
        <v>285</v>
      </c>
      <c r="J67" s="125">
        <v>3</v>
      </c>
      <c r="K67" s="125" t="s">
        <v>223</v>
      </c>
      <c r="L67" s="125">
        <v>1</v>
      </c>
      <c r="M67" s="125" t="s">
        <v>182</v>
      </c>
      <c r="N67" s="125">
        <v>1</v>
      </c>
      <c r="O67" s="125"/>
      <c r="P67" s="125"/>
      <c r="Q67" s="125"/>
      <c r="R67" s="125"/>
      <c r="S67" s="125" t="s">
        <v>339</v>
      </c>
      <c r="T67" s="125">
        <v>1</v>
      </c>
      <c r="U67" s="125" t="s">
        <v>234</v>
      </c>
      <c r="V67" s="125">
        <v>1</v>
      </c>
    </row>
    <row r="68" spans="1:22" ht="15">
      <c r="A68" s="124" t="s">
        <v>285</v>
      </c>
      <c r="B68" s="125">
        <v>3</v>
      </c>
      <c r="C68" s="125" t="s">
        <v>560</v>
      </c>
      <c r="D68" s="125">
        <v>2</v>
      </c>
      <c r="E68" s="125"/>
      <c r="F68" s="125"/>
      <c r="G68" s="125"/>
      <c r="H68" s="125"/>
      <c r="I68" s="125" t="s">
        <v>263</v>
      </c>
      <c r="J68" s="125">
        <v>2</v>
      </c>
      <c r="K68" s="125" t="s">
        <v>208</v>
      </c>
      <c r="L68" s="125">
        <v>1</v>
      </c>
      <c r="M68" s="125" t="s">
        <v>163</v>
      </c>
      <c r="N68" s="125">
        <v>1</v>
      </c>
      <c r="O68" s="125"/>
      <c r="P68" s="125"/>
      <c r="Q68" s="125"/>
      <c r="R68" s="125"/>
      <c r="S68" s="125"/>
      <c r="T68" s="125"/>
      <c r="U68" s="125"/>
      <c r="V68" s="125"/>
    </row>
    <row r="69" spans="1:22" ht="15" customHeight="1">
      <c r="A69" s="124" t="s">
        <v>560</v>
      </c>
      <c r="B69" s="125">
        <v>2</v>
      </c>
      <c r="C69" s="125" t="s">
        <v>450</v>
      </c>
      <c r="D69" s="125">
        <v>2</v>
      </c>
      <c r="E69" s="125"/>
      <c r="F69" s="125"/>
      <c r="G69" s="125"/>
      <c r="H69" s="125"/>
      <c r="I69" s="125"/>
      <c r="J69" s="125"/>
      <c r="K69" s="125" t="s">
        <v>209</v>
      </c>
      <c r="L69" s="125">
        <v>1</v>
      </c>
      <c r="M69" s="125"/>
      <c r="N69" s="125"/>
      <c r="O69" s="125"/>
      <c r="P69" s="125"/>
      <c r="Q69" s="125"/>
      <c r="R69" s="125"/>
      <c r="S69" s="125"/>
      <c r="T69" s="125"/>
      <c r="U69" s="125"/>
      <c r="V69" s="125"/>
    </row>
    <row r="70" spans="1:22" ht="15" customHeight="1">
      <c r="A70" s="124" t="s">
        <v>480</v>
      </c>
      <c r="B70" s="125">
        <v>2</v>
      </c>
      <c r="C70" s="125" t="s">
        <v>480</v>
      </c>
      <c r="D70" s="125">
        <v>2</v>
      </c>
      <c r="E70" s="125"/>
      <c r="F70" s="125"/>
      <c r="G70" s="125"/>
      <c r="H70" s="125"/>
      <c r="I70" s="125"/>
      <c r="J70" s="125"/>
      <c r="K70" s="125"/>
      <c r="L70" s="125"/>
      <c r="M70" s="125"/>
      <c r="N70" s="125"/>
      <c r="O70" s="125"/>
      <c r="P70" s="125"/>
      <c r="Q70" s="125"/>
      <c r="R70" s="125"/>
      <c r="S70" s="125"/>
      <c r="T70" s="125"/>
      <c r="U70" s="125"/>
      <c r="V70" s="125"/>
    </row>
    <row r="71" spans="1:22" ht="15" customHeight="1">
      <c r="A71" s="124" t="s">
        <v>450</v>
      </c>
      <c r="B71" s="125">
        <v>2</v>
      </c>
      <c r="C71" s="125" t="s">
        <v>404</v>
      </c>
      <c r="D71" s="125">
        <v>1</v>
      </c>
      <c r="E71" s="125"/>
      <c r="F71" s="125"/>
      <c r="G71" s="125"/>
      <c r="H71" s="125"/>
      <c r="I71" s="125"/>
      <c r="J71" s="125"/>
      <c r="K71" s="125"/>
      <c r="L71" s="125"/>
      <c r="M71" s="125"/>
      <c r="N71" s="125"/>
      <c r="O71" s="125"/>
      <c r="P71" s="125"/>
      <c r="Q71" s="125"/>
      <c r="R71" s="125"/>
      <c r="S71" s="125"/>
      <c r="T71" s="125"/>
      <c r="U71" s="125"/>
      <c r="V71" s="125"/>
    </row>
    <row r="72" spans="1:22" ht="15" customHeight="1">
      <c r="A72" s="124" t="s">
        <v>263</v>
      </c>
      <c r="B72" s="125">
        <v>2</v>
      </c>
      <c r="C72" s="125" t="s">
        <v>421</v>
      </c>
      <c r="D72" s="125">
        <v>1</v>
      </c>
      <c r="E72" s="125"/>
      <c r="F72" s="125"/>
      <c r="G72" s="125"/>
      <c r="H72" s="125"/>
      <c r="I72" s="125"/>
      <c r="J72" s="125"/>
      <c r="K72" s="125"/>
      <c r="L72" s="125"/>
      <c r="M72" s="125"/>
      <c r="N72" s="125"/>
      <c r="O72" s="125"/>
      <c r="P72" s="125"/>
      <c r="Q72" s="125"/>
      <c r="R72" s="125"/>
      <c r="S72" s="125"/>
      <c r="T72" s="125"/>
      <c r="U72" s="125"/>
      <c r="V72" s="125"/>
    </row>
    <row r="73" spans="1:22" ht="15">
      <c r="A73" s="124" t="s">
        <v>616</v>
      </c>
      <c r="B73" s="125">
        <v>1</v>
      </c>
      <c r="C73" s="125" t="s">
        <v>435</v>
      </c>
      <c r="D73" s="125">
        <v>1</v>
      </c>
      <c r="E73" s="125"/>
      <c r="F73" s="125"/>
      <c r="G73" s="125"/>
      <c r="H73" s="125"/>
      <c r="I73" s="125"/>
      <c r="J73" s="125"/>
      <c r="K73" s="125"/>
      <c r="L73" s="125"/>
      <c r="M73" s="125"/>
      <c r="N73" s="125"/>
      <c r="O73" s="125"/>
      <c r="P73" s="125"/>
      <c r="Q73" s="125"/>
      <c r="R73" s="125"/>
      <c r="S73" s="125"/>
      <c r="T73" s="125"/>
      <c r="U73" s="125"/>
      <c r="V73" s="125"/>
    </row>
    <row r="74" spans="1:22" ht="15" customHeight="1">
      <c r="A74" s="124" t="s">
        <v>555</v>
      </c>
      <c r="B74" s="125">
        <v>1</v>
      </c>
      <c r="C74" s="125" t="s">
        <v>468</v>
      </c>
      <c r="D74" s="125">
        <v>1</v>
      </c>
      <c r="E74" s="125"/>
      <c r="F74" s="125"/>
      <c r="G74" s="125"/>
      <c r="H74" s="125"/>
      <c r="I74" s="125"/>
      <c r="J74" s="125"/>
      <c r="K74" s="125"/>
      <c r="L74" s="125"/>
      <c r="M74" s="125"/>
      <c r="N74" s="125"/>
      <c r="O74" s="125"/>
      <c r="P74" s="125"/>
      <c r="Q74" s="125"/>
      <c r="R74" s="125"/>
      <c r="S74" s="125"/>
      <c r="T74" s="125"/>
      <c r="U74" s="125"/>
      <c r="V74" s="125"/>
    </row>
    <row r="75" spans="1:22" ht="15" customHeight="1">
      <c r="A75" s="124" t="s">
        <v>490</v>
      </c>
      <c r="B75" s="125">
        <v>1</v>
      </c>
      <c r="C75" s="125" t="s">
        <v>490</v>
      </c>
      <c r="D75" s="125">
        <v>1</v>
      </c>
      <c r="E75" s="125"/>
      <c r="F75" s="125"/>
      <c r="G75" s="125"/>
      <c r="H75" s="125"/>
      <c r="I75" s="125"/>
      <c r="J75" s="125"/>
      <c r="K75" s="125"/>
      <c r="L75" s="125"/>
      <c r="M75" s="125"/>
      <c r="N75" s="125"/>
      <c r="O75" s="125"/>
      <c r="P75" s="125"/>
      <c r="Q75" s="125"/>
      <c r="R75" s="125"/>
      <c r="S75" s="125"/>
      <c r="T75" s="125"/>
      <c r="U75" s="125"/>
      <c r="V75" s="125"/>
    </row>
    <row r="76" spans="1:22" ht="15" customHeight="1">
      <c r="A76" s="124" t="s">
        <v>468</v>
      </c>
      <c r="B76" s="125">
        <v>1</v>
      </c>
      <c r="C76" s="125" t="s">
        <v>555</v>
      </c>
      <c r="D76" s="125">
        <v>1</v>
      </c>
      <c r="E76" s="125"/>
      <c r="F76" s="125"/>
      <c r="G76" s="125"/>
      <c r="H76" s="125"/>
      <c r="I76" s="125"/>
      <c r="J76" s="125"/>
      <c r="K76" s="125"/>
      <c r="L76" s="125"/>
      <c r="M76" s="125"/>
      <c r="N76" s="125"/>
      <c r="O76" s="125"/>
      <c r="P76" s="125"/>
      <c r="Q76" s="125"/>
      <c r="R76" s="125"/>
      <c r="S76" s="125"/>
      <c r="T76" s="125"/>
      <c r="U76" s="125"/>
      <c r="V76" s="125"/>
    </row>
    <row r="77" ht="15" customHeight="1"/>
    <row r="79" spans="1:22" ht="15" customHeight="1">
      <c r="A79" s="7" t="s">
        <v>1643</v>
      </c>
      <c r="B79" s="7" t="s">
        <v>1443</v>
      </c>
      <c r="C79" s="7" t="s">
        <v>1644</v>
      </c>
      <c r="D79" s="7" t="s">
        <v>1445</v>
      </c>
      <c r="E79" s="7" t="s">
        <v>1645</v>
      </c>
      <c r="F79" s="7" t="s">
        <v>1447</v>
      </c>
      <c r="G79" s="7" t="s">
        <v>1646</v>
      </c>
      <c r="H79" s="7" t="s">
        <v>1449</v>
      </c>
      <c r="I79" s="7" t="s">
        <v>1647</v>
      </c>
      <c r="J79" s="7" t="s">
        <v>1451</v>
      </c>
      <c r="K79" s="7" t="s">
        <v>1648</v>
      </c>
      <c r="L79" s="7" t="s">
        <v>1453</v>
      </c>
      <c r="M79" s="7" t="s">
        <v>1649</v>
      </c>
      <c r="N79" s="7" t="s">
        <v>1455</v>
      </c>
      <c r="O79" s="7" t="s">
        <v>1650</v>
      </c>
      <c r="P79" s="7" t="s">
        <v>1457</v>
      </c>
      <c r="Q79" s="7" t="s">
        <v>1651</v>
      </c>
      <c r="R79" s="7" t="s">
        <v>1459</v>
      </c>
      <c r="S79" s="7" t="s">
        <v>1652</v>
      </c>
      <c r="T79" s="7" t="s">
        <v>1461</v>
      </c>
      <c r="U79" s="125" t="s">
        <v>1653</v>
      </c>
      <c r="V79" s="125" t="s">
        <v>1463</v>
      </c>
    </row>
    <row r="80" spans="1:22" ht="15">
      <c r="A80" s="125" t="s">
        <v>504</v>
      </c>
      <c r="B80" s="125">
        <v>14</v>
      </c>
      <c r="C80" s="125" t="s">
        <v>504</v>
      </c>
      <c r="D80" s="125">
        <v>14</v>
      </c>
      <c r="E80" s="125" t="s">
        <v>623</v>
      </c>
      <c r="F80" s="125">
        <v>11</v>
      </c>
      <c r="G80" s="125" t="s">
        <v>387</v>
      </c>
      <c r="H80" s="125">
        <v>2</v>
      </c>
      <c r="I80" s="125" t="s">
        <v>307</v>
      </c>
      <c r="J80" s="125">
        <v>1</v>
      </c>
      <c r="K80" s="125" t="s">
        <v>215</v>
      </c>
      <c r="L80" s="125">
        <v>1</v>
      </c>
      <c r="M80" s="125" t="s">
        <v>183</v>
      </c>
      <c r="N80" s="125">
        <v>2</v>
      </c>
      <c r="O80" s="125" t="s">
        <v>367</v>
      </c>
      <c r="P80" s="125">
        <v>1</v>
      </c>
      <c r="Q80" s="125" t="s">
        <v>184</v>
      </c>
      <c r="R80" s="125">
        <v>1</v>
      </c>
      <c r="S80" s="125" t="s">
        <v>331</v>
      </c>
      <c r="T80" s="125">
        <v>1</v>
      </c>
      <c r="U80" s="125"/>
      <c r="V80" s="125"/>
    </row>
    <row r="81" spans="1:22" ht="15">
      <c r="A81" s="124" t="s">
        <v>623</v>
      </c>
      <c r="B81" s="125">
        <v>11</v>
      </c>
      <c r="C81" s="125" t="s">
        <v>530</v>
      </c>
      <c r="D81" s="125">
        <v>3</v>
      </c>
      <c r="E81" s="125" t="s">
        <v>183</v>
      </c>
      <c r="F81" s="125">
        <v>2</v>
      </c>
      <c r="G81" s="125" t="s">
        <v>397</v>
      </c>
      <c r="H81" s="125">
        <v>1</v>
      </c>
      <c r="I81" s="125" t="s">
        <v>274</v>
      </c>
      <c r="J81" s="125">
        <v>1</v>
      </c>
      <c r="K81" s="125" t="s">
        <v>200</v>
      </c>
      <c r="L81" s="125">
        <v>1</v>
      </c>
      <c r="M81" s="125" t="s">
        <v>181</v>
      </c>
      <c r="N81" s="125">
        <v>2</v>
      </c>
      <c r="O81" s="125" t="s">
        <v>340</v>
      </c>
      <c r="P81" s="125">
        <v>1</v>
      </c>
      <c r="Q81" s="125" t="s">
        <v>185</v>
      </c>
      <c r="R81" s="125">
        <v>1</v>
      </c>
      <c r="S81" s="125"/>
      <c r="T81" s="125"/>
      <c r="U81" s="125"/>
      <c r="V81" s="125"/>
    </row>
    <row r="82" spans="1:22" ht="15">
      <c r="A82" s="124" t="s">
        <v>183</v>
      </c>
      <c r="B82" s="125">
        <v>4</v>
      </c>
      <c r="C82" s="125" t="s">
        <v>404</v>
      </c>
      <c r="D82" s="125">
        <v>1</v>
      </c>
      <c r="E82" s="125" t="s">
        <v>318</v>
      </c>
      <c r="F82" s="125">
        <v>2</v>
      </c>
      <c r="G82" s="125" t="s">
        <v>372</v>
      </c>
      <c r="H82" s="125">
        <v>1</v>
      </c>
      <c r="I82" s="125" t="s">
        <v>300</v>
      </c>
      <c r="J82" s="125">
        <v>1</v>
      </c>
      <c r="K82" s="125"/>
      <c r="L82" s="125"/>
      <c r="M82" s="125" t="s">
        <v>179</v>
      </c>
      <c r="N82" s="125">
        <v>2</v>
      </c>
      <c r="O82" s="125" t="s">
        <v>354</v>
      </c>
      <c r="P82" s="125">
        <v>1</v>
      </c>
      <c r="Q82" s="125"/>
      <c r="R82" s="125"/>
      <c r="S82" s="125"/>
      <c r="T82" s="125"/>
      <c r="U82" s="125"/>
      <c r="V82" s="125"/>
    </row>
    <row r="83" spans="1:22" ht="15" customHeight="1">
      <c r="A83" s="124" t="s">
        <v>530</v>
      </c>
      <c r="B83" s="125">
        <v>3</v>
      </c>
      <c r="C83" s="125" t="s">
        <v>421</v>
      </c>
      <c r="D83" s="125">
        <v>1</v>
      </c>
      <c r="E83" s="125" t="s">
        <v>600</v>
      </c>
      <c r="F83" s="125">
        <v>1</v>
      </c>
      <c r="G83" s="125" t="s">
        <v>250</v>
      </c>
      <c r="H83" s="125">
        <v>1</v>
      </c>
      <c r="I83" s="125"/>
      <c r="J83" s="125"/>
      <c r="K83" s="125"/>
      <c r="L83" s="125"/>
      <c r="M83" s="125" t="s">
        <v>163</v>
      </c>
      <c r="N83" s="125">
        <v>1</v>
      </c>
      <c r="O83" s="125"/>
      <c r="P83" s="125"/>
      <c r="Q83" s="125"/>
      <c r="R83" s="125"/>
      <c r="S83" s="125"/>
      <c r="T83" s="125"/>
      <c r="U83" s="125"/>
      <c r="V83" s="125"/>
    </row>
    <row r="84" spans="1:22" ht="15" customHeight="1">
      <c r="A84" s="124" t="s">
        <v>387</v>
      </c>
      <c r="B84" s="125">
        <v>2</v>
      </c>
      <c r="C84" s="125" t="s">
        <v>435</v>
      </c>
      <c r="D84" s="125">
        <v>1</v>
      </c>
      <c r="E84" s="125" t="s">
        <v>605</v>
      </c>
      <c r="F84" s="125">
        <v>1</v>
      </c>
      <c r="G84" s="125"/>
      <c r="H84" s="125"/>
      <c r="I84" s="125"/>
      <c r="J84" s="125"/>
      <c r="K84" s="125"/>
      <c r="L84" s="125"/>
      <c r="M84" s="125" t="s">
        <v>182</v>
      </c>
      <c r="N84" s="125">
        <v>1</v>
      </c>
      <c r="O84" s="125"/>
      <c r="P84" s="125"/>
      <c r="Q84" s="125"/>
      <c r="R84" s="125"/>
      <c r="S84" s="125"/>
      <c r="T84" s="125"/>
      <c r="U84" s="125"/>
      <c r="V84" s="125"/>
    </row>
    <row r="85" spans="1:22" ht="15" customHeight="1">
      <c r="A85" s="124" t="s">
        <v>318</v>
      </c>
      <c r="B85" s="125">
        <v>2</v>
      </c>
      <c r="C85" s="125" t="s">
        <v>450</v>
      </c>
      <c r="D85" s="125">
        <v>1</v>
      </c>
      <c r="E85" s="125" t="s">
        <v>611</v>
      </c>
      <c r="F85" s="125">
        <v>1</v>
      </c>
      <c r="G85" s="125"/>
      <c r="H85" s="125"/>
      <c r="I85" s="125"/>
      <c r="J85" s="125"/>
      <c r="K85" s="125"/>
      <c r="L85" s="125"/>
      <c r="M85" s="125"/>
      <c r="N85" s="125"/>
      <c r="O85" s="125"/>
      <c r="P85" s="125"/>
      <c r="Q85" s="125"/>
      <c r="R85" s="125"/>
      <c r="S85" s="125"/>
      <c r="T85" s="125"/>
      <c r="U85" s="125"/>
      <c r="V85" s="125"/>
    </row>
    <row r="86" spans="1:22" ht="15">
      <c r="A86" s="124" t="s">
        <v>181</v>
      </c>
      <c r="B86" s="125">
        <v>2</v>
      </c>
      <c r="C86" s="125" t="s">
        <v>468</v>
      </c>
      <c r="D86" s="125">
        <v>1</v>
      </c>
      <c r="E86" s="125" t="s">
        <v>317</v>
      </c>
      <c r="F86" s="125">
        <v>1</v>
      </c>
      <c r="G86" s="125"/>
      <c r="H86" s="125"/>
      <c r="I86" s="125"/>
      <c r="J86" s="125"/>
      <c r="K86" s="125"/>
      <c r="L86" s="125"/>
      <c r="M86" s="125"/>
      <c r="N86" s="125"/>
      <c r="O86" s="125"/>
      <c r="P86" s="125"/>
      <c r="Q86" s="125"/>
      <c r="R86" s="125"/>
      <c r="S86" s="125"/>
      <c r="T86" s="125"/>
      <c r="U86" s="125"/>
      <c r="V86" s="125"/>
    </row>
    <row r="87" spans="1:22" ht="15" customHeight="1">
      <c r="A87" s="124" t="s">
        <v>179</v>
      </c>
      <c r="B87" s="125">
        <v>2</v>
      </c>
      <c r="C87" s="125" t="s">
        <v>490</v>
      </c>
      <c r="D87" s="125">
        <v>1</v>
      </c>
      <c r="E87" s="125"/>
      <c r="F87" s="125"/>
      <c r="G87" s="125"/>
      <c r="H87" s="125"/>
      <c r="I87" s="125"/>
      <c r="J87" s="125"/>
      <c r="K87" s="125"/>
      <c r="L87" s="125"/>
      <c r="M87" s="125"/>
      <c r="N87" s="125"/>
      <c r="O87" s="125"/>
      <c r="P87" s="125"/>
      <c r="Q87" s="125"/>
      <c r="R87" s="125"/>
      <c r="S87" s="125"/>
      <c r="T87" s="125"/>
      <c r="U87" s="125"/>
      <c r="V87" s="125"/>
    </row>
    <row r="88" spans="1:22" ht="15" customHeight="1">
      <c r="A88" s="124" t="s">
        <v>611</v>
      </c>
      <c r="B88" s="125">
        <v>1</v>
      </c>
      <c r="C88" s="125" t="s">
        <v>555</v>
      </c>
      <c r="D88" s="125">
        <v>1</v>
      </c>
      <c r="E88" s="125"/>
      <c r="F88" s="125"/>
      <c r="G88" s="125"/>
      <c r="H88" s="125"/>
      <c r="I88" s="125"/>
      <c r="J88" s="125"/>
      <c r="K88" s="125"/>
      <c r="L88" s="125"/>
      <c r="M88" s="125"/>
      <c r="N88" s="125"/>
      <c r="O88" s="125"/>
      <c r="P88" s="125"/>
      <c r="Q88" s="125"/>
      <c r="R88" s="125"/>
      <c r="S88" s="125"/>
      <c r="T88" s="125"/>
      <c r="U88" s="125"/>
      <c r="V88" s="125"/>
    </row>
    <row r="89" spans="1:22" ht="15" customHeight="1">
      <c r="A89" s="124" t="s">
        <v>605</v>
      </c>
      <c r="B89" s="125">
        <v>1</v>
      </c>
      <c r="C89" s="125" t="s">
        <v>560</v>
      </c>
      <c r="D89" s="125">
        <v>1</v>
      </c>
      <c r="E89" s="125"/>
      <c r="F89" s="125"/>
      <c r="G89" s="125"/>
      <c r="H89" s="125"/>
      <c r="I89" s="125"/>
      <c r="J89" s="125"/>
      <c r="K89" s="125"/>
      <c r="L89" s="125"/>
      <c r="M89" s="125"/>
      <c r="N89" s="125"/>
      <c r="O89" s="125"/>
      <c r="P89" s="125"/>
      <c r="Q89" s="125"/>
      <c r="R89" s="125"/>
      <c r="S89" s="125"/>
      <c r="T89" s="125"/>
      <c r="U89" s="125"/>
      <c r="V89" s="125"/>
    </row>
    <row r="90" ht="15" customHeight="1"/>
    <row r="92" spans="1:22" ht="15" customHeight="1">
      <c r="A92" s="7" t="s">
        <v>1654</v>
      </c>
      <c r="B92" s="7" t="s">
        <v>1443</v>
      </c>
      <c r="C92" s="7" t="s">
        <v>1655</v>
      </c>
      <c r="D92" s="7" t="s">
        <v>1445</v>
      </c>
      <c r="E92" s="7" t="s">
        <v>1656</v>
      </c>
      <c r="F92" s="7" t="s">
        <v>1447</v>
      </c>
      <c r="G92" s="7" t="s">
        <v>1657</v>
      </c>
      <c r="H92" s="7" t="s">
        <v>1449</v>
      </c>
      <c r="I92" s="7" t="s">
        <v>1658</v>
      </c>
      <c r="J92" s="7" t="s">
        <v>1451</v>
      </c>
      <c r="K92" s="7" t="s">
        <v>1659</v>
      </c>
      <c r="L92" s="7" t="s">
        <v>1453</v>
      </c>
      <c r="M92" s="7" t="s">
        <v>1660</v>
      </c>
      <c r="N92" s="7" t="s">
        <v>1455</v>
      </c>
      <c r="O92" s="7" t="s">
        <v>1661</v>
      </c>
      <c r="P92" s="7" t="s">
        <v>1457</v>
      </c>
      <c r="Q92" s="7" t="s">
        <v>1662</v>
      </c>
      <c r="R92" s="7" t="s">
        <v>1459</v>
      </c>
      <c r="S92" s="7" t="s">
        <v>1663</v>
      </c>
      <c r="T92" s="7" t="s">
        <v>1461</v>
      </c>
      <c r="U92" s="7" t="s">
        <v>1664</v>
      </c>
      <c r="V92" s="7" t="s">
        <v>1463</v>
      </c>
    </row>
    <row r="93" spans="1:22" ht="15">
      <c r="A93" s="119" t="s">
        <v>367</v>
      </c>
      <c r="B93" s="125">
        <v>984366</v>
      </c>
      <c r="C93" s="119" t="s">
        <v>504</v>
      </c>
      <c r="D93" s="125">
        <v>469090</v>
      </c>
      <c r="E93" s="119" t="s">
        <v>611</v>
      </c>
      <c r="F93" s="125">
        <v>522204</v>
      </c>
      <c r="G93" s="119" t="s">
        <v>397</v>
      </c>
      <c r="H93" s="125">
        <v>62558</v>
      </c>
      <c r="I93" s="119" t="s">
        <v>274</v>
      </c>
      <c r="J93" s="125">
        <v>56327</v>
      </c>
      <c r="K93" s="119" t="s">
        <v>200</v>
      </c>
      <c r="L93" s="125">
        <v>56428</v>
      </c>
      <c r="M93" s="119" t="s">
        <v>179</v>
      </c>
      <c r="N93" s="125">
        <v>317456</v>
      </c>
      <c r="O93" s="119" t="s">
        <v>367</v>
      </c>
      <c r="P93" s="125">
        <v>984366</v>
      </c>
      <c r="Q93" s="119" t="s">
        <v>185</v>
      </c>
      <c r="R93" s="125">
        <v>1221</v>
      </c>
      <c r="S93" s="119" t="s">
        <v>331</v>
      </c>
      <c r="T93" s="125">
        <v>22671</v>
      </c>
      <c r="U93" s="119" t="s">
        <v>234</v>
      </c>
      <c r="V93" s="125">
        <v>49141</v>
      </c>
    </row>
    <row r="94" spans="1:22" ht="15">
      <c r="A94" s="128" t="s">
        <v>611</v>
      </c>
      <c r="B94" s="125">
        <v>522204</v>
      </c>
      <c r="C94" s="119" t="s">
        <v>555</v>
      </c>
      <c r="D94" s="125">
        <v>21475</v>
      </c>
      <c r="E94" s="119" t="s">
        <v>623</v>
      </c>
      <c r="F94" s="125">
        <v>349540</v>
      </c>
      <c r="G94" s="119" t="s">
        <v>250</v>
      </c>
      <c r="H94" s="125">
        <v>49398</v>
      </c>
      <c r="I94" s="119" t="s">
        <v>307</v>
      </c>
      <c r="J94" s="125">
        <v>56039</v>
      </c>
      <c r="K94" s="119" t="s">
        <v>209</v>
      </c>
      <c r="L94" s="125">
        <v>6319</v>
      </c>
      <c r="M94" s="119" t="s">
        <v>182</v>
      </c>
      <c r="N94" s="125">
        <v>238120</v>
      </c>
      <c r="O94" s="119" t="s">
        <v>340</v>
      </c>
      <c r="P94" s="125">
        <v>19390</v>
      </c>
      <c r="Q94" s="119" t="s">
        <v>184</v>
      </c>
      <c r="R94" s="125">
        <v>137</v>
      </c>
      <c r="S94" s="119" t="s">
        <v>339</v>
      </c>
      <c r="T94" s="125">
        <v>2753</v>
      </c>
      <c r="U94" s="119" t="s">
        <v>233</v>
      </c>
      <c r="V94" s="125">
        <v>18</v>
      </c>
    </row>
    <row r="95" spans="1:22" ht="15">
      <c r="A95" s="128" t="s">
        <v>504</v>
      </c>
      <c r="B95" s="125">
        <v>469090</v>
      </c>
      <c r="C95" s="119" t="s">
        <v>480</v>
      </c>
      <c r="D95" s="125">
        <v>8934</v>
      </c>
      <c r="E95" s="119" t="s">
        <v>318</v>
      </c>
      <c r="F95" s="125">
        <v>213421</v>
      </c>
      <c r="G95" s="119" t="s">
        <v>372</v>
      </c>
      <c r="H95" s="125">
        <v>38630</v>
      </c>
      <c r="I95" s="119" t="s">
        <v>300</v>
      </c>
      <c r="J95" s="125">
        <v>35564</v>
      </c>
      <c r="K95" s="119" t="s">
        <v>223</v>
      </c>
      <c r="L95" s="125">
        <v>1919</v>
      </c>
      <c r="M95" s="119" t="s">
        <v>162</v>
      </c>
      <c r="N95" s="125">
        <v>176742</v>
      </c>
      <c r="O95" s="119" t="s">
        <v>354</v>
      </c>
      <c r="P95" s="125">
        <v>82</v>
      </c>
      <c r="Q95" s="119" t="s">
        <v>595</v>
      </c>
      <c r="R95" s="125">
        <v>19</v>
      </c>
      <c r="S95" s="119" t="s">
        <v>330</v>
      </c>
      <c r="T95" s="125">
        <v>142</v>
      </c>
      <c r="U95" s="119"/>
      <c r="V95" s="125"/>
    </row>
    <row r="96" spans="1:22" ht="15">
      <c r="A96" s="128" t="s">
        <v>623</v>
      </c>
      <c r="B96" s="125">
        <v>349540</v>
      </c>
      <c r="C96" s="119" t="s">
        <v>421</v>
      </c>
      <c r="D96" s="125">
        <v>7457</v>
      </c>
      <c r="E96" s="119" t="s">
        <v>183</v>
      </c>
      <c r="F96" s="125">
        <v>167343</v>
      </c>
      <c r="G96" s="119" t="s">
        <v>387</v>
      </c>
      <c r="H96" s="125">
        <v>10922</v>
      </c>
      <c r="I96" s="119" t="s">
        <v>285</v>
      </c>
      <c r="J96" s="125">
        <v>9787</v>
      </c>
      <c r="K96" s="119" t="s">
        <v>215</v>
      </c>
      <c r="L96" s="125">
        <v>1429</v>
      </c>
      <c r="M96" s="119" t="s">
        <v>181</v>
      </c>
      <c r="N96" s="125">
        <v>103789</v>
      </c>
      <c r="O96" s="119" t="s">
        <v>349</v>
      </c>
      <c r="P96" s="125">
        <v>20</v>
      </c>
      <c r="Q96" s="119"/>
      <c r="R96" s="125"/>
      <c r="S96" s="119"/>
      <c r="T96" s="125"/>
      <c r="U96" s="119"/>
      <c r="V96" s="125"/>
    </row>
    <row r="97" spans="1:22" ht="15">
      <c r="A97" s="128" t="s">
        <v>179</v>
      </c>
      <c r="B97" s="125">
        <v>317456</v>
      </c>
      <c r="C97" s="119" t="s">
        <v>450</v>
      </c>
      <c r="D97" s="125">
        <v>6338</v>
      </c>
      <c r="E97" s="119" t="s">
        <v>317</v>
      </c>
      <c r="F97" s="125">
        <v>57786</v>
      </c>
      <c r="G97" s="119" t="s">
        <v>380</v>
      </c>
      <c r="H97" s="125">
        <v>8154</v>
      </c>
      <c r="I97" s="119" t="s">
        <v>263</v>
      </c>
      <c r="J97" s="125">
        <v>588</v>
      </c>
      <c r="K97" s="119" t="s">
        <v>208</v>
      </c>
      <c r="L97" s="125">
        <v>770</v>
      </c>
      <c r="M97" s="119" t="s">
        <v>163</v>
      </c>
      <c r="N97" s="125">
        <v>19518</v>
      </c>
      <c r="O97" s="119"/>
      <c r="P97" s="125"/>
      <c r="Q97" s="119"/>
      <c r="R97" s="125"/>
      <c r="S97" s="119"/>
      <c r="T97" s="125"/>
      <c r="U97" s="119"/>
      <c r="V97" s="125"/>
    </row>
    <row r="98" spans="1:22" ht="15">
      <c r="A98" s="128" t="s">
        <v>182</v>
      </c>
      <c r="B98" s="125">
        <v>238120</v>
      </c>
      <c r="C98" s="119" t="s">
        <v>435</v>
      </c>
      <c r="D98" s="125">
        <v>5335</v>
      </c>
      <c r="E98" s="119" t="s">
        <v>605</v>
      </c>
      <c r="F98" s="125">
        <v>53254</v>
      </c>
      <c r="G98" s="119" t="s">
        <v>576</v>
      </c>
      <c r="H98" s="125">
        <v>7952</v>
      </c>
      <c r="I98" s="119" t="s">
        <v>262</v>
      </c>
      <c r="J98" s="125">
        <v>51</v>
      </c>
      <c r="K98" s="119" t="s">
        <v>199</v>
      </c>
      <c r="L98" s="125">
        <v>469</v>
      </c>
      <c r="M98" s="119"/>
      <c r="N98" s="125"/>
      <c r="O98" s="119"/>
      <c r="P98" s="125"/>
      <c r="Q98" s="119"/>
      <c r="R98" s="125"/>
      <c r="S98" s="119"/>
      <c r="T98" s="125"/>
      <c r="U98" s="119"/>
      <c r="V98" s="125"/>
    </row>
    <row r="99" spans="1:22" ht="15">
      <c r="A99" s="128" t="s">
        <v>318</v>
      </c>
      <c r="B99" s="125">
        <v>213421</v>
      </c>
      <c r="C99" s="119" t="s">
        <v>587</v>
      </c>
      <c r="D99" s="125">
        <v>4515</v>
      </c>
      <c r="E99" s="119" t="s">
        <v>600</v>
      </c>
      <c r="F99" s="125">
        <v>30658</v>
      </c>
      <c r="G99" s="119" t="s">
        <v>242</v>
      </c>
      <c r="H99" s="125">
        <v>6532</v>
      </c>
      <c r="I99" s="119"/>
      <c r="J99" s="125"/>
      <c r="K99" s="119"/>
      <c r="L99" s="125"/>
      <c r="M99" s="119"/>
      <c r="N99" s="125"/>
      <c r="O99" s="119"/>
      <c r="P99" s="125"/>
      <c r="Q99" s="119"/>
      <c r="R99" s="125"/>
      <c r="S99" s="119"/>
      <c r="T99" s="125"/>
      <c r="U99" s="119"/>
      <c r="V99" s="125"/>
    </row>
    <row r="100" spans="1:22" ht="15">
      <c r="A100" s="128" t="s">
        <v>162</v>
      </c>
      <c r="B100" s="125">
        <v>176742</v>
      </c>
      <c r="C100" s="119" t="s">
        <v>560</v>
      </c>
      <c r="D100" s="125">
        <v>2884</v>
      </c>
      <c r="E100" s="119" t="s">
        <v>616</v>
      </c>
      <c r="F100" s="125">
        <v>312</v>
      </c>
      <c r="G100" s="119"/>
      <c r="H100" s="125"/>
      <c r="I100" s="119"/>
      <c r="J100" s="125"/>
      <c r="K100" s="119"/>
      <c r="L100" s="125"/>
      <c r="M100" s="119"/>
      <c r="N100" s="125"/>
      <c r="O100" s="119"/>
      <c r="P100" s="125"/>
      <c r="Q100" s="119"/>
      <c r="R100" s="125"/>
      <c r="S100" s="119"/>
      <c r="T100" s="125"/>
      <c r="U100" s="119"/>
      <c r="V100" s="125"/>
    </row>
    <row r="101" spans="1:22" ht="15">
      <c r="A101" s="128" t="s">
        <v>183</v>
      </c>
      <c r="B101" s="125">
        <v>167343</v>
      </c>
      <c r="C101" s="119" t="s">
        <v>490</v>
      </c>
      <c r="D101" s="125">
        <v>2297</v>
      </c>
      <c r="E101" s="119"/>
      <c r="F101" s="125"/>
      <c r="G101" s="119"/>
      <c r="H101" s="125"/>
      <c r="I101" s="119"/>
      <c r="J101" s="125"/>
      <c r="K101" s="119"/>
      <c r="L101" s="125"/>
      <c r="M101" s="119"/>
      <c r="N101" s="125"/>
      <c r="O101" s="119"/>
      <c r="P101" s="125"/>
      <c r="Q101" s="119"/>
      <c r="R101" s="125"/>
      <c r="S101" s="119"/>
      <c r="T101" s="125"/>
      <c r="U101" s="119"/>
      <c r="V101" s="125"/>
    </row>
    <row r="102" spans="1:22" ht="15">
      <c r="A102" s="128" t="s">
        <v>181</v>
      </c>
      <c r="B102" s="125">
        <v>103789</v>
      </c>
      <c r="C102" s="119" t="s">
        <v>530</v>
      </c>
      <c r="D102" s="125">
        <v>2169</v>
      </c>
      <c r="E102" s="119"/>
      <c r="F102" s="125"/>
      <c r="G102" s="119"/>
      <c r="H102" s="125"/>
      <c r="I102" s="119"/>
      <c r="J102" s="125"/>
      <c r="K102" s="119"/>
      <c r="L102" s="125"/>
      <c r="M102" s="119"/>
      <c r="N102" s="125"/>
      <c r="O102" s="119"/>
      <c r="P102" s="125"/>
      <c r="Q102" s="119"/>
      <c r="R102" s="125"/>
      <c r="S102" s="119"/>
      <c r="T102" s="125"/>
      <c r="U102" s="119"/>
      <c r="V102" s="125"/>
    </row>
  </sheetData>
  <hyperlinks>
    <hyperlink ref="A2" r:id="rId1" display="https://plantegg.github.io/2017/01/01/top_linux_commands/"/>
    <hyperlink ref="A3" r:id="rId2" display="https://huggingface.co/papers/2309.03241"/>
    <hyperlink ref="A4" r:id="rId3" display="https://bookstash.io/"/>
    <hyperlink ref="A5" r:id="rId4" display="https://www.craft.me/s/dbj8QJkuZ5ruTB"/>
    <hyperlink ref="A6" r:id="rId5" display="https://archive.area17.com/directory/2023_openai/36_brand-guidelines.pdf"/>
    <hyperlink ref="A7" r:id="rId6" display="https://t8ipkovzsy.feishu.cn/sheets/ZaaVs8vDPhkcrWttYTXc9bgmnhh?from=from_copylink"/>
    <hyperlink ref="A8" r:id="rId7" display="https://x.com/ManonAubryFr/status/1701521575512608784?s=20"/>
    <hyperlink ref="A9" r:id="rId8" display="https://49rs.co/44LIh3Q"/>
    <hyperlink ref="A10" r:id="rId9" display="https://apnews.com/article/6322aae981bdc5c9009babde4b31ab60"/>
    <hyperlink ref="A11" r:id="rId10" display="https://apnews.com/article/792cbae3e651d31028ae2c64f65f112c"/>
    <hyperlink ref="C2" r:id="rId11" display="https://plantegg.github.io/2017/01/01/top_linux_commands/"/>
    <hyperlink ref="C3" r:id="rId12" display="https://t8ipkovzsy.feishu.cn/sheets/ZaaVs8vDPhkcrWttYTXc9bgmnhh?from=from_copylink"/>
    <hyperlink ref="C4" r:id="rId13" display="https://archive.area17.com/directory/2023_openai/36_brand-guidelines.pdf"/>
    <hyperlink ref="C5" r:id="rId14" display="https://www.craft.me/s/dbj8QJkuZ5ruTB"/>
    <hyperlink ref="C6" r:id="rId15" display="https://bookstash.io/"/>
    <hyperlink ref="C7" r:id="rId16" display="https://huggingface.co/papers/2309.03241"/>
    <hyperlink ref="C8" r:id="rId17" display="https://thorium.rocks/"/>
    <hyperlink ref="E2" r:id="rId18" display="https://x.com/ManonAubryFr/status/1701521575512608784?s=20"/>
    <hyperlink ref="E3" r:id="rId19" display="https://apnews.com/article/6322aae981bdc5c9009babde4b31ab60"/>
    <hyperlink ref="E4" r:id="rId20" display="https://nebraskaexaminer.com/2023/09/13/it-ended-up-being-racist-teacher-describes-resignation-from-crete-public-schools/"/>
    <hyperlink ref="E5" r:id="rId21" display="https://www.linkedin.com/pulse/beth-trejo-social-media-search-jeremy-harris-lipschultz"/>
    <hyperlink ref="E6" r:id="rId22" display="https://www.cjr.org/the_media_today/elon_musk_adl_antisemitism.php"/>
    <hyperlink ref="E7" r:id="rId23" display="https://www.insidehighered.com/news/diversity/socioeconomics/2023/09/11/progress-backsliding-economic-diversity-selective-colleges"/>
    <hyperlink ref="E8" r:id="rId24" display="https://www.nytimes.com/2023/09/07/technology/artificial-intelligence-framework-senate.html?smid=nytcore-ios-share&amp;referringSource=articleShare"/>
    <hyperlink ref="E9" r:id="rId25" display="https://apnews.com/article/44850c92a3d9480cc067474490140d88"/>
    <hyperlink ref="E10" r:id="rId26" display="https://apnews.com/article/687b9a5b90ec18f207d36df3ba11aebd"/>
    <hyperlink ref="E11" r:id="rId27" display="https://apnews.com/article/23a770d706f3d8a1d7b1a3e4fc8529e3"/>
    <hyperlink ref="I2" r:id="rId28" display="https://49rs.co/44LIh3Q"/>
    <hyperlink ref="O2" r:id="rId29" display="https://www.bitget.com/events/kcgi?utmSource=Twitter"/>
  </hyperlinks>
  <printOptions/>
  <pageMargins left="0.7" right="0.7" top="0.75" bottom="0.75" header="0.3" footer="0.3"/>
  <pageSetup orientation="portrait" paperSize="9"/>
  <tableParts>
    <tablePart r:id="rId34"/>
    <tablePart r:id="rId37"/>
    <tablePart r:id="rId31"/>
    <tablePart r:id="rId35"/>
    <tablePart r:id="rId32"/>
    <tablePart r:id="rId36"/>
    <tablePart r:id="rId30"/>
    <tablePart r:id="rId3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1665</v>
      </c>
      <c r="B1" s="7" t="s">
        <v>1666</v>
      </c>
      <c r="C1" s="7" t="s">
        <v>1667</v>
      </c>
      <c r="D1" s="7" t="s">
        <v>1199</v>
      </c>
      <c r="E1" s="7" t="s">
        <v>1668</v>
      </c>
      <c r="F1" s="7" t="s">
        <v>1669</v>
      </c>
      <c r="G1" s="7" t="s">
        <v>1670</v>
      </c>
    </row>
    <row r="2" spans="1:7" ht="15">
      <c r="A2" s="125" t="s">
        <v>1671</v>
      </c>
      <c r="B2" s="125" t="s">
        <v>1672</v>
      </c>
      <c r="C2" s="129"/>
      <c r="D2" s="125"/>
      <c r="E2" s="125"/>
      <c r="F2" s="125"/>
      <c r="G2" s="125"/>
    </row>
    <row r="3" spans="1:7" ht="15">
      <c r="A3" s="124" t="s">
        <v>1673</v>
      </c>
      <c r="B3" s="125" t="s">
        <v>1674</v>
      </c>
      <c r="C3" s="129"/>
      <c r="D3" s="125"/>
      <c r="E3" s="125"/>
      <c r="F3" s="125"/>
      <c r="G3" s="125"/>
    </row>
    <row r="4" spans="1:7" ht="15">
      <c r="A4" s="124" t="s">
        <v>1675</v>
      </c>
      <c r="B4" s="125" t="s">
        <v>1676</v>
      </c>
      <c r="C4" s="129"/>
      <c r="D4" s="125"/>
      <c r="E4" s="125"/>
      <c r="F4" s="125"/>
      <c r="G4" s="125"/>
    </row>
    <row r="5" spans="1:7" ht="15">
      <c r="A5" s="124" t="s">
        <v>1677</v>
      </c>
      <c r="B5" s="125">
        <v>0</v>
      </c>
      <c r="C5" s="129">
        <v>0</v>
      </c>
      <c r="D5" s="125"/>
      <c r="E5" s="125"/>
      <c r="F5" s="125"/>
      <c r="G5" s="125"/>
    </row>
    <row r="6" spans="1:7" ht="15">
      <c r="A6" s="124" t="s">
        <v>1678</v>
      </c>
      <c r="B6" s="125">
        <v>0</v>
      </c>
      <c r="C6" s="129">
        <v>0</v>
      </c>
      <c r="D6" s="125"/>
      <c r="E6" s="125"/>
      <c r="F6" s="125"/>
      <c r="G6" s="125"/>
    </row>
    <row r="7" spans="1:7" ht="15">
      <c r="A7" s="124" t="s">
        <v>1679</v>
      </c>
      <c r="B7" s="125">
        <v>0</v>
      </c>
      <c r="C7" s="129">
        <v>0</v>
      </c>
      <c r="D7" s="125"/>
      <c r="E7" s="125"/>
      <c r="F7" s="125"/>
      <c r="G7" s="125"/>
    </row>
    <row r="8" spans="1:7" ht="15">
      <c r="A8" s="124" t="s">
        <v>1680</v>
      </c>
      <c r="B8" s="125">
        <v>1020</v>
      </c>
      <c r="C8" s="129">
        <v>0.7223796033994334</v>
      </c>
      <c r="D8" s="125"/>
      <c r="E8" s="125"/>
      <c r="F8" s="125"/>
      <c r="G8" s="125"/>
    </row>
    <row r="9" spans="1:7" ht="15">
      <c r="A9" s="124" t="s">
        <v>1681</v>
      </c>
      <c r="B9" s="125">
        <v>1412</v>
      </c>
      <c r="C9" s="129">
        <v>1</v>
      </c>
      <c r="D9" s="125"/>
      <c r="E9" s="125"/>
      <c r="F9" s="125"/>
      <c r="G9" s="125"/>
    </row>
    <row r="10" spans="1:7" ht="15">
      <c r="A10" s="127" t="s">
        <v>504</v>
      </c>
      <c r="B10" s="125">
        <v>14</v>
      </c>
      <c r="C10" s="129">
        <v>0.011779124248491828</v>
      </c>
      <c r="D10" s="125" t="s">
        <v>1682</v>
      </c>
      <c r="E10" s="125" t="b">
        <v>0</v>
      </c>
      <c r="F10" s="125" t="b">
        <v>0</v>
      </c>
      <c r="G10" s="125" t="b">
        <v>0</v>
      </c>
    </row>
    <row r="11" spans="1:7" ht="15">
      <c r="A11" s="127" t="s">
        <v>1528</v>
      </c>
      <c r="B11" s="125">
        <v>14</v>
      </c>
      <c r="C11" s="129">
        <v>0.011779124248491828</v>
      </c>
      <c r="D11" s="125" t="s">
        <v>1682</v>
      </c>
      <c r="E11" s="125" t="b">
        <v>0</v>
      </c>
      <c r="F11" s="125" t="b">
        <v>0</v>
      </c>
      <c r="G11" s="125" t="b">
        <v>0</v>
      </c>
    </row>
    <row r="12" spans="1:7" ht="15">
      <c r="A12" s="127" t="s">
        <v>1534</v>
      </c>
      <c r="B12" s="125">
        <v>14</v>
      </c>
      <c r="C12" s="129">
        <v>0.011779124248491828</v>
      </c>
      <c r="D12" s="125" t="s">
        <v>1682</v>
      </c>
      <c r="E12" s="125" t="b">
        <v>0</v>
      </c>
      <c r="F12" s="125" t="b">
        <v>0</v>
      </c>
      <c r="G12" s="125" t="b">
        <v>0</v>
      </c>
    </row>
    <row r="13" spans="1:7" ht="15">
      <c r="A13" s="127" t="s">
        <v>623</v>
      </c>
      <c r="B13" s="125">
        <v>11</v>
      </c>
      <c r="C13" s="129">
        <v>0.010384525073400581</v>
      </c>
      <c r="D13" s="125" t="s">
        <v>1682</v>
      </c>
      <c r="E13" s="125" t="b">
        <v>0</v>
      </c>
      <c r="F13" s="125" t="b">
        <v>0</v>
      </c>
      <c r="G13" s="125" t="b">
        <v>0</v>
      </c>
    </row>
    <row r="14" spans="1:7" ht="15">
      <c r="A14" s="127" t="s">
        <v>1530</v>
      </c>
      <c r="B14" s="125">
        <v>9</v>
      </c>
      <c r="C14" s="129">
        <v>0.009265401744205743</v>
      </c>
      <c r="D14" s="125" t="s">
        <v>1682</v>
      </c>
      <c r="E14" s="125" t="b">
        <v>0</v>
      </c>
      <c r="F14" s="125" t="b">
        <v>0</v>
      </c>
      <c r="G14" s="125" t="b">
        <v>0</v>
      </c>
    </row>
    <row r="15" spans="1:7" ht="15">
      <c r="A15" s="127" t="s">
        <v>1524</v>
      </c>
      <c r="B15" s="125">
        <v>9</v>
      </c>
      <c r="C15" s="129">
        <v>0.013475295168202764</v>
      </c>
      <c r="D15" s="125" t="s">
        <v>1682</v>
      </c>
      <c r="E15" s="125" t="b">
        <v>0</v>
      </c>
      <c r="F15" s="125" t="b">
        <v>0</v>
      </c>
      <c r="G15" s="125" t="b">
        <v>0</v>
      </c>
    </row>
    <row r="16" spans="1:7" ht="15">
      <c r="A16" s="127" t="s">
        <v>1545</v>
      </c>
      <c r="B16" s="125">
        <v>8</v>
      </c>
      <c r="C16" s="129">
        <v>0.008637108916005483</v>
      </c>
      <c r="D16" s="125" t="s">
        <v>1682</v>
      </c>
      <c r="E16" s="125" t="b">
        <v>0</v>
      </c>
      <c r="F16" s="125" t="b">
        <v>0</v>
      </c>
      <c r="G16" s="125" t="b">
        <v>0</v>
      </c>
    </row>
    <row r="17" spans="1:7" ht="15">
      <c r="A17" s="127" t="s">
        <v>1541</v>
      </c>
      <c r="B17" s="125">
        <v>8</v>
      </c>
      <c r="C17" s="129">
        <v>0.009091947715830476</v>
      </c>
      <c r="D17" s="125" t="s">
        <v>1682</v>
      </c>
      <c r="E17" s="125" t="b">
        <v>0</v>
      </c>
      <c r="F17" s="125" t="b">
        <v>0</v>
      </c>
      <c r="G17" s="125" t="b">
        <v>0</v>
      </c>
    </row>
    <row r="18" spans="1:7" ht="15">
      <c r="A18" s="127" t="s">
        <v>1529</v>
      </c>
      <c r="B18" s="125">
        <v>8</v>
      </c>
      <c r="C18" s="129">
        <v>0.008637108916005483</v>
      </c>
      <c r="D18" s="125" t="s">
        <v>1682</v>
      </c>
      <c r="E18" s="125" t="b">
        <v>0</v>
      </c>
      <c r="F18" s="125" t="b">
        <v>0</v>
      </c>
      <c r="G18" s="125" t="b">
        <v>0</v>
      </c>
    </row>
    <row r="19" spans="1:7" ht="15">
      <c r="A19" s="127" t="s">
        <v>530</v>
      </c>
      <c r="B19" s="125">
        <v>6</v>
      </c>
      <c r="C19" s="129">
        <v>0.007212765431758817</v>
      </c>
      <c r="D19" s="125" t="s">
        <v>1682</v>
      </c>
      <c r="E19" s="125" t="b">
        <v>0</v>
      </c>
      <c r="F19" s="125" t="b">
        <v>0</v>
      </c>
      <c r="G19" s="125" t="b">
        <v>0</v>
      </c>
    </row>
    <row r="20" spans="1:7" ht="15">
      <c r="A20" s="127" t="s">
        <v>1535</v>
      </c>
      <c r="B20" s="125">
        <v>6</v>
      </c>
      <c r="C20" s="129">
        <v>0.007212765431758817</v>
      </c>
      <c r="D20" s="125" t="s">
        <v>1682</v>
      </c>
      <c r="E20" s="125" t="b">
        <v>0</v>
      </c>
      <c r="F20" s="125" t="b">
        <v>0</v>
      </c>
      <c r="G20" s="125" t="b">
        <v>0</v>
      </c>
    </row>
    <row r="21" spans="1:7" ht="15">
      <c r="A21" s="127" t="s">
        <v>1555</v>
      </c>
      <c r="B21" s="125">
        <v>6</v>
      </c>
      <c r="C21" s="129">
        <v>0.007212765431758817</v>
      </c>
      <c r="D21" s="125" t="s">
        <v>1682</v>
      </c>
      <c r="E21" s="125" t="b">
        <v>0</v>
      </c>
      <c r="F21" s="125" t="b">
        <v>0</v>
      </c>
      <c r="G21" s="125" t="b">
        <v>0</v>
      </c>
    </row>
    <row r="22" spans="1:7" ht="15">
      <c r="A22" s="127" t="s">
        <v>1556</v>
      </c>
      <c r="B22" s="125">
        <v>5</v>
      </c>
      <c r="C22" s="129">
        <v>0.006398781222777567</v>
      </c>
      <c r="D22" s="125" t="s">
        <v>1682</v>
      </c>
      <c r="E22" s="125" t="b">
        <v>0</v>
      </c>
      <c r="F22" s="125" t="b">
        <v>0</v>
      </c>
      <c r="G22" s="125" t="b">
        <v>0</v>
      </c>
    </row>
    <row r="23" spans="1:7" ht="15">
      <c r="A23" s="127" t="s">
        <v>1539</v>
      </c>
      <c r="B23" s="125">
        <v>5</v>
      </c>
      <c r="C23" s="129">
        <v>0.006873830306150392</v>
      </c>
      <c r="D23" s="125" t="s">
        <v>1682</v>
      </c>
      <c r="E23" s="125" t="b">
        <v>0</v>
      </c>
      <c r="F23" s="125" t="b">
        <v>0</v>
      </c>
      <c r="G23" s="125" t="b">
        <v>0</v>
      </c>
    </row>
    <row r="24" spans="1:7" ht="15">
      <c r="A24" s="127" t="s">
        <v>183</v>
      </c>
      <c r="B24" s="125">
        <v>4</v>
      </c>
      <c r="C24" s="129">
        <v>0.005499064244920314</v>
      </c>
      <c r="D24" s="125" t="s">
        <v>1682</v>
      </c>
      <c r="E24" s="125" t="b">
        <v>0</v>
      </c>
      <c r="F24" s="125" t="b">
        <v>0</v>
      </c>
      <c r="G24" s="125" t="b">
        <v>0</v>
      </c>
    </row>
    <row r="25" spans="1:7" ht="15">
      <c r="A25" s="127" t="s">
        <v>1537</v>
      </c>
      <c r="B25" s="125">
        <v>4</v>
      </c>
      <c r="C25" s="129">
        <v>0.005499064244920314</v>
      </c>
      <c r="D25" s="125" t="s">
        <v>1682</v>
      </c>
      <c r="E25" s="125" t="b">
        <v>0</v>
      </c>
      <c r="F25" s="125" t="b">
        <v>0</v>
      </c>
      <c r="G25" s="125" t="b">
        <v>0</v>
      </c>
    </row>
    <row r="26" spans="1:7" ht="15">
      <c r="A26" s="127" t="s">
        <v>1565</v>
      </c>
      <c r="B26" s="125">
        <v>4</v>
      </c>
      <c r="C26" s="129">
        <v>0.005499064244920314</v>
      </c>
      <c r="D26" s="125" t="s">
        <v>1682</v>
      </c>
      <c r="E26" s="125" t="b">
        <v>0</v>
      </c>
      <c r="F26" s="125" t="b">
        <v>0</v>
      </c>
      <c r="G26" s="125" t="b">
        <v>0</v>
      </c>
    </row>
    <row r="27" spans="1:7" ht="15">
      <c r="A27" s="127" t="s">
        <v>1553</v>
      </c>
      <c r="B27" s="125">
        <v>4</v>
      </c>
      <c r="C27" s="129">
        <v>0.005499064244920314</v>
      </c>
      <c r="D27" s="125" t="s">
        <v>1682</v>
      </c>
      <c r="E27" s="125" t="b">
        <v>0</v>
      </c>
      <c r="F27" s="125" t="b">
        <v>0</v>
      </c>
      <c r="G27" s="125" t="b">
        <v>0</v>
      </c>
    </row>
    <row r="28" spans="1:7" ht="15">
      <c r="A28" s="127" t="s">
        <v>1531</v>
      </c>
      <c r="B28" s="125">
        <v>4</v>
      </c>
      <c r="C28" s="129">
        <v>0.006679574031837888</v>
      </c>
      <c r="D28" s="125" t="s">
        <v>1682</v>
      </c>
      <c r="E28" s="125" t="b">
        <v>0</v>
      </c>
      <c r="F28" s="125" t="b">
        <v>0</v>
      </c>
      <c r="G28" s="125" t="b">
        <v>0</v>
      </c>
    </row>
    <row r="29" spans="1:7" ht="15">
      <c r="A29" s="127" t="s">
        <v>1683</v>
      </c>
      <c r="B29" s="125">
        <v>4</v>
      </c>
      <c r="C29" s="129">
        <v>0.005499064244920314</v>
      </c>
      <c r="D29" s="125" t="s">
        <v>1682</v>
      </c>
      <c r="E29" s="125" t="b">
        <v>0</v>
      </c>
      <c r="F29" s="125" t="b">
        <v>0</v>
      </c>
      <c r="G29" s="125" t="b">
        <v>0</v>
      </c>
    </row>
    <row r="30" spans="1:7" ht="15">
      <c r="A30" s="127" t="s">
        <v>1525</v>
      </c>
      <c r="B30" s="125">
        <v>4</v>
      </c>
      <c r="C30" s="129">
        <v>0.006679574031837888</v>
      </c>
      <c r="D30" s="125" t="s">
        <v>1682</v>
      </c>
      <c r="E30" s="125" t="b">
        <v>0</v>
      </c>
      <c r="F30" s="125" t="b">
        <v>0</v>
      </c>
      <c r="G30" s="125" t="b">
        <v>0</v>
      </c>
    </row>
    <row r="31" spans="1:7" ht="15">
      <c r="A31" s="127" t="s">
        <v>1568</v>
      </c>
      <c r="B31" s="125">
        <v>4</v>
      </c>
      <c r="C31" s="129">
        <v>0.005499064244920314</v>
      </c>
      <c r="D31" s="125" t="s">
        <v>1682</v>
      </c>
      <c r="E31" s="125" t="b">
        <v>0</v>
      </c>
      <c r="F31" s="125" t="b">
        <v>0</v>
      </c>
      <c r="G31" s="125" t="b">
        <v>0</v>
      </c>
    </row>
    <row r="32" spans="1:7" ht="15">
      <c r="A32" s="127" t="s">
        <v>1550</v>
      </c>
      <c r="B32" s="125">
        <v>4</v>
      </c>
      <c r="C32" s="129">
        <v>0.005499064244920314</v>
      </c>
      <c r="D32" s="125" t="s">
        <v>1682</v>
      </c>
      <c r="E32" s="125" t="b">
        <v>0</v>
      </c>
      <c r="F32" s="125" t="b">
        <v>0</v>
      </c>
      <c r="G32" s="125" t="b">
        <v>0</v>
      </c>
    </row>
    <row r="33" spans="1:7" ht="15">
      <c r="A33" s="127" t="s">
        <v>1571</v>
      </c>
      <c r="B33" s="125">
        <v>4</v>
      </c>
      <c r="C33" s="129">
        <v>0.005499064244920314</v>
      </c>
      <c r="D33" s="125" t="s">
        <v>1682</v>
      </c>
      <c r="E33" s="125" t="b">
        <v>0</v>
      </c>
      <c r="F33" s="125" t="b">
        <v>0</v>
      </c>
      <c r="G33" s="125" t="b">
        <v>0</v>
      </c>
    </row>
    <row r="34" spans="1:7" ht="15">
      <c r="A34" s="127" t="s">
        <v>1560</v>
      </c>
      <c r="B34" s="125">
        <v>4</v>
      </c>
      <c r="C34" s="129">
        <v>0.006679574031837888</v>
      </c>
      <c r="D34" s="125" t="s">
        <v>1682</v>
      </c>
      <c r="E34" s="125" t="b">
        <v>0</v>
      </c>
      <c r="F34" s="125" t="b">
        <v>0</v>
      </c>
      <c r="G34" s="125" t="b">
        <v>0</v>
      </c>
    </row>
    <row r="35" spans="1:7" ht="15">
      <c r="A35" s="127" t="s">
        <v>560</v>
      </c>
      <c r="B35" s="125">
        <v>3</v>
      </c>
      <c r="C35" s="129">
        <v>0.004491765056067588</v>
      </c>
      <c r="D35" s="125" t="s">
        <v>1682</v>
      </c>
      <c r="E35" s="125" t="b">
        <v>0</v>
      </c>
      <c r="F35" s="125" t="b">
        <v>0</v>
      </c>
      <c r="G35" s="125" t="b">
        <v>0</v>
      </c>
    </row>
    <row r="36" spans="1:7" ht="15">
      <c r="A36" s="127" t="s">
        <v>285</v>
      </c>
      <c r="B36" s="125">
        <v>3</v>
      </c>
      <c r="C36" s="129">
        <v>0.004491765056067588</v>
      </c>
      <c r="D36" s="125" t="s">
        <v>1682</v>
      </c>
      <c r="E36" s="125" t="b">
        <v>0</v>
      </c>
      <c r="F36" s="125" t="b">
        <v>0</v>
      </c>
      <c r="G36" s="125" t="b">
        <v>0</v>
      </c>
    </row>
    <row r="37" spans="1:7" ht="15">
      <c r="A37" s="127" t="s">
        <v>1526</v>
      </c>
      <c r="B37" s="125">
        <v>3</v>
      </c>
      <c r="C37" s="129">
        <v>0.005009680523878415</v>
      </c>
      <c r="D37" s="125" t="s">
        <v>1682</v>
      </c>
      <c r="E37" s="125" t="b">
        <v>0</v>
      </c>
      <c r="F37" s="125" t="b">
        <v>0</v>
      </c>
      <c r="G37" s="125" t="b">
        <v>0</v>
      </c>
    </row>
    <row r="38" spans="1:7" ht="15">
      <c r="A38" s="127" t="s">
        <v>1536</v>
      </c>
      <c r="B38" s="125">
        <v>3</v>
      </c>
      <c r="C38" s="129">
        <v>0.004491765056067588</v>
      </c>
      <c r="D38" s="125" t="s">
        <v>1682</v>
      </c>
      <c r="E38" s="125" t="b">
        <v>0</v>
      </c>
      <c r="F38" s="125" t="b">
        <v>0</v>
      </c>
      <c r="G38" s="125" t="b">
        <v>0</v>
      </c>
    </row>
    <row r="39" spans="1:7" ht="15">
      <c r="A39" s="127" t="s">
        <v>1546</v>
      </c>
      <c r="B39" s="125">
        <v>3</v>
      </c>
      <c r="C39" s="129">
        <v>0.004491765056067588</v>
      </c>
      <c r="D39" s="125" t="s">
        <v>1682</v>
      </c>
      <c r="E39" s="125" t="b">
        <v>0</v>
      </c>
      <c r="F39" s="125" t="b">
        <v>0</v>
      </c>
      <c r="G39" s="125" t="b">
        <v>0</v>
      </c>
    </row>
    <row r="40" spans="1:7" ht="15">
      <c r="A40" s="127" t="s">
        <v>1286</v>
      </c>
      <c r="B40" s="125">
        <v>3</v>
      </c>
      <c r="C40" s="129">
        <v>0.005009680523878415</v>
      </c>
      <c r="D40" s="125" t="s">
        <v>1682</v>
      </c>
      <c r="E40" s="125" t="b">
        <v>0</v>
      </c>
      <c r="F40" s="125" t="b">
        <v>0</v>
      </c>
      <c r="G40" s="125" t="b">
        <v>0</v>
      </c>
    </row>
    <row r="41" spans="1:7" ht="15">
      <c r="A41" s="127" t="s">
        <v>1684</v>
      </c>
      <c r="B41" s="125">
        <v>3</v>
      </c>
      <c r="C41" s="129">
        <v>0.004491765056067588</v>
      </c>
      <c r="D41" s="125" t="s">
        <v>1682</v>
      </c>
      <c r="E41" s="125" t="b">
        <v>0</v>
      </c>
      <c r="F41" s="125" t="b">
        <v>0</v>
      </c>
      <c r="G41" s="125" t="b">
        <v>0</v>
      </c>
    </row>
    <row r="42" spans="1:7" ht="15">
      <c r="A42" s="127" t="s">
        <v>1566</v>
      </c>
      <c r="B42" s="125">
        <v>3</v>
      </c>
      <c r="C42" s="129">
        <v>0.005009680523878415</v>
      </c>
      <c r="D42" s="125" t="s">
        <v>1682</v>
      </c>
      <c r="E42" s="125" t="b">
        <v>0</v>
      </c>
      <c r="F42" s="125" t="b">
        <v>0</v>
      </c>
      <c r="G42" s="125" t="b">
        <v>0</v>
      </c>
    </row>
    <row r="43" spans="1:7" ht="15">
      <c r="A43" s="127" t="s">
        <v>1685</v>
      </c>
      <c r="B43" s="125">
        <v>3</v>
      </c>
      <c r="C43" s="129">
        <v>0.004491765056067588</v>
      </c>
      <c r="D43" s="125" t="s">
        <v>1682</v>
      </c>
      <c r="E43" s="125" t="b">
        <v>0</v>
      </c>
      <c r="F43" s="125" t="b">
        <v>0</v>
      </c>
      <c r="G43" s="125" t="b">
        <v>0</v>
      </c>
    </row>
    <row r="44" spans="1:7" ht="15">
      <c r="A44" s="127" t="s">
        <v>1686</v>
      </c>
      <c r="B44" s="125">
        <v>3</v>
      </c>
      <c r="C44" s="129">
        <v>0.004491765056067588</v>
      </c>
      <c r="D44" s="125" t="s">
        <v>1682</v>
      </c>
      <c r="E44" s="125" t="b">
        <v>0</v>
      </c>
      <c r="F44" s="125" t="b">
        <v>0</v>
      </c>
      <c r="G44" s="125" t="b">
        <v>0</v>
      </c>
    </row>
    <row r="45" spans="1:7" ht="15">
      <c r="A45" s="127" t="s">
        <v>1687</v>
      </c>
      <c r="B45" s="125">
        <v>3</v>
      </c>
      <c r="C45" s="129">
        <v>0.004491765056067588</v>
      </c>
      <c r="D45" s="125" t="s">
        <v>1682</v>
      </c>
      <c r="E45" s="125" t="b">
        <v>0</v>
      </c>
      <c r="F45" s="125" t="b">
        <v>0</v>
      </c>
      <c r="G45" s="125" t="b">
        <v>0</v>
      </c>
    </row>
    <row r="46" spans="1:7" ht="15">
      <c r="A46" s="127" t="s">
        <v>1688</v>
      </c>
      <c r="B46" s="125">
        <v>3</v>
      </c>
      <c r="C46" s="129">
        <v>0.004491765056067588</v>
      </c>
      <c r="D46" s="125" t="s">
        <v>1682</v>
      </c>
      <c r="E46" s="125" t="b">
        <v>0</v>
      </c>
      <c r="F46" s="125" t="b">
        <v>0</v>
      </c>
      <c r="G46" s="125" t="b">
        <v>0</v>
      </c>
    </row>
    <row r="47" spans="1:7" ht="15">
      <c r="A47" s="127" t="s">
        <v>1689</v>
      </c>
      <c r="B47" s="125">
        <v>3</v>
      </c>
      <c r="C47" s="129">
        <v>0.004491765056067588</v>
      </c>
      <c r="D47" s="125" t="s">
        <v>1682</v>
      </c>
      <c r="E47" s="125" t="b">
        <v>0</v>
      </c>
      <c r="F47" s="125" t="b">
        <v>0</v>
      </c>
      <c r="G47" s="125" t="b">
        <v>0</v>
      </c>
    </row>
    <row r="48" spans="1:7" ht="15">
      <c r="A48" s="127" t="s">
        <v>1690</v>
      </c>
      <c r="B48" s="125">
        <v>3</v>
      </c>
      <c r="C48" s="129">
        <v>0.004491765056067588</v>
      </c>
      <c r="D48" s="125" t="s">
        <v>1682</v>
      </c>
      <c r="E48" s="125" t="b">
        <v>0</v>
      </c>
      <c r="F48" s="125" t="b">
        <v>0</v>
      </c>
      <c r="G48" s="125" t="b">
        <v>0</v>
      </c>
    </row>
    <row r="49" spans="1:7" ht="15">
      <c r="A49" s="127" t="s">
        <v>1532</v>
      </c>
      <c r="B49" s="125">
        <v>3</v>
      </c>
      <c r="C49" s="129">
        <v>0.005009680523878415</v>
      </c>
      <c r="D49" s="125" t="s">
        <v>1682</v>
      </c>
      <c r="E49" s="125" t="b">
        <v>0</v>
      </c>
      <c r="F49" s="125" t="b">
        <v>0</v>
      </c>
      <c r="G49" s="125" t="b">
        <v>0</v>
      </c>
    </row>
    <row r="50" spans="1:7" ht="15">
      <c r="A50" s="127" t="s">
        <v>1691</v>
      </c>
      <c r="B50" s="125">
        <v>3</v>
      </c>
      <c r="C50" s="129">
        <v>0.004491765056067588</v>
      </c>
      <c r="D50" s="125" t="s">
        <v>1682</v>
      </c>
      <c r="E50" s="125" t="b">
        <v>0</v>
      </c>
      <c r="F50" s="125" t="b">
        <v>0</v>
      </c>
      <c r="G50" s="125" t="b">
        <v>0</v>
      </c>
    </row>
    <row r="51" spans="1:7" ht="15">
      <c r="A51" s="127" t="s">
        <v>274</v>
      </c>
      <c r="B51" s="125">
        <v>3</v>
      </c>
      <c r="C51" s="129">
        <v>0.004491765056067588</v>
      </c>
      <c r="D51" s="125" t="s">
        <v>1682</v>
      </c>
      <c r="E51" s="125" t="b">
        <v>0</v>
      </c>
      <c r="F51" s="125" t="b">
        <v>0</v>
      </c>
      <c r="G51" s="125" t="b">
        <v>0</v>
      </c>
    </row>
    <row r="52" spans="1:7" ht="15">
      <c r="A52" s="127" t="s">
        <v>1507</v>
      </c>
      <c r="B52" s="125">
        <v>3</v>
      </c>
      <c r="C52" s="129">
        <v>0.004491765056067588</v>
      </c>
      <c r="D52" s="125" t="s">
        <v>1682</v>
      </c>
      <c r="E52" s="125" t="b">
        <v>0</v>
      </c>
      <c r="F52" s="125" t="b">
        <v>0</v>
      </c>
      <c r="G52" s="125" t="b">
        <v>0</v>
      </c>
    </row>
    <row r="53" spans="1:7" ht="15">
      <c r="A53" s="127" t="s">
        <v>450</v>
      </c>
      <c r="B53" s="125">
        <v>3</v>
      </c>
      <c r="C53" s="129">
        <v>0.004491765056067588</v>
      </c>
      <c r="D53" s="125" t="s">
        <v>1682</v>
      </c>
      <c r="E53" s="125" t="b">
        <v>0</v>
      </c>
      <c r="F53" s="125" t="b">
        <v>0</v>
      </c>
      <c r="G53" s="125" t="b">
        <v>0</v>
      </c>
    </row>
    <row r="54" spans="1:7" ht="15">
      <c r="A54" s="127" t="s">
        <v>1561</v>
      </c>
      <c r="B54" s="125">
        <v>3</v>
      </c>
      <c r="C54" s="129">
        <v>0.004491765056067588</v>
      </c>
      <c r="D54" s="125" t="s">
        <v>1682</v>
      </c>
      <c r="E54" s="125" t="b">
        <v>0</v>
      </c>
      <c r="F54" s="125" t="b">
        <v>0</v>
      </c>
      <c r="G54" s="125" t="b">
        <v>0</v>
      </c>
    </row>
    <row r="55" spans="1:7" ht="15">
      <c r="A55" s="127" t="s">
        <v>1692</v>
      </c>
      <c r="B55" s="125">
        <v>3</v>
      </c>
      <c r="C55" s="129">
        <v>0.004491765056067588</v>
      </c>
      <c r="D55" s="125" t="s">
        <v>1682</v>
      </c>
      <c r="E55" s="125" t="b">
        <v>0</v>
      </c>
      <c r="F55" s="125" t="b">
        <v>0</v>
      </c>
      <c r="G55" s="125" t="b">
        <v>0</v>
      </c>
    </row>
    <row r="56" spans="1:7" ht="15">
      <c r="A56" s="127" t="s">
        <v>1693</v>
      </c>
      <c r="B56" s="125">
        <v>3</v>
      </c>
      <c r="C56" s="129">
        <v>0.004491765056067588</v>
      </c>
      <c r="D56" s="125" t="s">
        <v>1682</v>
      </c>
      <c r="E56" s="125" t="b">
        <v>0</v>
      </c>
      <c r="F56" s="125" t="b">
        <v>0</v>
      </c>
      <c r="G56" s="125" t="b">
        <v>0</v>
      </c>
    </row>
    <row r="57" spans="1:7" ht="15">
      <c r="A57" s="127" t="s">
        <v>1576</v>
      </c>
      <c r="B57" s="125">
        <v>2</v>
      </c>
      <c r="C57" s="129">
        <v>0.003339787015918944</v>
      </c>
      <c r="D57" s="125" t="s">
        <v>1682</v>
      </c>
      <c r="E57" s="125" t="b">
        <v>0</v>
      </c>
      <c r="F57" s="125" t="b">
        <v>0</v>
      </c>
      <c r="G57" s="125" t="b">
        <v>0</v>
      </c>
    </row>
    <row r="58" spans="1:7" ht="15">
      <c r="A58" s="127" t="s">
        <v>1694</v>
      </c>
      <c r="B58" s="125">
        <v>2</v>
      </c>
      <c r="C58" s="129">
        <v>0.003339787015918944</v>
      </c>
      <c r="D58" s="125" t="s">
        <v>1682</v>
      </c>
      <c r="E58" s="125" t="b">
        <v>0</v>
      </c>
      <c r="F58" s="125" t="b">
        <v>0</v>
      </c>
      <c r="G58" s="125" t="b">
        <v>0</v>
      </c>
    </row>
    <row r="59" spans="1:7" ht="15">
      <c r="A59" s="127" t="s">
        <v>1695</v>
      </c>
      <c r="B59" s="125">
        <v>2</v>
      </c>
      <c r="C59" s="129">
        <v>0.003339787015918944</v>
      </c>
      <c r="D59" s="125" t="s">
        <v>1682</v>
      </c>
      <c r="E59" s="125" t="b">
        <v>0</v>
      </c>
      <c r="F59" s="125" t="b">
        <v>0</v>
      </c>
      <c r="G59" s="125" t="b">
        <v>0</v>
      </c>
    </row>
    <row r="60" spans="1:7" ht="15">
      <c r="A60" s="127" t="s">
        <v>1696</v>
      </c>
      <c r="B60" s="125">
        <v>2</v>
      </c>
      <c r="C60" s="129">
        <v>0.003339787015918944</v>
      </c>
      <c r="D60" s="125" t="s">
        <v>1682</v>
      </c>
      <c r="E60" s="125" t="b">
        <v>0</v>
      </c>
      <c r="F60" s="125" t="b">
        <v>0</v>
      </c>
      <c r="G60" s="125" t="b">
        <v>0</v>
      </c>
    </row>
    <row r="61" spans="1:7" ht="15">
      <c r="A61" s="127" t="s">
        <v>1697</v>
      </c>
      <c r="B61" s="125">
        <v>2</v>
      </c>
      <c r="C61" s="129">
        <v>0.003339787015918944</v>
      </c>
      <c r="D61" s="125" t="s">
        <v>1682</v>
      </c>
      <c r="E61" s="125" t="b">
        <v>0</v>
      </c>
      <c r="F61" s="125" t="b">
        <v>0</v>
      </c>
      <c r="G61" s="125" t="b">
        <v>0</v>
      </c>
    </row>
    <row r="62" spans="1:7" ht="15">
      <c r="A62" s="127" t="s">
        <v>1527</v>
      </c>
      <c r="B62" s="125">
        <v>2</v>
      </c>
      <c r="C62" s="129">
        <v>0.003339787015918944</v>
      </c>
      <c r="D62" s="125" t="s">
        <v>1682</v>
      </c>
      <c r="E62" s="125" t="b">
        <v>0</v>
      </c>
      <c r="F62" s="125" t="b">
        <v>0</v>
      </c>
      <c r="G62" s="125" t="b">
        <v>0</v>
      </c>
    </row>
    <row r="63" spans="1:7" ht="15">
      <c r="A63" s="127" t="s">
        <v>1698</v>
      </c>
      <c r="B63" s="125">
        <v>2</v>
      </c>
      <c r="C63" s="129">
        <v>0.003339787015918944</v>
      </c>
      <c r="D63" s="125" t="s">
        <v>1682</v>
      </c>
      <c r="E63" s="125" t="b">
        <v>0</v>
      </c>
      <c r="F63" s="125" t="b">
        <v>0</v>
      </c>
      <c r="G63" s="125" t="b">
        <v>0</v>
      </c>
    </row>
    <row r="64" spans="1:7" ht="15">
      <c r="A64" s="127" t="s">
        <v>1699</v>
      </c>
      <c r="B64" s="125">
        <v>2</v>
      </c>
      <c r="C64" s="129">
        <v>0.003339787015918944</v>
      </c>
      <c r="D64" s="125" t="s">
        <v>1682</v>
      </c>
      <c r="E64" s="125" t="b">
        <v>0</v>
      </c>
      <c r="F64" s="125" t="b">
        <v>0</v>
      </c>
      <c r="G64" s="125" t="b">
        <v>0</v>
      </c>
    </row>
    <row r="65" spans="1:7" ht="15">
      <c r="A65" s="127" t="s">
        <v>367</v>
      </c>
      <c r="B65" s="125">
        <v>2</v>
      </c>
      <c r="C65" s="129">
        <v>0.003339787015918944</v>
      </c>
      <c r="D65" s="125" t="s">
        <v>1682</v>
      </c>
      <c r="E65" s="125" t="b">
        <v>0</v>
      </c>
      <c r="F65" s="125" t="b">
        <v>0</v>
      </c>
      <c r="G65" s="125" t="b">
        <v>0</v>
      </c>
    </row>
    <row r="66" spans="1:7" ht="15">
      <c r="A66" s="127" t="s">
        <v>1567</v>
      </c>
      <c r="B66" s="125">
        <v>2</v>
      </c>
      <c r="C66" s="129">
        <v>0.003339787015918944</v>
      </c>
      <c r="D66" s="125" t="s">
        <v>1682</v>
      </c>
      <c r="E66" s="125" t="b">
        <v>0</v>
      </c>
      <c r="F66" s="125" t="b">
        <v>0</v>
      </c>
      <c r="G66" s="125" t="b">
        <v>0</v>
      </c>
    </row>
    <row r="67" spans="1:7" ht="15">
      <c r="A67" s="127" t="s">
        <v>1700</v>
      </c>
      <c r="B67" s="125">
        <v>2</v>
      </c>
      <c r="C67" s="129">
        <v>0.003339787015918944</v>
      </c>
      <c r="D67" s="125" t="s">
        <v>1682</v>
      </c>
      <c r="E67" s="125" t="b">
        <v>0</v>
      </c>
      <c r="F67" s="125" t="b">
        <v>0</v>
      </c>
      <c r="G67" s="125" t="b">
        <v>0</v>
      </c>
    </row>
    <row r="68" spans="1:7" ht="15">
      <c r="A68" s="127" t="s">
        <v>1701</v>
      </c>
      <c r="B68" s="125">
        <v>2</v>
      </c>
      <c r="C68" s="129">
        <v>0.003339787015918944</v>
      </c>
      <c r="D68" s="125" t="s">
        <v>1682</v>
      </c>
      <c r="E68" s="125" t="b">
        <v>0</v>
      </c>
      <c r="F68" s="125" t="b">
        <v>0</v>
      </c>
      <c r="G68" s="125" t="b">
        <v>0</v>
      </c>
    </row>
    <row r="69" spans="1:7" ht="15">
      <c r="A69" s="127" t="s">
        <v>1702</v>
      </c>
      <c r="B69" s="125">
        <v>2</v>
      </c>
      <c r="C69" s="129">
        <v>0.003339787015918944</v>
      </c>
      <c r="D69" s="125" t="s">
        <v>1682</v>
      </c>
      <c r="E69" s="125" t="b">
        <v>0</v>
      </c>
      <c r="F69" s="125" t="b">
        <v>0</v>
      </c>
      <c r="G69" s="125" t="b">
        <v>0</v>
      </c>
    </row>
    <row r="70" spans="1:7" ht="15">
      <c r="A70" s="127" t="s">
        <v>1703</v>
      </c>
      <c r="B70" s="125">
        <v>2</v>
      </c>
      <c r="C70" s="129">
        <v>0.003339787015918944</v>
      </c>
      <c r="D70" s="125" t="s">
        <v>1682</v>
      </c>
      <c r="E70" s="125" t="b">
        <v>0</v>
      </c>
      <c r="F70" s="125" t="b">
        <v>0</v>
      </c>
      <c r="G70" s="125" t="b">
        <v>0</v>
      </c>
    </row>
    <row r="71" spans="1:7" ht="15">
      <c r="A71" s="127" t="s">
        <v>1551</v>
      </c>
      <c r="B71" s="125">
        <v>2</v>
      </c>
      <c r="C71" s="129">
        <v>0.003339787015918944</v>
      </c>
      <c r="D71" s="125" t="s">
        <v>1682</v>
      </c>
      <c r="E71" s="125" t="b">
        <v>0</v>
      </c>
      <c r="F71" s="125" t="b">
        <v>0</v>
      </c>
      <c r="G71" s="125" t="b">
        <v>0</v>
      </c>
    </row>
    <row r="72" spans="1:7" ht="15">
      <c r="A72" s="127" t="s">
        <v>1704</v>
      </c>
      <c r="B72" s="125">
        <v>2</v>
      </c>
      <c r="C72" s="129">
        <v>0.003339787015918944</v>
      </c>
      <c r="D72" s="125" t="s">
        <v>1682</v>
      </c>
      <c r="E72" s="125" t="b">
        <v>0</v>
      </c>
      <c r="F72" s="125" t="b">
        <v>0</v>
      </c>
      <c r="G72" s="125" t="b">
        <v>0</v>
      </c>
    </row>
    <row r="73" spans="1:7" ht="15">
      <c r="A73" s="127" t="s">
        <v>1557</v>
      </c>
      <c r="B73" s="125">
        <v>2</v>
      </c>
      <c r="C73" s="129">
        <v>0.003339787015918944</v>
      </c>
      <c r="D73" s="125" t="s">
        <v>1682</v>
      </c>
      <c r="E73" s="125" t="b">
        <v>0</v>
      </c>
      <c r="F73" s="125" t="b">
        <v>0</v>
      </c>
      <c r="G73" s="125" t="b">
        <v>0</v>
      </c>
    </row>
    <row r="74" spans="1:7" ht="15">
      <c r="A74" s="127" t="s">
        <v>1705</v>
      </c>
      <c r="B74" s="125">
        <v>2</v>
      </c>
      <c r="C74" s="129">
        <v>0.003339787015918944</v>
      </c>
      <c r="D74" s="125" t="s">
        <v>1682</v>
      </c>
      <c r="E74" s="125" t="b">
        <v>0</v>
      </c>
      <c r="F74" s="125" t="b">
        <v>0</v>
      </c>
      <c r="G74" s="125" t="b">
        <v>0</v>
      </c>
    </row>
    <row r="75" spans="1:7" ht="15">
      <c r="A75" s="127" t="s">
        <v>1706</v>
      </c>
      <c r="B75" s="125">
        <v>2</v>
      </c>
      <c r="C75" s="129">
        <v>0.003339787015918944</v>
      </c>
      <c r="D75" s="125" t="s">
        <v>1682</v>
      </c>
      <c r="E75" s="125" t="b">
        <v>0</v>
      </c>
      <c r="F75" s="125" t="b">
        <v>0</v>
      </c>
      <c r="G75" s="125" t="b">
        <v>0</v>
      </c>
    </row>
    <row r="76" spans="1:7" ht="15">
      <c r="A76" s="127" t="s">
        <v>1707</v>
      </c>
      <c r="B76" s="125">
        <v>2</v>
      </c>
      <c r="C76" s="129">
        <v>0.003339787015918944</v>
      </c>
      <c r="D76" s="125" t="s">
        <v>1682</v>
      </c>
      <c r="E76" s="125" t="b">
        <v>0</v>
      </c>
      <c r="F76" s="125" t="b">
        <v>0</v>
      </c>
      <c r="G76" s="125" t="b">
        <v>0</v>
      </c>
    </row>
    <row r="77" spans="1:7" ht="15">
      <c r="A77" s="127" t="s">
        <v>1708</v>
      </c>
      <c r="B77" s="125">
        <v>2</v>
      </c>
      <c r="C77" s="129">
        <v>0.003339787015918944</v>
      </c>
      <c r="D77" s="125" t="s">
        <v>1682</v>
      </c>
      <c r="E77" s="125" t="b">
        <v>0</v>
      </c>
      <c r="F77" s="125" t="b">
        <v>0</v>
      </c>
      <c r="G77" s="125" t="b">
        <v>0</v>
      </c>
    </row>
    <row r="78" spans="1:7" ht="15">
      <c r="A78" s="127" t="s">
        <v>1709</v>
      </c>
      <c r="B78" s="125">
        <v>2</v>
      </c>
      <c r="C78" s="129">
        <v>0.003339787015918944</v>
      </c>
      <c r="D78" s="125" t="s">
        <v>1682</v>
      </c>
      <c r="E78" s="125" t="b">
        <v>0</v>
      </c>
      <c r="F78" s="125" t="b">
        <v>0</v>
      </c>
      <c r="G78" s="125" t="b">
        <v>0</v>
      </c>
    </row>
    <row r="79" spans="1:7" ht="15">
      <c r="A79" s="127" t="s">
        <v>1710</v>
      </c>
      <c r="B79" s="125">
        <v>2</v>
      </c>
      <c r="C79" s="129">
        <v>0.003339787015918944</v>
      </c>
      <c r="D79" s="125" t="s">
        <v>1682</v>
      </c>
      <c r="E79" s="125" t="b">
        <v>0</v>
      </c>
      <c r="F79" s="125" t="b">
        <v>0</v>
      </c>
      <c r="G79" s="125" t="b">
        <v>0</v>
      </c>
    </row>
    <row r="80" spans="1:7" ht="15">
      <c r="A80" s="127" t="s">
        <v>1711</v>
      </c>
      <c r="B80" s="125">
        <v>2</v>
      </c>
      <c r="C80" s="129">
        <v>0.003339787015918944</v>
      </c>
      <c r="D80" s="125" t="s">
        <v>1682</v>
      </c>
      <c r="E80" s="125" t="b">
        <v>0</v>
      </c>
      <c r="F80" s="125" t="b">
        <v>0</v>
      </c>
      <c r="G80" s="125" t="b">
        <v>0</v>
      </c>
    </row>
    <row r="81" spans="1:7" ht="15">
      <c r="A81" s="127" t="s">
        <v>1712</v>
      </c>
      <c r="B81" s="125">
        <v>2</v>
      </c>
      <c r="C81" s="129">
        <v>0.003339787015918944</v>
      </c>
      <c r="D81" s="125" t="s">
        <v>1682</v>
      </c>
      <c r="E81" s="125" t="b">
        <v>0</v>
      </c>
      <c r="F81" s="125" t="b">
        <v>0</v>
      </c>
      <c r="G81" s="125" t="b">
        <v>0</v>
      </c>
    </row>
    <row r="82" spans="1:7" ht="15">
      <c r="A82" s="127" t="s">
        <v>1544</v>
      </c>
      <c r="B82" s="125">
        <v>2</v>
      </c>
      <c r="C82" s="129">
        <v>0.003339787015918944</v>
      </c>
      <c r="D82" s="125" t="s">
        <v>1682</v>
      </c>
      <c r="E82" s="125" t="b">
        <v>0</v>
      </c>
      <c r="F82" s="125" t="b">
        <v>0</v>
      </c>
      <c r="G82" s="125" t="b">
        <v>0</v>
      </c>
    </row>
    <row r="83" spans="1:7" ht="15">
      <c r="A83" s="127" t="s">
        <v>1713</v>
      </c>
      <c r="B83" s="125">
        <v>2</v>
      </c>
      <c r="C83" s="129">
        <v>0.003339787015918944</v>
      </c>
      <c r="D83" s="125" t="s">
        <v>1682</v>
      </c>
      <c r="E83" s="125" t="b">
        <v>0</v>
      </c>
      <c r="F83" s="125" t="b">
        <v>0</v>
      </c>
      <c r="G83" s="125" t="b">
        <v>0</v>
      </c>
    </row>
    <row r="84" spans="1:7" ht="15">
      <c r="A84" s="127" t="s">
        <v>1543</v>
      </c>
      <c r="B84" s="125">
        <v>2</v>
      </c>
      <c r="C84" s="129">
        <v>0.003339787015918944</v>
      </c>
      <c r="D84" s="125" t="s">
        <v>1682</v>
      </c>
      <c r="E84" s="125" t="b">
        <v>0</v>
      </c>
      <c r="F84" s="125" t="b">
        <v>0</v>
      </c>
      <c r="G84" s="125" t="b">
        <v>0</v>
      </c>
    </row>
    <row r="85" spans="1:7" ht="15">
      <c r="A85" s="127" t="s">
        <v>1714</v>
      </c>
      <c r="B85" s="125">
        <v>2</v>
      </c>
      <c r="C85" s="129">
        <v>0.003339787015918944</v>
      </c>
      <c r="D85" s="125" t="s">
        <v>1682</v>
      </c>
      <c r="E85" s="125" t="b">
        <v>0</v>
      </c>
      <c r="F85" s="125" t="b">
        <v>0</v>
      </c>
      <c r="G85" s="125" t="b">
        <v>0</v>
      </c>
    </row>
    <row r="86" spans="1:7" ht="15">
      <c r="A86" s="127" t="s">
        <v>1715</v>
      </c>
      <c r="B86" s="125">
        <v>2</v>
      </c>
      <c r="C86" s="129">
        <v>0.003339787015918944</v>
      </c>
      <c r="D86" s="125" t="s">
        <v>1682</v>
      </c>
      <c r="E86" s="125" t="b">
        <v>0</v>
      </c>
      <c r="F86" s="125" t="b">
        <v>0</v>
      </c>
      <c r="G86" s="125" t="b">
        <v>0</v>
      </c>
    </row>
    <row r="87" spans="1:7" ht="15">
      <c r="A87" s="127" t="s">
        <v>1716</v>
      </c>
      <c r="B87" s="125">
        <v>2</v>
      </c>
      <c r="C87" s="129">
        <v>0.003339787015918944</v>
      </c>
      <c r="D87" s="125" t="s">
        <v>1682</v>
      </c>
      <c r="E87" s="125" t="b">
        <v>0</v>
      </c>
      <c r="F87" s="125" t="b">
        <v>0</v>
      </c>
      <c r="G87" s="125" t="b">
        <v>0</v>
      </c>
    </row>
    <row r="88" spans="1:7" ht="15">
      <c r="A88" s="127" t="s">
        <v>1717</v>
      </c>
      <c r="B88" s="125">
        <v>2</v>
      </c>
      <c r="C88" s="129">
        <v>0.003339787015918944</v>
      </c>
      <c r="D88" s="125" t="s">
        <v>1682</v>
      </c>
      <c r="E88" s="125" t="b">
        <v>0</v>
      </c>
      <c r="F88" s="125" t="b">
        <v>0</v>
      </c>
      <c r="G88" s="125" t="b">
        <v>0</v>
      </c>
    </row>
    <row r="89" spans="1:7" ht="15">
      <c r="A89" s="127" t="s">
        <v>1718</v>
      </c>
      <c r="B89" s="125">
        <v>2</v>
      </c>
      <c r="C89" s="129">
        <v>0.003339787015918944</v>
      </c>
      <c r="D89" s="125" t="s">
        <v>1682</v>
      </c>
      <c r="E89" s="125" t="b">
        <v>0</v>
      </c>
      <c r="F89" s="125" t="b">
        <v>0</v>
      </c>
      <c r="G89" s="125" t="b">
        <v>0</v>
      </c>
    </row>
    <row r="90" spans="1:7" ht="15">
      <c r="A90" s="127" t="s">
        <v>1540</v>
      </c>
      <c r="B90" s="125">
        <v>2</v>
      </c>
      <c r="C90" s="129">
        <v>0.003339787015918944</v>
      </c>
      <c r="D90" s="125" t="s">
        <v>1682</v>
      </c>
      <c r="E90" s="125" t="b">
        <v>0</v>
      </c>
      <c r="F90" s="125" t="b">
        <v>0</v>
      </c>
      <c r="G90" s="125" t="b">
        <v>0</v>
      </c>
    </row>
    <row r="91" spans="1:7" ht="15">
      <c r="A91" s="127" t="s">
        <v>1573</v>
      </c>
      <c r="B91" s="125">
        <v>2</v>
      </c>
      <c r="C91" s="129">
        <v>0.003339787015918944</v>
      </c>
      <c r="D91" s="125" t="s">
        <v>1682</v>
      </c>
      <c r="E91" s="125" t="b">
        <v>0</v>
      </c>
      <c r="F91" s="125" t="b">
        <v>0</v>
      </c>
      <c r="G91" s="125" t="b">
        <v>0</v>
      </c>
    </row>
    <row r="92" spans="1:7" ht="15">
      <c r="A92" s="127" t="s">
        <v>1719</v>
      </c>
      <c r="B92" s="125">
        <v>2</v>
      </c>
      <c r="C92" s="129">
        <v>0.003339787015918944</v>
      </c>
      <c r="D92" s="125" t="s">
        <v>1682</v>
      </c>
      <c r="E92" s="125" t="b">
        <v>0</v>
      </c>
      <c r="F92" s="125" t="b">
        <v>0</v>
      </c>
      <c r="G92" s="125" t="b">
        <v>0</v>
      </c>
    </row>
    <row r="93" spans="1:7" ht="15">
      <c r="A93" s="127" t="s">
        <v>1720</v>
      </c>
      <c r="B93" s="125">
        <v>2</v>
      </c>
      <c r="C93" s="129">
        <v>0.003339787015918944</v>
      </c>
      <c r="D93" s="125" t="s">
        <v>1682</v>
      </c>
      <c r="E93" s="125" t="b">
        <v>0</v>
      </c>
      <c r="F93" s="125" t="b">
        <v>0</v>
      </c>
      <c r="G93" s="125" t="b">
        <v>0</v>
      </c>
    </row>
    <row r="94" spans="1:7" ht="15">
      <c r="A94" s="127" t="s">
        <v>1721</v>
      </c>
      <c r="B94" s="125">
        <v>2</v>
      </c>
      <c r="C94" s="129">
        <v>0.003339787015918944</v>
      </c>
      <c r="D94" s="125" t="s">
        <v>1682</v>
      </c>
      <c r="E94" s="125" t="b">
        <v>0</v>
      </c>
      <c r="F94" s="125" t="b">
        <v>0</v>
      </c>
      <c r="G94" s="125" t="b">
        <v>0</v>
      </c>
    </row>
    <row r="95" spans="1:7" ht="15">
      <c r="A95" s="127" t="s">
        <v>263</v>
      </c>
      <c r="B95" s="125">
        <v>2</v>
      </c>
      <c r="C95" s="129">
        <v>0.003339787015918944</v>
      </c>
      <c r="D95" s="125" t="s">
        <v>1682</v>
      </c>
      <c r="E95" s="125" t="b">
        <v>0</v>
      </c>
      <c r="F95" s="125" t="b">
        <v>0</v>
      </c>
      <c r="G95" s="125" t="b">
        <v>0</v>
      </c>
    </row>
    <row r="96" spans="1:7" ht="15">
      <c r="A96" s="127" t="s">
        <v>1722</v>
      </c>
      <c r="B96" s="125">
        <v>2</v>
      </c>
      <c r="C96" s="129">
        <v>0.003339787015918944</v>
      </c>
      <c r="D96" s="125" t="s">
        <v>1682</v>
      </c>
      <c r="E96" s="125" t="b">
        <v>0</v>
      </c>
      <c r="F96" s="125" t="b">
        <v>0</v>
      </c>
      <c r="G96" s="125" t="b">
        <v>0</v>
      </c>
    </row>
    <row r="97" spans="1:7" ht="15">
      <c r="A97" s="127" t="s">
        <v>1723</v>
      </c>
      <c r="B97" s="125">
        <v>2</v>
      </c>
      <c r="C97" s="129">
        <v>0.003339787015918944</v>
      </c>
      <c r="D97" s="125" t="s">
        <v>1682</v>
      </c>
      <c r="E97" s="125" t="b">
        <v>0</v>
      </c>
      <c r="F97" s="125" t="b">
        <v>0</v>
      </c>
      <c r="G97" s="125" t="b">
        <v>0</v>
      </c>
    </row>
    <row r="98" spans="1:7" ht="15">
      <c r="A98" s="127" t="s">
        <v>1724</v>
      </c>
      <c r="B98" s="125">
        <v>2</v>
      </c>
      <c r="C98" s="129">
        <v>0.003339787015918944</v>
      </c>
      <c r="D98" s="125" t="s">
        <v>1682</v>
      </c>
      <c r="E98" s="125" t="b">
        <v>0</v>
      </c>
      <c r="F98" s="125" t="b">
        <v>0</v>
      </c>
      <c r="G98" s="125" t="b">
        <v>0</v>
      </c>
    </row>
    <row r="99" spans="1:7" ht="15">
      <c r="A99" s="127" t="s">
        <v>1725</v>
      </c>
      <c r="B99" s="125">
        <v>2</v>
      </c>
      <c r="C99" s="129">
        <v>0.003339787015918944</v>
      </c>
      <c r="D99" s="125" t="s">
        <v>1682</v>
      </c>
      <c r="E99" s="125" t="b">
        <v>0</v>
      </c>
      <c r="F99" s="125" t="b">
        <v>0</v>
      </c>
      <c r="G99" s="125" t="b">
        <v>0</v>
      </c>
    </row>
    <row r="100" spans="1:7" ht="15">
      <c r="A100" s="127" t="s">
        <v>1542</v>
      </c>
      <c r="B100" s="125">
        <v>2</v>
      </c>
      <c r="C100" s="129">
        <v>0.003339787015918944</v>
      </c>
      <c r="D100" s="125" t="s">
        <v>1682</v>
      </c>
      <c r="E100" s="125" t="b">
        <v>0</v>
      </c>
      <c r="F100" s="125" t="b">
        <v>0</v>
      </c>
      <c r="G100" s="125" t="b">
        <v>0</v>
      </c>
    </row>
    <row r="101" spans="1:7" ht="15">
      <c r="A101" s="127" t="s">
        <v>1726</v>
      </c>
      <c r="B101" s="125">
        <v>2</v>
      </c>
      <c r="C101" s="129">
        <v>0.003339787015918944</v>
      </c>
      <c r="D101" s="125" t="s">
        <v>1682</v>
      </c>
      <c r="E101" s="125" t="b">
        <v>0</v>
      </c>
      <c r="F101" s="125" t="b">
        <v>0</v>
      </c>
      <c r="G101" s="125" t="b">
        <v>0</v>
      </c>
    </row>
    <row r="102" spans="1:7" ht="15">
      <c r="A102" s="127" t="s">
        <v>1727</v>
      </c>
      <c r="B102" s="125">
        <v>2</v>
      </c>
      <c r="C102" s="129">
        <v>0.003339787015918944</v>
      </c>
      <c r="D102" s="125" t="s">
        <v>1682</v>
      </c>
      <c r="E102" s="125" t="b">
        <v>0</v>
      </c>
      <c r="F102" s="125" t="b">
        <v>0</v>
      </c>
      <c r="G102" s="125" t="b">
        <v>0</v>
      </c>
    </row>
    <row r="103" spans="1:7" ht="15">
      <c r="A103" s="127" t="s">
        <v>1728</v>
      </c>
      <c r="B103" s="125">
        <v>2</v>
      </c>
      <c r="C103" s="129">
        <v>0.003339787015918944</v>
      </c>
      <c r="D103" s="125" t="s">
        <v>1682</v>
      </c>
      <c r="E103" s="125" t="b">
        <v>0</v>
      </c>
      <c r="F103" s="125" t="b">
        <v>0</v>
      </c>
      <c r="G103" s="125" t="b">
        <v>0</v>
      </c>
    </row>
    <row r="104" spans="1:7" ht="15">
      <c r="A104" s="127" t="s">
        <v>1729</v>
      </c>
      <c r="B104" s="125">
        <v>2</v>
      </c>
      <c r="C104" s="129">
        <v>0.003339787015918944</v>
      </c>
      <c r="D104" s="125" t="s">
        <v>1682</v>
      </c>
      <c r="E104" s="125" t="b">
        <v>0</v>
      </c>
      <c r="F104" s="125" t="b">
        <v>0</v>
      </c>
      <c r="G104" s="125" t="b">
        <v>0</v>
      </c>
    </row>
    <row r="105" spans="1:7" ht="15">
      <c r="A105" s="127" t="s">
        <v>555</v>
      </c>
      <c r="B105" s="125">
        <v>2</v>
      </c>
      <c r="C105" s="129">
        <v>0.003339787015918944</v>
      </c>
      <c r="D105" s="125" t="s">
        <v>1682</v>
      </c>
      <c r="E105" s="125" t="b">
        <v>0</v>
      </c>
      <c r="F105" s="125" t="b">
        <v>0</v>
      </c>
      <c r="G105" s="125" t="b">
        <v>0</v>
      </c>
    </row>
    <row r="106" spans="1:7" ht="15">
      <c r="A106" s="127" t="s">
        <v>182</v>
      </c>
      <c r="B106" s="125">
        <v>2</v>
      </c>
      <c r="C106" s="129">
        <v>0.003339787015918944</v>
      </c>
      <c r="D106" s="125" t="s">
        <v>1682</v>
      </c>
      <c r="E106" s="125" t="b">
        <v>0</v>
      </c>
      <c r="F106" s="125" t="b">
        <v>0</v>
      </c>
      <c r="G106" s="125" t="b">
        <v>0</v>
      </c>
    </row>
    <row r="107" spans="1:7" ht="15">
      <c r="A107" s="127" t="s">
        <v>1730</v>
      </c>
      <c r="B107" s="125">
        <v>2</v>
      </c>
      <c r="C107" s="129">
        <v>0.003339787015918944</v>
      </c>
      <c r="D107" s="125" t="s">
        <v>1682</v>
      </c>
      <c r="E107" s="125" t="b">
        <v>0</v>
      </c>
      <c r="F107" s="125" t="b">
        <v>0</v>
      </c>
      <c r="G107" s="125" t="b">
        <v>0</v>
      </c>
    </row>
    <row r="108" spans="1:7" ht="15">
      <c r="A108" s="127" t="s">
        <v>1731</v>
      </c>
      <c r="B108" s="125">
        <v>2</v>
      </c>
      <c r="C108" s="129">
        <v>0.003339787015918944</v>
      </c>
      <c r="D108" s="125" t="s">
        <v>1682</v>
      </c>
      <c r="E108" s="125" t="b">
        <v>0</v>
      </c>
      <c r="F108" s="125" t="b">
        <v>0</v>
      </c>
      <c r="G108" s="125" t="b">
        <v>0</v>
      </c>
    </row>
    <row r="109" spans="1:7" ht="15">
      <c r="A109" s="127" t="s">
        <v>1547</v>
      </c>
      <c r="B109" s="125">
        <v>2</v>
      </c>
      <c r="C109" s="129">
        <v>0.003339787015918944</v>
      </c>
      <c r="D109" s="125" t="s">
        <v>1682</v>
      </c>
      <c r="E109" s="125" t="b">
        <v>0</v>
      </c>
      <c r="F109" s="125" t="b">
        <v>0</v>
      </c>
      <c r="G109" s="125" t="b">
        <v>0</v>
      </c>
    </row>
    <row r="110" spans="1:7" ht="15">
      <c r="A110" s="127" t="s">
        <v>1732</v>
      </c>
      <c r="B110" s="125">
        <v>2</v>
      </c>
      <c r="C110" s="129">
        <v>0.003339787015918944</v>
      </c>
      <c r="D110" s="125" t="s">
        <v>1682</v>
      </c>
      <c r="E110" s="125" t="b">
        <v>0</v>
      </c>
      <c r="F110" s="125" t="b">
        <v>0</v>
      </c>
      <c r="G110" s="125" t="b">
        <v>0</v>
      </c>
    </row>
    <row r="111" spans="1:7" ht="15">
      <c r="A111" s="127" t="s">
        <v>1733</v>
      </c>
      <c r="B111" s="125">
        <v>2</v>
      </c>
      <c r="C111" s="129">
        <v>0.003339787015918944</v>
      </c>
      <c r="D111" s="125" t="s">
        <v>1682</v>
      </c>
      <c r="E111" s="125" t="b">
        <v>0</v>
      </c>
      <c r="F111" s="125" t="b">
        <v>0</v>
      </c>
      <c r="G111" s="125" t="b">
        <v>0</v>
      </c>
    </row>
    <row r="112" spans="1:7" ht="15">
      <c r="A112" s="127" t="s">
        <v>1734</v>
      </c>
      <c r="B112" s="125">
        <v>2</v>
      </c>
      <c r="C112" s="129">
        <v>0.003339787015918944</v>
      </c>
      <c r="D112" s="125" t="s">
        <v>1682</v>
      </c>
      <c r="E112" s="125" t="b">
        <v>0</v>
      </c>
      <c r="F112" s="125" t="b">
        <v>0</v>
      </c>
      <c r="G112" s="125" t="b">
        <v>0</v>
      </c>
    </row>
    <row r="113" spans="1:7" ht="15">
      <c r="A113" s="127" t="s">
        <v>1735</v>
      </c>
      <c r="B113" s="125">
        <v>2</v>
      </c>
      <c r="C113" s="129">
        <v>0.003339787015918944</v>
      </c>
      <c r="D113" s="125" t="s">
        <v>1682</v>
      </c>
      <c r="E113" s="125" t="b">
        <v>0</v>
      </c>
      <c r="F113" s="125" t="b">
        <v>0</v>
      </c>
      <c r="G113" s="125" t="b">
        <v>0</v>
      </c>
    </row>
    <row r="114" spans="1:7" ht="15">
      <c r="A114" s="127" t="s">
        <v>1736</v>
      </c>
      <c r="B114" s="125">
        <v>2</v>
      </c>
      <c r="C114" s="129">
        <v>0.003339787015918944</v>
      </c>
      <c r="D114" s="125" t="s">
        <v>1682</v>
      </c>
      <c r="E114" s="125" t="b">
        <v>0</v>
      </c>
      <c r="F114" s="125" t="b">
        <v>0</v>
      </c>
      <c r="G114" s="125" t="b">
        <v>0</v>
      </c>
    </row>
    <row r="115" spans="1:7" ht="15">
      <c r="A115" s="127" t="s">
        <v>387</v>
      </c>
      <c r="B115" s="125">
        <v>2</v>
      </c>
      <c r="C115" s="129">
        <v>0.003339787015918944</v>
      </c>
      <c r="D115" s="125" t="s">
        <v>1682</v>
      </c>
      <c r="E115" s="125" t="b">
        <v>0</v>
      </c>
      <c r="F115" s="125" t="b">
        <v>0</v>
      </c>
      <c r="G115" s="125" t="b">
        <v>0</v>
      </c>
    </row>
    <row r="116" spans="1:7" ht="15">
      <c r="A116" s="127" t="s">
        <v>1737</v>
      </c>
      <c r="B116" s="125">
        <v>2</v>
      </c>
      <c r="C116" s="129">
        <v>0.003339787015918944</v>
      </c>
      <c r="D116" s="125" t="s">
        <v>1682</v>
      </c>
      <c r="E116" s="125" t="b">
        <v>0</v>
      </c>
      <c r="F116" s="125" t="b">
        <v>0</v>
      </c>
      <c r="G116" s="125" t="b">
        <v>0</v>
      </c>
    </row>
    <row r="117" spans="1:7" ht="15">
      <c r="A117" s="127" t="s">
        <v>1738</v>
      </c>
      <c r="B117" s="125">
        <v>2</v>
      </c>
      <c r="C117" s="129">
        <v>0.003339787015918944</v>
      </c>
      <c r="D117" s="125" t="s">
        <v>1682</v>
      </c>
      <c r="E117" s="125" t="b">
        <v>0</v>
      </c>
      <c r="F117" s="125" t="b">
        <v>0</v>
      </c>
      <c r="G117" s="125" t="b">
        <v>0</v>
      </c>
    </row>
    <row r="118" spans="1:7" ht="15">
      <c r="A118" s="127" t="s">
        <v>318</v>
      </c>
      <c r="B118" s="125">
        <v>2</v>
      </c>
      <c r="C118" s="129">
        <v>0.003339787015918944</v>
      </c>
      <c r="D118" s="125" t="s">
        <v>1682</v>
      </c>
      <c r="E118" s="125" t="b">
        <v>0</v>
      </c>
      <c r="F118" s="125" t="b">
        <v>0</v>
      </c>
      <c r="G118" s="125" t="b">
        <v>0</v>
      </c>
    </row>
    <row r="119" spans="1:7" ht="15">
      <c r="A119" s="127" t="s">
        <v>1739</v>
      </c>
      <c r="B119" s="125">
        <v>2</v>
      </c>
      <c r="C119" s="129">
        <v>0.003339787015918944</v>
      </c>
      <c r="D119" s="125" t="s">
        <v>1682</v>
      </c>
      <c r="E119" s="125" t="b">
        <v>0</v>
      </c>
      <c r="F119" s="125" t="b">
        <v>0</v>
      </c>
      <c r="G119" s="125" t="b">
        <v>0</v>
      </c>
    </row>
    <row r="120" spans="1:7" ht="15">
      <c r="A120" s="127" t="s">
        <v>1740</v>
      </c>
      <c r="B120" s="125">
        <v>2</v>
      </c>
      <c r="C120" s="129">
        <v>0.003339787015918944</v>
      </c>
      <c r="D120" s="125" t="s">
        <v>1682</v>
      </c>
      <c r="E120" s="125" t="b">
        <v>0</v>
      </c>
      <c r="F120" s="125" t="b">
        <v>0</v>
      </c>
      <c r="G120" s="125" t="b">
        <v>0</v>
      </c>
    </row>
    <row r="121" spans="1:7" ht="15">
      <c r="A121" s="127" t="s">
        <v>1741</v>
      </c>
      <c r="B121" s="125">
        <v>2</v>
      </c>
      <c r="C121" s="129">
        <v>0.003339787015918944</v>
      </c>
      <c r="D121" s="125" t="s">
        <v>1682</v>
      </c>
      <c r="E121" s="125" t="b">
        <v>0</v>
      </c>
      <c r="F121" s="125" t="b">
        <v>0</v>
      </c>
      <c r="G121" s="125" t="b">
        <v>0</v>
      </c>
    </row>
    <row r="122" spans="1:7" ht="15">
      <c r="A122" s="127" t="s">
        <v>1742</v>
      </c>
      <c r="B122" s="125">
        <v>2</v>
      </c>
      <c r="C122" s="129">
        <v>0.003339787015918944</v>
      </c>
      <c r="D122" s="125" t="s">
        <v>1682</v>
      </c>
      <c r="E122" s="125" t="b">
        <v>0</v>
      </c>
      <c r="F122" s="125" t="b">
        <v>0</v>
      </c>
      <c r="G122" s="125" t="b">
        <v>0</v>
      </c>
    </row>
    <row r="123" spans="1:7" ht="15">
      <c r="A123" s="127" t="s">
        <v>1743</v>
      </c>
      <c r="B123" s="125">
        <v>2</v>
      </c>
      <c r="C123" s="129">
        <v>0.003339787015918944</v>
      </c>
      <c r="D123" s="125" t="s">
        <v>1682</v>
      </c>
      <c r="E123" s="125" t="b">
        <v>0</v>
      </c>
      <c r="F123" s="125" t="b">
        <v>0</v>
      </c>
      <c r="G123" s="125" t="b">
        <v>0</v>
      </c>
    </row>
    <row r="124" spans="1:7" ht="15">
      <c r="A124" s="127" t="s">
        <v>1744</v>
      </c>
      <c r="B124" s="125">
        <v>2</v>
      </c>
      <c r="C124" s="129">
        <v>0.003339787015918944</v>
      </c>
      <c r="D124" s="125" t="s">
        <v>1682</v>
      </c>
      <c r="E124" s="125" t="b">
        <v>0</v>
      </c>
      <c r="F124" s="125" t="b">
        <v>0</v>
      </c>
      <c r="G124" s="125" t="b">
        <v>0</v>
      </c>
    </row>
    <row r="125" spans="1:7" ht="15">
      <c r="A125" s="127" t="s">
        <v>1745</v>
      </c>
      <c r="B125" s="125">
        <v>2</v>
      </c>
      <c r="C125" s="129">
        <v>0.003339787015918944</v>
      </c>
      <c r="D125" s="125" t="s">
        <v>1682</v>
      </c>
      <c r="E125" s="125" t="b">
        <v>0</v>
      </c>
      <c r="F125" s="125" t="b">
        <v>0</v>
      </c>
      <c r="G125" s="125" t="b">
        <v>0</v>
      </c>
    </row>
    <row r="126" spans="1:7" ht="15">
      <c r="A126" s="127" t="s">
        <v>1746</v>
      </c>
      <c r="B126" s="125">
        <v>2</v>
      </c>
      <c r="C126" s="129">
        <v>0.003339787015918944</v>
      </c>
      <c r="D126" s="125" t="s">
        <v>1682</v>
      </c>
      <c r="E126" s="125" t="b">
        <v>0</v>
      </c>
      <c r="F126" s="125" t="b">
        <v>0</v>
      </c>
      <c r="G126" s="125" t="b">
        <v>0</v>
      </c>
    </row>
    <row r="127" spans="1:7" ht="15">
      <c r="A127" s="127" t="s">
        <v>1747</v>
      </c>
      <c r="B127" s="125">
        <v>2</v>
      </c>
      <c r="C127" s="129">
        <v>0.003339787015918944</v>
      </c>
      <c r="D127" s="125" t="s">
        <v>1682</v>
      </c>
      <c r="E127" s="125" t="b">
        <v>0</v>
      </c>
      <c r="F127" s="125" t="b">
        <v>0</v>
      </c>
      <c r="G127" s="125" t="b">
        <v>0</v>
      </c>
    </row>
    <row r="128" spans="1:7" ht="15">
      <c r="A128" s="127" t="s">
        <v>1748</v>
      </c>
      <c r="B128" s="125">
        <v>2</v>
      </c>
      <c r="C128" s="129">
        <v>0.003339787015918944</v>
      </c>
      <c r="D128" s="125" t="s">
        <v>1682</v>
      </c>
      <c r="E128" s="125" t="b">
        <v>0</v>
      </c>
      <c r="F128" s="125" t="b">
        <v>0</v>
      </c>
      <c r="G128" s="125" t="b">
        <v>0</v>
      </c>
    </row>
    <row r="129" spans="1:7" ht="15">
      <c r="A129" s="127" t="s">
        <v>1749</v>
      </c>
      <c r="B129" s="125">
        <v>2</v>
      </c>
      <c r="C129" s="129">
        <v>0.003339787015918944</v>
      </c>
      <c r="D129" s="125" t="s">
        <v>1682</v>
      </c>
      <c r="E129" s="125" t="b">
        <v>0</v>
      </c>
      <c r="F129" s="125" t="b">
        <v>0</v>
      </c>
      <c r="G129" s="125" t="b">
        <v>0</v>
      </c>
    </row>
    <row r="130" spans="1:7" ht="15">
      <c r="A130" s="127" t="s">
        <v>1750</v>
      </c>
      <c r="B130" s="125">
        <v>2</v>
      </c>
      <c r="C130" s="129">
        <v>0.003339787015918944</v>
      </c>
      <c r="D130" s="125" t="s">
        <v>1682</v>
      </c>
      <c r="E130" s="125" t="b">
        <v>0</v>
      </c>
      <c r="F130" s="125" t="b">
        <v>0</v>
      </c>
      <c r="G130" s="125" t="b">
        <v>0</v>
      </c>
    </row>
    <row r="131" spans="1:7" ht="15">
      <c r="A131" s="127" t="s">
        <v>1751</v>
      </c>
      <c r="B131" s="125">
        <v>2</v>
      </c>
      <c r="C131" s="129">
        <v>0.003339787015918944</v>
      </c>
      <c r="D131" s="125" t="s">
        <v>1682</v>
      </c>
      <c r="E131" s="125" t="b">
        <v>0</v>
      </c>
      <c r="F131" s="125" t="b">
        <v>0</v>
      </c>
      <c r="G131" s="125" t="b">
        <v>0</v>
      </c>
    </row>
    <row r="132" spans="1:7" ht="15">
      <c r="A132" s="127" t="s">
        <v>1752</v>
      </c>
      <c r="B132" s="125">
        <v>2</v>
      </c>
      <c r="C132" s="129">
        <v>0.003339787015918944</v>
      </c>
      <c r="D132" s="125" t="s">
        <v>1682</v>
      </c>
      <c r="E132" s="125" t="b">
        <v>0</v>
      </c>
      <c r="F132" s="125" t="b">
        <v>0</v>
      </c>
      <c r="G132" s="125" t="b">
        <v>0</v>
      </c>
    </row>
    <row r="133" spans="1:7" ht="15">
      <c r="A133" s="127" t="s">
        <v>1753</v>
      </c>
      <c r="B133" s="125">
        <v>2</v>
      </c>
      <c r="C133" s="129">
        <v>0.003339787015918944</v>
      </c>
      <c r="D133" s="125" t="s">
        <v>1682</v>
      </c>
      <c r="E133" s="125" t="b">
        <v>0</v>
      </c>
      <c r="F133" s="125" t="b">
        <v>0</v>
      </c>
      <c r="G133" s="125" t="b">
        <v>0</v>
      </c>
    </row>
    <row r="134" spans="1:7" ht="15">
      <c r="A134" s="127" t="s">
        <v>1754</v>
      </c>
      <c r="B134" s="125">
        <v>2</v>
      </c>
      <c r="C134" s="129">
        <v>0.003339787015918944</v>
      </c>
      <c r="D134" s="125" t="s">
        <v>1682</v>
      </c>
      <c r="E134" s="125" t="b">
        <v>0</v>
      </c>
      <c r="F134" s="125" t="b">
        <v>0</v>
      </c>
      <c r="G134" s="125" t="b">
        <v>0</v>
      </c>
    </row>
    <row r="135" spans="1:7" ht="15">
      <c r="A135" s="127" t="s">
        <v>1755</v>
      </c>
      <c r="B135" s="125">
        <v>2</v>
      </c>
      <c r="C135" s="129">
        <v>0.003339787015918944</v>
      </c>
      <c r="D135" s="125" t="s">
        <v>1682</v>
      </c>
      <c r="E135" s="125" t="b">
        <v>0</v>
      </c>
      <c r="F135" s="125" t="b">
        <v>0</v>
      </c>
      <c r="G135" s="125" t="b">
        <v>0</v>
      </c>
    </row>
    <row r="136" spans="1:7" ht="15">
      <c r="A136" s="127" t="s">
        <v>1756</v>
      </c>
      <c r="B136" s="125">
        <v>2</v>
      </c>
      <c r="C136" s="129">
        <v>0.003339787015918944</v>
      </c>
      <c r="D136" s="125" t="s">
        <v>1682</v>
      </c>
      <c r="E136" s="125" t="b">
        <v>0</v>
      </c>
      <c r="F136" s="125" t="b">
        <v>0</v>
      </c>
      <c r="G136" s="125" t="b">
        <v>0</v>
      </c>
    </row>
    <row r="137" spans="1:7" ht="15">
      <c r="A137" s="127" t="s">
        <v>1757</v>
      </c>
      <c r="B137" s="125">
        <v>2</v>
      </c>
      <c r="C137" s="129">
        <v>0.003339787015918944</v>
      </c>
      <c r="D137" s="125" t="s">
        <v>1682</v>
      </c>
      <c r="E137" s="125" t="b">
        <v>0</v>
      </c>
      <c r="F137" s="125" t="b">
        <v>0</v>
      </c>
      <c r="G137" s="125" t="b">
        <v>0</v>
      </c>
    </row>
    <row r="138" spans="1:7" ht="15">
      <c r="A138" s="127" t="s">
        <v>1758</v>
      </c>
      <c r="B138" s="125">
        <v>2</v>
      </c>
      <c r="C138" s="129">
        <v>0.003339787015918944</v>
      </c>
      <c r="D138" s="125" t="s">
        <v>1682</v>
      </c>
      <c r="E138" s="125" t="b">
        <v>0</v>
      </c>
      <c r="F138" s="125" t="b">
        <v>0</v>
      </c>
      <c r="G138" s="125" t="b">
        <v>0</v>
      </c>
    </row>
    <row r="139" spans="1:7" ht="15">
      <c r="A139" s="127" t="s">
        <v>1563</v>
      </c>
      <c r="B139" s="125">
        <v>2</v>
      </c>
      <c r="C139" s="129">
        <v>0.003339787015918944</v>
      </c>
      <c r="D139" s="125" t="s">
        <v>1682</v>
      </c>
      <c r="E139" s="125" t="b">
        <v>0</v>
      </c>
      <c r="F139" s="125" t="b">
        <v>0</v>
      </c>
      <c r="G139" s="125" t="b">
        <v>0</v>
      </c>
    </row>
    <row r="140" spans="1:7" ht="15">
      <c r="A140" s="127" t="s">
        <v>1759</v>
      </c>
      <c r="B140" s="125">
        <v>2</v>
      </c>
      <c r="C140" s="129">
        <v>0.003339787015918944</v>
      </c>
      <c r="D140" s="125" t="s">
        <v>1682</v>
      </c>
      <c r="E140" s="125" t="b">
        <v>0</v>
      </c>
      <c r="F140" s="125" t="b">
        <v>0</v>
      </c>
      <c r="G140" s="125" t="b">
        <v>0</v>
      </c>
    </row>
    <row r="141" spans="1:7" ht="15">
      <c r="A141" s="127" t="s">
        <v>1760</v>
      </c>
      <c r="B141" s="125">
        <v>2</v>
      </c>
      <c r="C141" s="129">
        <v>0.003339787015918944</v>
      </c>
      <c r="D141" s="125" t="s">
        <v>1682</v>
      </c>
      <c r="E141" s="125" t="b">
        <v>0</v>
      </c>
      <c r="F141" s="125" t="b">
        <v>0</v>
      </c>
      <c r="G141" s="125" t="b">
        <v>0</v>
      </c>
    </row>
    <row r="142" spans="1:7" ht="15">
      <c r="A142" s="127" t="s">
        <v>1761</v>
      </c>
      <c r="B142" s="125">
        <v>2</v>
      </c>
      <c r="C142" s="129">
        <v>0.003339787015918944</v>
      </c>
      <c r="D142" s="125" t="s">
        <v>1682</v>
      </c>
      <c r="E142" s="125" t="b">
        <v>0</v>
      </c>
      <c r="F142" s="125" t="b">
        <v>0</v>
      </c>
      <c r="G142" s="125" t="b">
        <v>0</v>
      </c>
    </row>
    <row r="143" spans="1:7" ht="15">
      <c r="A143" s="127" t="s">
        <v>1762</v>
      </c>
      <c r="B143" s="125">
        <v>2</v>
      </c>
      <c r="C143" s="129">
        <v>0.003339787015918944</v>
      </c>
      <c r="D143" s="125" t="s">
        <v>1682</v>
      </c>
      <c r="E143" s="125" t="b">
        <v>0</v>
      </c>
      <c r="F143" s="125" t="b">
        <v>0</v>
      </c>
      <c r="G143" s="125" t="b">
        <v>0</v>
      </c>
    </row>
    <row r="144" spans="1:7" ht="15">
      <c r="A144" s="127" t="s">
        <v>1763</v>
      </c>
      <c r="B144" s="125">
        <v>2</v>
      </c>
      <c r="C144" s="129">
        <v>0.003339787015918944</v>
      </c>
      <c r="D144" s="125" t="s">
        <v>1682</v>
      </c>
      <c r="E144" s="125" t="b">
        <v>0</v>
      </c>
      <c r="F144" s="125" t="b">
        <v>0</v>
      </c>
      <c r="G144" s="125" t="b">
        <v>0</v>
      </c>
    </row>
    <row r="145" spans="1:7" ht="15">
      <c r="A145" s="127" t="s">
        <v>1764</v>
      </c>
      <c r="B145" s="125">
        <v>2</v>
      </c>
      <c r="C145" s="129">
        <v>0.003339787015918944</v>
      </c>
      <c r="D145" s="125" t="s">
        <v>1682</v>
      </c>
      <c r="E145" s="125" t="b">
        <v>0</v>
      </c>
      <c r="F145" s="125" t="b">
        <v>0</v>
      </c>
      <c r="G145" s="125" t="b">
        <v>0</v>
      </c>
    </row>
    <row r="146" spans="1:7" ht="15">
      <c r="A146" s="127" t="s">
        <v>1765</v>
      </c>
      <c r="B146" s="125">
        <v>2</v>
      </c>
      <c r="C146" s="129">
        <v>0.003339787015918944</v>
      </c>
      <c r="D146" s="125" t="s">
        <v>1682</v>
      </c>
      <c r="E146" s="125" t="b">
        <v>0</v>
      </c>
      <c r="F146" s="125" t="b">
        <v>0</v>
      </c>
      <c r="G146" s="125" t="b">
        <v>0</v>
      </c>
    </row>
    <row r="147" spans="1:7" ht="15">
      <c r="A147" s="127" t="s">
        <v>1766</v>
      </c>
      <c r="B147" s="125">
        <v>2</v>
      </c>
      <c r="C147" s="129">
        <v>0.003339787015918944</v>
      </c>
      <c r="D147" s="125" t="s">
        <v>1682</v>
      </c>
      <c r="E147" s="125" t="b">
        <v>0</v>
      </c>
      <c r="F147" s="125" t="b">
        <v>0</v>
      </c>
      <c r="G147" s="125" t="b">
        <v>0</v>
      </c>
    </row>
    <row r="148" spans="1:7" ht="15">
      <c r="A148" s="127" t="s">
        <v>1301</v>
      </c>
      <c r="B148" s="125">
        <v>2</v>
      </c>
      <c r="C148" s="129">
        <v>0.003930041909377731</v>
      </c>
      <c r="D148" s="125" t="s">
        <v>1682</v>
      </c>
      <c r="E148" s="125" t="b">
        <v>0</v>
      </c>
      <c r="F148" s="125" t="b">
        <v>0</v>
      </c>
      <c r="G148" s="125" t="b">
        <v>0</v>
      </c>
    </row>
    <row r="149" spans="1:7" ht="15">
      <c r="A149" s="127" t="s">
        <v>1767</v>
      </c>
      <c r="B149" s="125">
        <v>2</v>
      </c>
      <c r="C149" s="129">
        <v>0.003339787015918944</v>
      </c>
      <c r="D149" s="125" t="s">
        <v>1682</v>
      </c>
      <c r="E149" s="125" t="b">
        <v>0</v>
      </c>
      <c r="F149" s="125" t="b">
        <v>0</v>
      </c>
      <c r="G149" s="125" t="b">
        <v>0</v>
      </c>
    </row>
    <row r="150" spans="1:7" ht="15">
      <c r="A150" s="127" t="s">
        <v>1559</v>
      </c>
      <c r="B150" s="125">
        <v>2</v>
      </c>
      <c r="C150" s="129">
        <v>0.003339787015918944</v>
      </c>
      <c r="D150" s="125" t="s">
        <v>1682</v>
      </c>
      <c r="E150" s="125" t="b">
        <v>0</v>
      </c>
      <c r="F150" s="125" t="b">
        <v>0</v>
      </c>
      <c r="G150" s="125" t="b">
        <v>0</v>
      </c>
    </row>
    <row r="151" spans="1:7" ht="15">
      <c r="A151" s="127" t="s">
        <v>1768</v>
      </c>
      <c r="B151" s="125">
        <v>2</v>
      </c>
      <c r="C151" s="129">
        <v>0.003339787015918944</v>
      </c>
      <c r="D151" s="125" t="s">
        <v>1682</v>
      </c>
      <c r="E151" s="125" t="b">
        <v>0</v>
      </c>
      <c r="F151" s="125" t="b">
        <v>0</v>
      </c>
      <c r="G151" s="125" t="b">
        <v>0</v>
      </c>
    </row>
    <row r="152" spans="1:7" ht="15">
      <c r="A152" s="127" t="s">
        <v>1562</v>
      </c>
      <c r="B152" s="125">
        <v>2</v>
      </c>
      <c r="C152" s="129">
        <v>0.003339787015918944</v>
      </c>
      <c r="D152" s="125" t="s">
        <v>1682</v>
      </c>
      <c r="E152" s="125" t="b">
        <v>0</v>
      </c>
      <c r="F152" s="125" t="b">
        <v>0</v>
      </c>
      <c r="G152" s="125" t="b">
        <v>0</v>
      </c>
    </row>
    <row r="153" spans="1:7" ht="15">
      <c r="A153" s="127" t="s">
        <v>1570</v>
      </c>
      <c r="B153" s="125">
        <v>2</v>
      </c>
      <c r="C153" s="129">
        <v>0.003339787015918944</v>
      </c>
      <c r="D153" s="125" t="s">
        <v>1682</v>
      </c>
      <c r="E153" s="125" t="b">
        <v>0</v>
      </c>
      <c r="F153" s="125" t="b">
        <v>0</v>
      </c>
      <c r="G153" s="125" t="b">
        <v>0</v>
      </c>
    </row>
    <row r="154" spans="1:7" ht="15">
      <c r="A154" s="127" t="s">
        <v>1769</v>
      </c>
      <c r="B154" s="125">
        <v>2</v>
      </c>
      <c r="C154" s="129">
        <v>0.003339787015918944</v>
      </c>
      <c r="D154" s="125" t="s">
        <v>1682</v>
      </c>
      <c r="E154" s="125" t="b">
        <v>0</v>
      </c>
      <c r="F154" s="125" t="b">
        <v>0</v>
      </c>
      <c r="G154" s="125" t="b">
        <v>0</v>
      </c>
    </row>
    <row r="155" spans="1:7" ht="15">
      <c r="A155" s="127" t="s">
        <v>1770</v>
      </c>
      <c r="B155" s="125">
        <v>2</v>
      </c>
      <c r="C155" s="129">
        <v>0.003339787015918944</v>
      </c>
      <c r="D155" s="125" t="s">
        <v>1682</v>
      </c>
      <c r="E155" s="125" t="b">
        <v>0</v>
      </c>
      <c r="F155" s="125" t="b">
        <v>0</v>
      </c>
      <c r="G155" s="125" t="b">
        <v>0</v>
      </c>
    </row>
    <row r="156" spans="1:7" ht="15">
      <c r="A156" s="127" t="s">
        <v>181</v>
      </c>
      <c r="B156" s="125">
        <v>2</v>
      </c>
      <c r="C156" s="129">
        <v>0.003339787015918944</v>
      </c>
      <c r="D156" s="125" t="s">
        <v>1682</v>
      </c>
      <c r="E156" s="125" t="b">
        <v>0</v>
      </c>
      <c r="F156" s="125" t="b">
        <v>0</v>
      </c>
      <c r="G156" s="125" t="b">
        <v>0</v>
      </c>
    </row>
    <row r="157" spans="1:7" ht="15">
      <c r="A157" s="127" t="s">
        <v>1771</v>
      </c>
      <c r="B157" s="125">
        <v>2</v>
      </c>
      <c r="C157" s="129">
        <v>0.003339787015918944</v>
      </c>
      <c r="D157" s="125" t="s">
        <v>1682</v>
      </c>
      <c r="E157" s="125" t="b">
        <v>0</v>
      </c>
      <c r="F157" s="125" t="b">
        <v>0</v>
      </c>
      <c r="G157" s="125" t="b">
        <v>0</v>
      </c>
    </row>
    <row r="158" spans="1:7" ht="15">
      <c r="A158" s="127" t="s">
        <v>1772</v>
      </c>
      <c r="B158" s="125">
        <v>2</v>
      </c>
      <c r="C158" s="129">
        <v>0.003339787015918944</v>
      </c>
      <c r="D158" s="125" t="s">
        <v>1682</v>
      </c>
      <c r="E158" s="125" t="b">
        <v>0</v>
      </c>
      <c r="F158" s="125" t="b">
        <v>0</v>
      </c>
      <c r="G158" s="125" t="b">
        <v>0</v>
      </c>
    </row>
    <row r="159" spans="1:7" ht="15">
      <c r="A159" s="127" t="s">
        <v>1773</v>
      </c>
      <c r="B159" s="125">
        <v>2</v>
      </c>
      <c r="C159" s="129">
        <v>0.003339787015918944</v>
      </c>
      <c r="D159" s="125" t="s">
        <v>1682</v>
      </c>
      <c r="E159" s="125" t="b">
        <v>0</v>
      </c>
      <c r="F159" s="125" t="b">
        <v>0</v>
      </c>
      <c r="G159" s="125" t="b">
        <v>0</v>
      </c>
    </row>
    <row r="160" spans="1:7" ht="15">
      <c r="A160" s="127" t="s">
        <v>1774</v>
      </c>
      <c r="B160" s="125">
        <v>2</v>
      </c>
      <c r="C160" s="129">
        <v>0.003339787015918944</v>
      </c>
      <c r="D160" s="125" t="s">
        <v>1682</v>
      </c>
      <c r="E160" s="125" t="b">
        <v>0</v>
      </c>
      <c r="F160" s="125" t="b">
        <v>0</v>
      </c>
      <c r="G160" s="125" t="b">
        <v>0</v>
      </c>
    </row>
    <row r="161" spans="1:7" ht="15">
      <c r="A161" s="127" t="s">
        <v>1775</v>
      </c>
      <c r="B161" s="125">
        <v>2</v>
      </c>
      <c r="C161" s="129">
        <v>0.003339787015918944</v>
      </c>
      <c r="D161" s="125" t="s">
        <v>1682</v>
      </c>
      <c r="E161" s="125" t="b">
        <v>0</v>
      </c>
      <c r="F161" s="125" t="b">
        <v>0</v>
      </c>
      <c r="G161" s="125" t="b">
        <v>0</v>
      </c>
    </row>
    <row r="162" spans="1:7" ht="15">
      <c r="A162" s="127" t="s">
        <v>1776</v>
      </c>
      <c r="B162" s="125">
        <v>2</v>
      </c>
      <c r="C162" s="129">
        <v>0.003339787015918944</v>
      </c>
      <c r="D162" s="125" t="s">
        <v>1682</v>
      </c>
      <c r="E162" s="125" t="b">
        <v>0</v>
      </c>
      <c r="F162" s="125" t="b">
        <v>0</v>
      </c>
      <c r="G162" s="125" t="b">
        <v>0</v>
      </c>
    </row>
    <row r="163" spans="1:7" ht="15">
      <c r="A163" s="127" t="s">
        <v>1777</v>
      </c>
      <c r="B163" s="125">
        <v>2</v>
      </c>
      <c r="C163" s="129">
        <v>0.003339787015918944</v>
      </c>
      <c r="D163" s="125" t="s">
        <v>1682</v>
      </c>
      <c r="E163" s="125" t="b">
        <v>0</v>
      </c>
      <c r="F163" s="125" t="b">
        <v>0</v>
      </c>
      <c r="G163" s="125" t="b">
        <v>0</v>
      </c>
    </row>
    <row r="164" spans="1:7" ht="15">
      <c r="A164" s="127" t="s">
        <v>1778</v>
      </c>
      <c r="B164" s="125">
        <v>2</v>
      </c>
      <c r="C164" s="129">
        <v>0.003339787015918944</v>
      </c>
      <c r="D164" s="125" t="s">
        <v>1682</v>
      </c>
      <c r="E164" s="125" t="b">
        <v>0</v>
      </c>
      <c r="F164" s="125" t="b">
        <v>0</v>
      </c>
      <c r="G164" s="125" t="b">
        <v>0</v>
      </c>
    </row>
    <row r="165" spans="1:7" ht="15">
      <c r="A165" s="127" t="s">
        <v>1779</v>
      </c>
      <c r="B165" s="125">
        <v>2</v>
      </c>
      <c r="C165" s="129">
        <v>0.003339787015918944</v>
      </c>
      <c r="D165" s="125" t="s">
        <v>1682</v>
      </c>
      <c r="E165" s="125" t="b">
        <v>0</v>
      </c>
      <c r="F165" s="125" t="b">
        <v>0</v>
      </c>
      <c r="G165" s="125" t="b">
        <v>0</v>
      </c>
    </row>
    <row r="166" spans="1:7" ht="15">
      <c r="A166" s="127" t="s">
        <v>1780</v>
      </c>
      <c r="B166" s="125">
        <v>2</v>
      </c>
      <c r="C166" s="129">
        <v>0.003339787015918944</v>
      </c>
      <c r="D166" s="125" t="s">
        <v>1682</v>
      </c>
      <c r="E166" s="125" t="b">
        <v>0</v>
      </c>
      <c r="F166" s="125" t="b">
        <v>0</v>
      </c>
      <c r="G166" s="125" t="b">
        <v>0</v>
      </c>
    </row>
    <row r="167" spans="1:7" ht="15">
      <c r="A167" s="127" t="s">
        <v>1548</v>
      </c>
      <c r="B167" s="125">
        <v>2</v>
      </c>
      <c r="C167" s="129">
        <v>0.003339787015918944</v>
      </c>
      <c r="D167" s="125" t="s">
        <v>1682</v>
      </c>
      <c r="E167" s="125" t="b">
        <v>0</v>
      </c>
      <c r="F167" s="125" t="b">
        <v>0</v>
      </c>
      <c r="G167" s="125" t="b">
        <v>0</v>
      </c>
    </row>
    <row r="168" spans="1:7" ht="15">
      <c r="A168" s="127" t="s">
        <v>200</v>
      </c>
      <c r="B168" s="125">
        <v>2</v>
      </c>
      <c r="C168" s="129">
        <v>0.003339787015918944</v>
      </c>
      <c r="D168" s="125" t="s">
        <v>1682</v>
      </c>
      <c r="E168" s="125" t="b">
        <v>0</v>
      </c>
      <c r="F168" s="125" t="b">
        <v>0</v>
      </c>
      <c r="G168" s="125" t="b">
        <v>0</v>
      </c>
    </row>
    <row r="169" spans="1:7" ht="15">
      <c r="A169" s="127" t="s">
        <v>1781</v>
      </c>
      <c r="B169" s="125">
        <v>2</v>
      </c>
      <c r="C169" s="129">
        <v>0.003339787015918944</v>
      </c>
      <c r="D169" s="125" t="s">
        <v>1682</v>
      </c>
      <c r="E169" s="125" t="b">
        <v>0</v>
      </c>
      <c r="F169" s="125" t="b">
        <v>0</v>
      </c>
      <c r="G169" s="125" t="b">
        <v>0</v>
      </c>
    </row>
    <row r="170" spans="1:7" ht="15">
      <c r="A170" s="127" t="s">
        <v>1782</v>
      </c>
      <c r="B170" s="125">
        <v>2</v>
      </c>
      <c r="C170" s="129">
        <v>0.003339787015918944</v>
      </c>
      <c r="D170" s="125" t="s">
        <v>1682</v>
      </c>
      <c r="E170" s="125" t="b">
        <v>0</v>
      </c>
      <c r="F170" s="125" t="b">
        <v>0</v>
      </c>
      <c r="G170" s="125" t="b">
        <v>0</v>
      </c>
    </row>
    <row r="171" spans="1:7" ht="15">
      <c r="A171" s="127" t="s">
        <v>1783</v>
      </c>
      <c r="B171" s="125">
        <v>2</v>
      </c>
      <c r="C171" s="129">
        <v>0.003930041909377731</v>
      </c>
      <c r="D171" s="125" t="s">
        <v>1682</v>
      </c>
      <c r="E171" s="125" t="b">
        <v>0</v>
      </c>
      <c r="F171" s="125" t="b">
        <v>0</v>
      </c>
      <c r="G171" s="125" t="b">
        <v>0</v>
      </c>
    </row>
    <row r="172" spans="1:7" ht="15">
      <c r="A172" s="127" t="s">
        <v>1784</v>
      </c>
      <c r="B172" s="125">
        <v>2</v>
      </c>
      <c r="C172" s="129">
        <v>0.003339787015918944</v>
      </c>
      <c r="D172" s="125" t="s">
        <v>1682</v>
      </c>
      <c r="E172" s="125" t="b">
        <v>0</v>
      </c>
      <c r="F172" s="125" t="b">
        <v>0</v>
      </c>
      <c r="G172" s="125" t="b">
        <v>0</v>
      </c>
    </row>
    <row r="173" spans="1:7" ht="15">
      <c r="A173" s="127" t="s">
        <v>1785</v>
      </c>
      <c r="B173" s="125">
        <v>2</v>
      </c>
      <c r="C173" s="129">
        <v>0.003339787015918944</v>
      </c>
      <c r="D173" s="125" t="s">
        <v>1682</v>
      </c>
      <c r="E173" s="125" t="b">
        <v>0</v>
      </c>
      <c r="F173" s="125" t="b">
        <v>0</v>
      </c>
      <c r="G173" s="125" t="b">
        <v>0</v>
      </c>
    </row>
    <row r="174" spans="1:7" ht="15">
      <c r="A174" s="127" t="s">
        <v>1786</v>
      </c>
      <c r="B174" s="125">
        <v>2</v>
      </c>
      <c r="C174" s="129">
        <v>0.003339787015918944</v>
      </c>
      <c r="D174" s="125" t="s">
        <v>1682</v>
      </c>
      <c r="E174" s="125" t="b">
        <v>0</v>
      </c>
      <c r="F174" s="125" t="b">
        <v>0</v>
      </c>
      <c r="G174" s="125" t="b">
        <v>0</v>
      </c>
    </row>
    <row r="175" spans="1:7" ht="15">
      <c r="A175" s="127" t="s">
        <v>1787</v>
      </c>
      <c r="B175" s="125">
        <v>2</v>
      </c>
      <c r="C175" s="129">
        <v>0.003339787015918944</v>
      </c>
      <c r="D175" s="125" t="s">
        <v>1682</v>
      </c>
      <c r="E175" s="125" t="b">
        <v>0</v>
      </c>
      <c r="F175" s="125" t="b">
        <v>0</v>
      </c>
      <c r="G175" s="125" t="b">
        <v>0</v>
      </c>
    </row>
    <row r="176" spans="1:7" ht="15">
      <c r="A176" s="127" t="s">
        <v>1788</v>
      </c>
      <c r="B176" s="125">
        <v>2</v>
      </c>
      <c r="C176" s="129">
        <v>0.003339787015918944</v>
      </c>
      <c r="D176" s="125" t="s">
        <v>1682</v>
      </c>
      <c r="E176" s="125" t="b">
        <v>0</v>
      </c>
      <c r="F176" s="125" t="b">
        <v>0</v>
      </c>
      <c r="G176" s="125" t="b">
        <v>0</v>
      </c>
    </row>
    <row r="177" spans="1:7" ht="15">
      <c r="A177" s="127" t="s">
        <v>1789</v>
      </c>
      <c r="B177" s="125">
        <v>2</v>
      </c>
      <c r="C177" s="129">
        <v>0.003339787015918944</v>
      </c>
      <c r="D177" s="125" t="s">
        <v>1682</v>
      </c>
      <c r="E177" s="125" t="b">
        <v>0</v>
      </c>
      <c r="F177" s="125" t="b">
        <v>0</v>
      </c>
      <c r="G177" s="125" t="b">
        <v>0</v>
      </c>
    </row>
    <row r="178" spans="1:7" ht="15">
      <c r="A178" s="127" t="s">
        <v>1790</v>
      </c>
      <c r="B178" s="125">
        <v>2</v>
      </c>
      <c r="C178" s="129">
        <v>0.003339787015918944</v>
      </c>
      <c r="D178" s="125" t="s">
        <v>1682</v>
      </c>
      <c r="E178" s="125" t="b">
        <v>0</v>
      </c>
      <c r="F178" s="125" t="b">
        <v>0</v>
      </c>
      <c r="G178" s="125" t="b">
        <v>0</v>
      </c>
    </row>
    <row r="179" spans="1:7" ht="15">
      <c r="A179" s="127" t="s">
        <v>1791</v>
      </c>
      <c r="B179" s="125">
        <v>2</v>
      </c>
      <c r="C179" s="129">
        <v>0.003339787015918944</v>
      </c>
      <c r="D179" s="125" t="s">
        <v>1682</v>
      </c>
      <c r="E179" s="125" t="b">
        <v>0</v>
      </c>
      <c r="F179" s="125" t="b">
        <v>0</v>
      </c>
      <c r="G179" s="125" t="b">
        <v>0</v>
      </c>
    </row>
    <row r="180" spans="1:7" ht="15">
      <c r="A180" s="127" t="s">
        <v>1792</v>
      </c>
      <c r="B180" s="125">
        <v>2</v>
      </c>
      <c r="C180" s="129">
        <v>0.003339787015918944</v>
      </c>
      <c r="D180" s="125" t="s">
        <v>1682</v>
      </c>
      <c r="E180" s="125" t="b">
        <v>0</v>
      </c>
      <c r="F180" s="125" t="b">
        <v>0</v>
      </c>
      <c r="G180" s="125" t="b">
        <v>0</v>
      </c>
    </row>
    <row r="181" spans="1:7" ht="15">
      <c r="A181" s="127" t="s">
        <v>1793</v>
      </c>
      <c r="B181" s="125">
        <v>2</v>
      </c>
      <c r="C181" s="129">
        <v>0.003339787015918944</v>
      </c>
      <c r="D181" s="125" t="s">
        <v>1682</v>
      </c>
      <c r="E181" s="125" t="b">
        <v>0</v>
      </c>
      <c r="F181" s="125" t="b">
        <v>0</v>
      </c>
      <c r="G181" s="125" t="b">
        <v>0</v>
      </c>
    </row>
    <row r="182" spans="1:7" ht="15">
      <c r="A182" s="127" t="s">
        <v>1574</v>
      </c>
      <c r="B182" s="125">
        <v>2</v>
      </c>
      <c r="C182" s="129">
        <v>0.003339787015918944</v>
      </c>
      <c r="D182" s="125" t="s">
        <v>1682</v>
      </c>
      <c r="E182" s="125" t="b">
        <v>0</v>
      </c>
      <c r="F182" s="125" t="b">
        <v>0</v>
      </c>
      <c r="G182" s="125" t="b">
        <v>0</v>
      </c>
    </row>
    <row r="183" spans="1:7" ht="15">
      <c r="A183" s="127" t="s">
        <v>1794</v>
      </c>
      <c r="B183" s="125">
        <v>2</v>
      </c>
      <c r="C183" s="129">
        <v>0.003339787015918944</v>
      </c>
      <c r="D183" s="125" t="s">
        <v>1682</v>
      </c>
      <c r="E183" s="125" t="b">
        <v>0</v>
      </c>
      <c r="F183" s="125" t="b">
        <v>0</v>
      </c>
      <c r="G183" s="125" t="b">
        <v>0</v>
      </c>
    </row>
    <row r="184" spans="1:7" ht="15">
      <c r="A184" s="127" t="s">
        <v>1795</v>
      </c>
      <c r="B184" s="125">
        <v>2</v>
      </c>
      <c r="C184" s="129">
        <v>0.003339787015918944</v>
      </c>
      <c r="D184" s="125" t="s">
        <v>1682</v>
      </c>
      <c r="E184" s="125" t="b">
        <v>0</v>
      </c>
      <c r="F184" s="125" t="b">
        <v>0</v>
      </c>
      <c r="G184" s="125" t="b">
        <v>0</v>
      </c>
    </row>
    <row r="185" spans="1:7" ht="15">
      <c r="A185" s="127" t="s">
        <v>163</v>
      </c>
      <c r="B185" s="125">
        <v>2</v>
      </c>
      <c r="C185" s="129">
        <v>0.003339787015918944</v>
      </c>
      <c r="D185" s="125" t="s">
        <v>1682</v>
      </c>
      <c r="E185" s="125" t="b">
        <v>0</v>
      </c>
      <c r="F185" s="125" t="b">
        <v>0</v>
      </c>
      <c r="G185" s="125" t="b">
        <v>0</v>
      </c>
    </row>
    <row r="186" spans="1:7" ht="15">
      <c r="A186" s="127" t="s">
        <v>1796</v>
      </c>
      <c r="B186" s="125">
        <v>2</v>
      </c>
      <c r="C186" s="129">
        <v>0.003339787015918944</v>
      </c>
      <c r="D186" s="125" t="s">
        <v>1682</v>
      </c>
      <c r="E186" s="125" t="b">
        <v>0</v>
      </c>
      <c r="F186" s="125" t="b">
        <v>0</v>
      </c>
      <c r="G186" s="125" t="b">
        <v>0</v>
      </c>
    </row>
    <row r="187" spans="1:7" ht="15">
      <c r="A187" s="127" t="s">
        <v>1569</v>
      </c>
      <c r="B187" s="125">
        <v>2</v>
      </c>
      <c r="C187" s="129">
        <v>0.003339787015918944</v>
      </c>
      <c r="D187" s="125" t="s">
        <v>1682</v>
      </c>
      <c r="E187" s="125" t="b">
        <v>0</v>
      </c>
      <c r="F187" s="125" t="b">
        <v>0</v>
      </c>
      <c r="G187" s="125" t="b">
        <v>0</v>
      </c>
    </row>
    <row r="188" spans="1:7" ht="15">
      <c r="A188" s="127" t="s">
        <v>1797</v>
      </c>
      <c r="B188" s="125">
        <v>2</v>
      </c>
      <c r="C188" s="129">
        <v>0.003339787015918944</v>
      </c>
      <c r="D188" s="125" t="s">
        <v>1682</v>
      </c>
      <c r="E188" s="125" t="b">
        <v>0</v>
      </c>
      <c r="F188" s="125" t="b">
        <v>0</v>
      </c>
      <c r="G188" s="125" t="b">
        <v>0</v>
      </c>
    </row>
    <row r="189" spans="1:7" ht="15">
      <c r="A189" s="127" t="s">
        <v>1798</v>
      </c>
      <c r="B189" s="125">
        <v>2</v>
      </c>
      <c r="C189" s="129">
        <v>0.003339787015918944</v>
      </c>
      <c r="D189" s="125" t="s">
        <v>1682</v>
      </c>
      <c r="E189" s="125" t="b">
        <v>0</v>
      </c>
      <c r="F189" s="125" t="b">
        <v>0</v>
      </c>
      <c r="G189" s="125" t="b">
        <v>0</v>
      </c>
    </row>
    <row r="190" spans="1:7" ht="15">
      <c r="A190" s="127" t="s">
        <v>1799</v>
      </c>
      <c r="B190" s="125">
        <v>2</v>
      </c>
      <c r="C190" s="129">
        <v>0.003339787015918944</v>
      </c>
      <c r="D190" s="125" t="s">
        <v>1682</v>
      </c>
      <c r="E190" s="125" t="b">
        <v>0</v>
      </c>
      <c r="F190" s="125" t="b">
        <v>0</v>
      </c>
      <c r="G190" s="125" t="b">
        <v>0</v>
      </c>
    </row>
    <row r="191" spans="1:7" ht="15">
      <c r="A191" s="127" t="s">
        <v>1558</v>
      </c>
      <c r="B191" s="125">
        <v>2</v>
      </c>
      <c r="C191" s="129">
        <v>0.003339787015918944</v>
      </c>
      <c r="D191" s="125" t="s">
        <v>1682</v>
      </c>
      <c r="E191" s="125" t="b">
        <v>0</v>
      </c>
      <c r="F191" s="125" t="b">
        <v>0</v>
      </c>
      <c r="G191" s="125" t="b">
        <v>0</v>
      </c>
    </row>
    <row r="192" spans="1:7" ht="15">
      <c r="A192" s="127" t="s">
        <v>1800</v>
      </c>
      <c r="B192" s="125">
        <v>2</v>
      </c>
      <c r="C192" s="129">
        <v>0.003339787015918944</v>
      </c>
      <c r="D192" s="125" t="s">
        <v>1682</v>
      </c>
      <c r="E192" s="125" t="b">
        <v>0</v>
      </c>
      <c r="F192" s="125" t="b">
        <v>0</v>
      </c>
      <c r="G192" s="125" t="b">
        <v>0</v>
      </c>
    </row>
    <row r="193" spans="1:7" ht="15">
      <c r="A193" s="127" t="s">
        <v>1801</v>
      </c>
      <c r="B193" s="125">
        <v>2</v>
      </c>
      <c r="C193" s="129">
        <v>0.003339787015918944</v>
      </c>
      <c r="D193" s="125" t="s">
        <v>1682</v>
      </c>
      <c r="E193" s="125" t="b">
        <v>0</v>
      </c>
      <c r="F193" s="125" t="b">
        <v>0</v>
      </c>
      <c r="G193" s="125" t="b">
        <v>0</v>
      </c>
    </row>
    <row r="194" spans="1:7" ht="15">
      <c r="A194" s="127" t="s">
        <v>1802</v>
      </c>
      <c r="B194" s="125">
        <v>2</v>
      </c>
      <c r="C194" s="129">
        <v>0.003339787015918944</v>
      </c>
      <c r="D194" s="125" t="s">
        <v>1682</v>
      </c>
      <c r="E194" s="125" t="b">
        <v>0</v>
      </c>
      <c r="F194" s="125" t="b">
        <v>0</v>
      </c>
      <c r="G194" s="125" t="b">
        <v>0</v>
      </c>
    </row>
    <row r="195" spans="1:7" ht="15">
      <c r="A195" s="127" t="s">
        <v>1803</v>
      </c>
      <c r="B195" s="125">
        <v>2</v>
      </c>
      <c r="C195" s="129">
        <v>0.003339787015918944</v>
      </c>
      <c r="D195" s="125" t="s">
        <v>1682</v>
      </c>
      <c r="E195" s="125" t="b">
        <v>0</v>
      </c>
      <c r="F195" s="125" t="b">
        <v>0</v>
      </c>
      <c r="G195" s="125" t="b">
        <v>0</v>
      </c>
    </row>
    <row r="196" spans="1:7" ht="15">
      <c r="A196" s="127" t="s">
        <v>1549</v>
      </c>
      <c r="B196" s="125">
        <v>2</v>
      </c>
      <c r="C196" s="129">
        <v>0.003339787015918944</v>
      </c>
      <c r="D196" s="125" t="s">
        <v>1682</v>
      </c>
      <c r="E196" s="125" t="b">
        <v>0</v>
      </c>
      <c r="F196" s="125" t="b">
        <v>0</v>
      </c>
      <c r="G196" s="125" t="b">
        <v>0</v>
      </c>
    </row>
    <row r="197" spans="1:7" ht="15">
      <c r="A197" s="127" t="s">
        <v>1804</v>
      </c>
      <c r="B197" s="125">
        <v>2</v>
      </c>
      <c r="C197" s="129">
        <v>0.003339787015918944</v>
      </c>
      <c r="D197" s="125" t="s">
        <v>1682</v>
      </c>
      <c r="E197" s="125" t="b">
        <v>0</v>
      </c>
      <c r="F197" s="125" t="b">
        <v>0</v>
      </c>
      <c r="G197" s="125" t="b">
        <v>0</v>
      </c>
    </row>
    <row r="198" spans="1:7" ht="15">
      <c r="A198" s="127" t="s">
        <v>1805</v>
      </c>
      <c r="B198" s="125">
        <v>2</v>
      </c>
      <c r="C198" s="129">
        <v>0.003339787015918944</v>
      </c>
      <c r="D198" s="125" t="s">
        <v>1682</v>
      </c>
      <c r="E198" s="125" t="b">
        <v>0</v>
      </c>
      <c r="F198" s="125" t="b">
        <v>0</v>
      </c>
      <c r="G198" s="125" t="b">
        <v>0</v>
      </c>
    </row>
    <row r="199" spans="1:7" ht="15">
      <c r="A199" s="127" t="s">
        <v>1806</v>
      </c>
      <c r="B199" s="125">
        <v>2</v>
      </c>
      <c r="C199" s="129">
        <v>0.003339787015918944</v>
      </c>
      <c r="D199" s="125" t="s">
        <v>1682</v>
      </c>
      <c r="E199" s="125" t="b">
        <v>0</v>
      </c>
      <c r="F199" s="125" t="b">
        <v>0</v>
      </c>
      <c r="G199" s="125" t="b">
        <v>0</v>
      </c>
    </row>
    <row r="200" spans="1:7" ht="15">
      <c r="A200" s="127" t="s">
        <v>1807</v>
      </c>
      <c r="B200" s="125">
        <v>2</v>
      </c>
      <c r="C200" s="129">
        <v>0.003339787015918944</v>
      </c>
      <c r="D200" s="125" t="s">
        <v>1682</v>
      </c>
      <c r="E200" s="125" t="b">
        <v>0</v>
      </c>
      <c r="F200" s="125" t="b">
        <v>0</v>
      </c>
      <c r="G200" s="125" t="b">
        <v>0</v>
      </c>
    </row>
    <row r="201" spans="1:7" ht="15">
      <c r="A201" s="127" t="s">
        <v>1808</v>
      </c>
      <c r="B201" s="125">
        <v>2</v>
      </c>
      <c r="C201" s="129">
        <v>0.003339787015918944</v>
      </c>
      <c r="D201" s="125" t="s">
        <v>1682</v>
      </c>
      <c r="E201" s="125" t="b">
        <v>0</v>
      </c>
      <c r="F201" s="125" t="b">
        <v>0</v>
      </c>
      <c r="G201" s="125" t="b">
        <v>0</v>
      </c>
    </row>
    <row r="202" spans="1:7" ht="15">
      <c r="A202" s="127" t="s">
        <v>1809</v>
      </c>
      <c r="B202" s="125">
        <v>2</v>
      </c>
      <c r="C202" s="129">
        <v>0.003339787015918944</v>
      </c>
      <c r="D202" s="125" t="s">
        <v>1682</v>
      </c>
      <c r="E202" s="125" t="b">
        <v>0</v>
      </c>
      <c r="F202" s="125" t="b">
        <v>0</v>
      </c>
      <c r="G202" s="125" t="b">
        <v>0</v>
      </c>
    </row>
    <row r="203" spans="1:7" ht="15">
      <c r="A203" s="127" t="s">
        <v>1810</v>
      </c>
      <c r="B203" s="125">
        <v>2</v>
      </c>
      <c r="C203" s="129">
        <v>0.003339787015918944</v>
      </c>
      <c r="D203" s="125" t="s">
        <v>1682</v>
      </c>
      <c r="E203" s="125" t="b">
        <v>0</v>
      </c>
      <c r="F203" s="125" t="b">
        <v>0</v>
      </c>
      <c r="G203" s="125" t="b">
        <v>0</v>
      </c>
    </row>
    <row r="204" spans="1:7" ht="15">
      <c r="A204" s="127" t="s">
        <v>179</v>
      </c>
      <c r="B204" s="125">
        <v>2</v>
      </c>
      <c r="C204" s="129">
        <v>0.003339787015918944</v>
      </c>
      <c r="D204" s="125" t="s">
        <v>1682</v>
      </c>
      <c r="E204" s="125" t="b">
        <v>0</v>
      </c>
      <c r="F204" s="125" t="b">
        <v>0</v>
      </c>
      <c r="G204" s="125" t="b">
        <v>0</v>
      </c>
    </row>
    <row r="205" spans="1:7" ht="15">
      <c r="A205" s="127" t="s">
        <v>1811</v>
      </c>
      <c r="B205" s="125">
        <v>2</v>
      </c>
      <c r="C205" s="129">
        <v>0.003339787015918944</v>
      </c>
      <c r="D205" s="125" t="s">
        <v>1682</v>
      </c>
      <c r="E205" s="125" t="b">
        <v>0</v>
      </c>
      <c r="F205" s="125" t="b">
        <v>0</v>
      </c>
      <c r="G205" s="125" t="b">
        <v>0</v>
      </c>
    </row>
    <row r="206" spans="1:7" ht="15">
      <c r="A206" s="127" t="s">
        <v>1812</v>
      </c>
      <c r="B206" s="125">
        <v>2</v>
      </c>
      <c r="C206" s="129">
        <v>0.003339787015918944</v>
      </c>
      <c r="D206" s="125" t="s">
        <v>1682</v>
      </c>
      <c r="E206" s="125" t="b">
        <v>0</v>
      </c>
      <c r="F206" s="125" t="b">
        <v>0</v>
      </c>
      <c r="G206" s="125" t="b">
        <v>0</v>
      </c>
    </row>
    <row r="207" spans="1:7" ht="15">
      <c r="A207" s="127" t="s">
        <v>1813</v>
      </c>
      <c r="B207" s="125">
        <v>2</v>
      </c>
      <c r="C207" s="129">
        <v>0.003339787015918944</v>
      </c>
      <c r="D207" s="125" t="s">
        <v>1682</v>
      </c>
      <c r="E207" s="125" t="b">
        <v>0</v>
      </c>
      <c r="F207" s="125" t="b">
        <v>0</v>
      </c>
      <c r="G207" s="125" t="b">
        <v>0</v>
      </c>
    </row>
    <row r="208" spans="1:7" ht="15">
      <c r="A208" s="127" t="s">
        <v>1814</v>
      </c>
      <c r="B208" s="125">
        <v>2</v>
      </c>
      <c r="C208" s="129">
        <v>0.003339787015918944</v>
      </c>
      <c r="D208" s="125" t="s">
        <v>1682</v>
      </c>
      <c r="E208" s="125" t="b">
        <v>0</v>
      </c>
      <c r="F208" s="125" t="b">
        <v>0</v>
      </c>
      <c r="G208" s="125" t="b">
        <v>0</v>
      </c>
    </row>
    <row r="209" spans="1:7" ht="15">
      <c r="A209" s="127" t="s">
        <v>480</v>
      </c>
      <c r="B209" s="125">
        <v>2</v>
      </c>
      <c r="C209" s="129">
        <v>0.003339787015918944</v>
      </c>
      <c r="D209" s="125" t="s">
        <v>1682</v>
      </c>
      <c r="E209" s="125" t="b">
        <v>0</v>
      </c>
      <c r="F209" s="125" t="b">
        <v>0</v>
      </c>
      <c r="G209" s="125" t="b">
        <v>0</v>
      </c>
    </row>
    <row r="210" spans="1:7" ht="15">
      <c r="A210" s="127" t="s">
        <v>1815</v>
      </c>
      <c r="B210" s="125">
        <v>2</v>
      </c>
      <c r="C210" s="129">
        <v>0.003339787015918944</v>
      </c>
      <c r="D210" s="125" t="s">
        <v>1682</v>
      </c>
      <c r="E210" s="125" t="b">
        <v>0</v>
      </c>
      <c r="F210" s="125" t="b">
        <v>0</v>
      </c>
      <c r="G210" s="125" t="b">
        <v>0</v>
      </c>
    </row>
    <row r="211" spans="1:7" ht="15">
      <c r="A211" s="127" t="s">
        <v>1816</v>
      </c>
      <c r="B211" s="125">
        <v>2</v>
      </c>
      <c r="C211" s="129">
        <v>0.003339787015918944</v>
      </c>
      <c r="D211" s="125" t="s">
        <v>1682</v>
      </c>
      <c r="E211" s="125" t="b">
        <v>0</v>
      </c>
      <c r="F211" s="125" t="b">
        <v>0</v>
      </c>
      <c r="G211" s="125" t="b">
        <v>0</v>
      </c>
    </row>
    <row r="212" spans="1:7" ht="15">
      <c r="A212" s="127" t="s">
        <v>1817</v>
      </c>
      <c r="B212" s="125">
        <v>2</v>
      </c>
      <c r="C212" s="129">
        <v>0.003339787015918944</v>
      </c>
      <c r="D212" s="125" t="s">
        <v>1682</v>
      </c>
      <c r="E212" s="125" t="b">
        <v>0</v>
      </c>
      <c r="F212" s="125" t="b">
        <v>0</v>
      </c>
      <c r="G212" s="125" t="b">
        <v>0</v>
      </c>
    </row>
    <row r="213" spans="1:7" ht="15">
      <c r="A213" s="127" t="s">
        <v>1818</v>
      </c>
      <c r="B213" s="125">
        <v>2</v>
      </c>
      <c r="C213" s="129">
        <v>0.003339787015918944</v>
      </c>
      <c r="D213" s="125" t="s">
        <v>1682</v>
      </c>
      <c r="E213" s="125" t="b">
        <v>0</v>
      </c>
      <c r="F213" s="125" t="b">
        <v>0</v>
      </c>
      <c r="G213" s="125" t="b">
        <v>0</v>
      </c>
    </row>
    <row r="214" spans="1:7" ht="15">
      <c r="A214" s="127" t="s">
        <v>1819</v>
      </c>
      <c r="B214" s="125">
        <v>2</v>
      </c>
      <c r="C214" s="129">
        <v>0.003339787015918944</v>
      </c>
      <c r="D214" s="125" t="s">
        <v>1682</v>
      </c>
      <c r="E214" s="125" t="b">
        <v>0</v>
      </c>
      <c r="F214" s="125" t="b">
        <v>0</v>
      </c>
      <c r="G214" s="125" t="b">
        <v>0</v>
      </c>
    </row>
    <row r="215" spans="1:7" ht="15">
      <c r="A215" s="127" t="s">
        <v>1820</v>
      </c>
      <c r="B215" s="125">
        <v>2</v>
      </c>
      <c r="C215" s="129">
        <v>0.003339787015918944</v>
      </c>
      <c r="D215" s="125" t="s">
        <v>1682</v>
      </c>
      <c r="E215" s="125" t="b">
        <v>0</v>
      </c>
      <c r="F215" s="125" t="b">
        <v>0</v>
      </c>
      <c r="G215" s="125" t="b">
        <v>0</v>
      </c>
    </row>
    <row r="216" spans="1:7" ht="15">
      <c r="A216" s="127" t="s">
        <v>1821</v>
      </c>
      <c r="B216" s="125">
        <v>2</v>
      </c>
      <c r="C216" s="129">
        <v>0.003339787015918944</v>
      </c>
      <c r="D216" s="125" t="s">
        <v>1682</v>
      </c>
      <c r="E216" s="125" t="b">
        <v>0</v>
      </c>
      <c r="F216" s="125" t="b">
        <v>0</v>
      </c>
      <c r="G216" s="125" t="b">
        <v>0</v>
      </c>
    </row>
    <row r="217" spans="1:7" ht="15">
      <c r="A217" s="127" t="s">
        <v>404</v>
      </c>
      <c r="B217" s="125">
        <v>2</v>
      </c>
      <c r="C217" s="129">
        <v>0.003339787015918944</v>
      </c>
      <c r="D217" s="125" t="s">
        <v>1682</v>
      </c>
      <c r="E217" s="125" t="b">
        <v>0</v>
      </c>
      <c r="F217" s="125" t="b">
        <v>0</v>
      </c>
      <c r="G217" s="125" t="b">
        <v>0</v>
      </c>
    </row>
    <row r="218" spans="1:7" ht="15">
      <c r="A218" s="127" t="s">
        <v>1822</v>
      </c>
      <c r="B218" s="125">
        <v>2</v>
      </c>
      <c r="C218" s="129">
        <v>0.003339787015918944</v>
      </c>
      <c r="D218" s="125" t="s">
        <v>1682</v>
      </c>
      <c r="E218" s="125" t="b">
        <v>0</v>
      </c>
      <c r="F218" s="125" t="b">
        <v>0</v>
      </c>
      <c r="G218" s="125" t="b">
        <v>0</v>
      </c>
    </row>
    <row r="219" spans="1:7" ht="15">
      <c r="A219" s="127" t="s">
        <v>1823</v>
      </c>
      <c r="B219" s="125">
        <v>2</v>
      </c>
      <c r="C219" s="129">
        <v>0.003339787015918944</v>
      </c>
      <c r="D219" s="125" t="s">
        <v>1682</v>
      </c>
      <c r="E219" s="125" t="b">
        <v>0</v>
      </c>
      <c r="F219" s="125" t="b">
        <v>0</v>
      </c>
      <c r="G219" s="125" t="b">
        <v>0</v>
      </c>
    </row>
    <row r="220" spans="1:7" ht="15">
      <c r="A220" s="127" t="s">
        <v>1824</v>
      </c>
      <c r="B220" s="125">
        <v>2</v>
      </c>
      <c r="C220" s="129">
        <v>0.003339787015918944</v>
      </c>
      <c r="D220" s="125" t="s">
        <v>1682</v>
      </c>
      <c r="E220" s="125" t="b">
        <v>0</v>
      </c>
      <c r="F220" s="125" t="b">
        <v>0</v>
      </c>
      <c r="G220" s="125" t="b">
        <v>0</v>
      </c>
    </row>
    <row r="221" spans="1:7" ht="15">
      <c r="A221" s="127" t="s">
        <v>1825</v>
      </c>
      <c r="B221" s="125">
        <v>2</v>
      </c>
      <c r="C221" s="129">
        <v>0.003339787015918944</v>
      </c>
      <c r="D221" s="125" t="s">
        <v>1682</v>
      </c>
      <c r="E221" s="125" t="b">
        <v>0</v>
      </c>
      <c r="F221" s="125" t="b">
        <v>0</v>
      </c>
      <c r="G221" s="125" t="b">
        <v>0</v>
      </c>
    </row>
    <row r="222" spans="1:7" ht="15">
      <c r="A222" s="127" t="s">
        <v>1826</v>
      </c>
      <c r="B222" s="125">
        <v>2</v>
      </c>
      <c r="C222" s="129">
        <v>0.003339787015918944</v>
      </c>
      <c r="D222" s="125" t="s">
        <v>1682</v>
      </c>
      <c r="E222" s="125" t="b">
        <v>0</v>
      </c>
      <c r="F222" s="125" t="b">
        <v>0</v>
      </c>
      <c r="G222" s="125" t="b">
        <v>0</v>
      </c>
    </row>
    <row r="223" spans="1:7" ht="15">
      <c r="A223" s="127" t="s">
        <v>1827</v>
      </c>
      <c r="B223" s="125">
        <v>2</v>
      </c>
      <c r="C223" s="129">
        <v>0.003339787015918944</v>
      </c>
      <c r="D223" s="125" t="s">
        <v>1682</v>
      </c>
      <c r="E223" s="125" t="b">
        <v>0</v>
      </c>
      <c r="F223" s="125" t="b">
        <v>0</v>
      </c>
      <c r="G223" s="125" t="b">
        <v>0</v>
      </c>
    </row>
    <row r="224" spans="1:7" ht="15">
      <c r="A224" s="127" t="s">
        <v>1828</v>
      </c>
      <c r="B224" s="125">
        <v>2</v>
      </c>
      <c r="C224" s="129">
        <v>0.003339787015918944</v>
      </c>
      <c r="D224" s="125" t="s">
        <v>1682</v>
      </c>
      <c r="E224" s="125" t="b">
        <v>0</v>
      </c>
      <c r="F224" s="125" t="b">
        <v>0</v>
      </c>
      <c r="G224" s="125" t="b">
        <v>0</v>
      </c>
    </row>
    <row r="225" spans="1:7" ht="15">
      <c r="A225" s="127" t="s">
        <v>1575</v>
      </c>
      <c r="B225" s="125">
        <v>2</v>
      </c>
      <c r="C225" s="129">
        <v>0.003339787015918944</v>
      </c>
      <c r="D225" s="125" t="s">
        <v>1682</v>
      </c>
      <c r="E225" s="125" t="b">
        <v>0</v>
      </c>
      <c r="F225" s="125" t="b">
        <v>0</v>
      </c>
      <c r="G225" s="125" t="b">
        <v>0</v>
      </c>
    </row>
    <row r="226" spans="1:7" ht="15">
      <c r="A226" s="127" t="s">
        <v>1829</v>
      </c>
      <c r="B226" s="125">
        <v>2</v>
      </c>
      <c r="C226" s="129">
        <v>0.003339787015918944</v>
      </c>
      <c r="D226" s="125" t="s">
        <v>1682</v>
      </c>
      <c r="E226" s="125" t="b">
        <v>0</v>
      </c>
      <c r="F226" s="125" t="b">
        <v>0</v>
      </c>
      <c r="G226" s="125" t="b">
        <v>0</v>
      </c>
    </row>
    <row r="227" spans="1:7" ht="15">
      <c r="A227" s="127" t="s">
        <v>1830</v>
      </c>
      <c r="B227" s="125">
        <v>2</v>
      </c>
      <c r="C227" s="129">
        <v>0.003339787015918944</v>
      </c>
      <c r="D227" s="125" t="s">
        <v>1682</v>
      </c>
      <c r="E227" s="125" t="b">
        <v>0</v>
      </c>
      <c r="F227" s="125" t="b">
        <v>0</v>
      </c>
      <c r="G227" s="125" t="b">
        <v>0</v>
      </c>
    </row>
    <row r="228" spans="1:7" ht="15">
      <c r="A228" s="127" t="s">
        <v>1831</v>
      </c>
      <c r="B228" s="125">
        <v>2</v>
      </c>
      <c r="C228" s="129">
        <v>0.003339787015918944</v>
      </c>
      <c r="D228" s="125" t="s">
        <v>1682</v>
      </c>
      <c r="E228" s="125" t="b">
        <v>0</v>
      </c>
      <c r="F228" s="125" t="b">
        <v>0</v>
      </c>
      <c r="G228" s="125" t="b">
        <v>0</v>
      </c>
    </row>
    <row r="229" spans="1:7" ht="15">
      <c r="A229" s="127" t="s">
        <v>1832</v>
      </c>
      <c r="B229" s="125">
        <v>2</v>
      </c>
      <c r="C229" s="129">
        <v>0.003339787015918944</v>
      </c>
      <c r="D229" s="125" t="s">
        <v>1682</v>
      </c>
      <c r="E229" s="125" t="b">
        <v>0</v>
      </c>
      <c r="F229" s="125" t="b">
        <v>0</v>
      </c>
      <c r="G229" s="125" t="b">
        <v>0</v>
      </c>
    </row>
    <row r="230" spans="1:7" ht="15">
      <c r="A230" s="127" t="s">
        <v>1833</v>
      </c>
      <c r="B230" s="125">
        <v>2</v>
      </c>
      <c r="C230" s="129">
        <v>0.003339787015918944</v>
      </c>
      <c r="D230" s="125" t="s">
        <v>1682</v>
      </c>
      <c r="E230" s="125" t="b">
        <v>0</v>
      </c>
      <c r="F230" s="125" t="b">
        <v>0</v>
      </c>
      <c r="G230" s="125" t="b">
        <v>0</v>
      </c>
    </row>
    <row r="231" spans="1:7" ht="15">
      <c r="A231" s="127" t="s">
        <v>1834</v>
      </c>
      <c r="B231" s="125">
        <v>2</v>
      </c>
      <c r="C231" s="129">
        <v>0.003339787015918944</v>
      </c>
      <c r="D231" s="125" t="s">
        <v>1682</v>
      </c>
      <c r="E231" s="125" t="b">
        <v>0</v>
      </c>
      <c r="F231" s="125" t="b">
        <v>0</v>
      </c>
      <c r="G231" s="125" t="b">
        <v>0</v>
      </c>
    </row>
    <row r="232" spans="1:7" ht="15">
      <c r="A232" s="127" t="s">
        <v>1835</v>
      </c>
      <c r="B232" s="125">
        <v>2</v>
      </c>
      <c r="C232" s="129">
        <v>0.003339787015918944</v>
      </c>
      <c r="D232" s="125" t="s">
        <v>1682</v>
      </c>
      <c r="E232" s="125" t="b">
        <v>0</v>
      </c>
      <c r="F232" s="125" t="b">
        <v>0</v>
      </c>
      <c r="G232" s="125" t="b">
        <v>0</v>
      </c>
    </row>
    <row r="233" spans="1:7" ht="15">
      <c r="A233" s="127" t="s">
        <v>1836</v>
      </c>
      <c r="B233" s="125">
        <v>2</v>
      </c>
      <c r="C233" s="129">
        <v>0.003339787015918944</v>
      </c>
      <c r="D233" s="125" t="s">
        <v>1682</v>
      </c>
      <c r="E233" s="125" t="b">
        <v>0</v>
      </c>
      <c r="F233" s="125" t="b">
        <v>0</v>
      </c>
      <c r="G233" s="125" t="b">
        <v>0</v>
      </c>
    </row>
    <row r="234" spans="1:7" ht="15">
      <c r="A234" s="127" t="s">
        <v>1837</v>
      </c>
      <c r="B234" s="125">
        <v>2</v>
      </c>
      <c r="C234" s="129">
        <v>0.003930041909377731</v>
      </c>
      <c r="D234" s="125" t="s">
        <v>1682</v>
      </c>
      <c r="E234" s="125" t="b">
        <v>0</v>
      </c>
      <c r="F234" s="125" t="b">
        <v>0</v>
      </c>
      <c r="G234" s="125" t="b">
        <v>0</v>
      </c>
    </row>
    <row r="235" spans="1:7" ht="15">
      <c r="A235" s="127" t="s">
        <v>468</v>
      </c>
      <c r="B235" s="125">
        <v>2</v>
      </c>
      <c r="C235" s="129">
        <v>0.003339787015918944</v>
      </c>
      <c r="D235" s="125" t="s">
        <v>1682</v>
      </c>
      <c r="E235" s="125" t="b">
        <v>0</v>
      </c>
      <c r="F235" s="125" t="b">
        <v>0</v>
      </c>
      <c r="G235" s="125" t="b">
        <v>0</v>
      </c>
    </row>
    <row r="236" spans="1:7" ht="15">
      <c r="A236" s="127" t="s">
        <v>1838</v>
      </c>
      <c r="B236" s="125">
        <v>2</v>
      </c>
      <c r="C236" s="129">
        <v>0.003339787015918944</v>
      </c>
      <c r="D236" s="125" t="s">
        <v>1682</v>
      </c>
      <c r="E236" s="125" t="b">
        <v>0</v>
      </c>
      <c r="F236" s="125" t="b">
        <v>0</v>
      </c>
      <c r="G236" s="125" t="b">
        <v>0</v>
      </c>
    </row>
    <row r="237" spans="1:7" ht="15">
      <c r="A237" s="127" t="s">
        <v>1839</v>
      </c>
      <c r="B237" s="125">
        <v>2</v>
      </c>
      <c r="C237" s="129">
        <v>0.003339787015918944</v>
      </c>
      <c r="D237" s="125" t="s">
        <v>1682</v>
      </c>
      <c r="E237" s="125" t="b">
        <v>0</v>
      </c>
      <c r="F237" s="125" t="b">
        <v>0</v>
      </c>
      <c r="G237" s="125" t="b">
        <v>0</v>
      </c>
    </row>
    <row r="238" spans="1:7" ht="15">
      <c r="A238" s="127" t="s">
        <v>1840</v>
      </c>
      <c r="B238" s="125">
        <v>2</v>
      </c>
      <c r="C238" s="129">
        <v>0.003339787015918944</v>
      </c>
      <c r="D238" s="125" t="s">
        <v>1682</v>
      </c>
      <c r="E238" s="125" t="b">
        <v>0</v>
      </c>
      <c r="F238" s="125" t="b">
        <v>0</v>
      </c>
      <c r="G238" s="125" t="b">
        <v>0</v>
      </c>
    </row>
    <row r="239" spans="1:7" ht="15">
      <c r="A239" s="127" t="s">
        <v>421</v>
      </c>
      <c r="B239" s="125">
        <v>2</v>
      </c>
      <c r="C239" s="129">
        <v>0.003339787015918944</v>
      </c>
      <c r="D239" s="125" t="s">
        <v>1682</v>
      </c>
      <c r="E239" s="125" t="b">
        <v>0</v>
      </c>
      <c r="F239" s="125" t="b">
        <v>0</v>
      </c>
      <c r="G239" s="125" t="b">
        <v>0</v>
      </c>
    </row>
    <row r="240" spans="1:7" ht="15">
      <c r="A240" s="127" t="s">
        <v>1572</v>
      </c>
      <c r="B240" s="125">
        <v>2</v>
      </c>
      <c r="C240" s="129">
        <v>0.003339787015918944</v>
      </c>
      <c r="D240" s="125" t="s">
        <v>1682</v>
      </c>
      <c r="E240" s="125" t="b">
        <v>0</v>
      </c>
      <c r="F240" s="125" t="b">
        <v>0</v>
      </c>
      <c r="G240" s="125" t="b">
        <v>0</v>
      </c>
    </row>
    <row r="241" spans="1:7" ht="15">
      <c r="A241" s="127" t="s">
        <v>1841</v>
      </c>
      <c r="B241" s="125">
        <v>2</v>
      </c>
      <c r="C241" s="129">
        <v>0.003339787015918944</v>
      </c>
      <c r="D241" s="125" t="s">
        <v>1682</v>
      </c>
      <c r="E241" s="125" t="b">
        <v>0</v>
      </c>
      <c r="F241" s="125" t="b">
        <v>0</v>
      </c>
      <c r="G241" s="125" t="b">
        <v>0</v>
      </c>
    </row>
    <row r="242" spans="1:7" ht="15">
      <c r="A242" s="127" t="s">
        <v>1842</v>
      </c>
      <c r="B242" s="125">
        <v>2</v>
      </c>
      <c r="C242" s="129">
        <v>0.003339787015918944</v>
      </c>
      <c r="D242" s="125" t="s">
        <v>1682</v>
      </c>
      <c r="E242" s="125" t="b">
        <v>0</v>
      </c>
      <c r="F242" s="125" t="b">
        <v>0</v>
      </c>
      <c r="G242" s="125" t="b">
        <v>0</v>
      </c>
    </row>
    <row r="243" spans="1:7" ht="15">
      <c r="A243" s="127" t="s">
        <v>1843</v>
      </c>
      <c r="B243" s="125">
        <v>2</v>
      </c>
      <c r="C243" s="129">
        <v>0.003339787015918944</v>
      </c>
      <c r="D243" s="125" t="s">
        <v>1682</v>
      </c>
      <c r="E243" s="125" t="b">
        <v>0</v>
      </c>
      <c r="F243" s="125" t="b">
        <v>0</v>
      </c>
      <c r="G243" s="125" t="b">
        <v>0</v>
      </c>
    </row>
    <row r="244" spans="1:7" ht="15">
      <c r="A244" s="127" t="s">
        <v>1533</v>
      </c>
      <c r="B244" s="125">
        <v>2</v>
      </c>
      <c r="C244" s="129">
        <v>0.003339787015918944</v>
      </c>
      <c r="D244" s="125" t="s">
        <v>1682</v>
      </c>
      <c r="E244" s="125" t="b">
        <v>0</v>
      </c>
      <c r="F244" s="125" t="b">
        <v>0</v>
      </c>
      <c r="G244" s="125" t="b">
        <v>0</v>
      </c>
    </row>
    <row r="245" spans="1:7" ht="15">
      <c r="A245" s="127" t="s">
        <v>1554</v>
      </c>
      <c r="B245" s="125">
        <v>2</v>
      </c>
      <c r="C245" s="129">
        <v>0.003339787015918944</v>
      </c>
      <c r="D245" s="125" t="s">
        <v>1682</v>
      </c>
      <c r="E245" s="125" t="b">
        <v>0</v>
      </c>
      <c r="F245" s="125" t="b">
        <v>0</v>
      </c>
      <c r="G245" s="125" t="b">
        <v>0</v>
      </c>
    </row>
    <row r="246" spans="1:7" ht="15">
      <c r="A246" s="127" t="s">
        <v>1844</v>
      </c>
      <c r="B246" s="125">
        <v>2</v>
      </c>
      <c r="C246" s="129">
        <v>0.003339787015918944</v>
      </c>
      <c r="D246" s="125" t="s">
        <v>1682</v>
      </c>
      <c r="E246" s="125" t="b">
        <v>0</v>
      </c>
      <c r="F246" s="125" t="b">
        <v>0</v>
      </c>
      <c r="G246" s="125" t="b">
        <v>0</v>
      </c>
    </row>
    <row r="247" spans="1:7" ht="15">
      <c r="A247" s="127" t="s">
        <v>1845</v>
      </c>
      <c r="B247" s="125">
        <v>2</v>
      </c>
      <c r="C247" s="129">
        <v>0.003339787015918944</v>
      </c>
      <c r="D247" s="125" t="s">
        <v>1682</v>
      </c>
      <c r="E247" s="125" t="b">
        <v>0</v>
      </c>
      <c r="F247" s="125" t="b">
        <v>0</v>
      </c>
      <c r="G247" s="125" t="b">
        <v>0</v>
      </c>
    </row>
    <row r="248" spans="1:7" ht="15">
      <c r="A248" s="127" t="s">
        <v>1846</v>
      </c>
      <c r="B248" s="125">
        <v>2</v>
      </c>
      <c r="C248" s="129">
        <v>0.003339787015918944</v>
      </c>
      <c r="D248" s="125" t="s">
        <v>1682</v>
      </c>
      <c r="E248" s="125" t="b">
        <v>0</v>
      </c>
      <c r="F248" s="125" t="b">
        <v>0</v>
      </c>
      <c r="G248" s="125" t="b">
        <v>0</v>
      </c>
    </row>
    <row r="249" spans="1:7" ht="15">
      <c r="A249" s="127" t="s">
        <v>1538</v>
      </c>
      <c r="B249" s="125">
        <v>2</v>
      </c>
      <c r="C249" s="129">
        <v>0.003339787015918944</v>
      </c>
      <c r="D249" s="125" t="s">
        <v>1682</v>
      </c>
      <c r="E249" s="125" t="b">
        <v>0</v>
      </c>
      <c r="F249" s="125" t="b">
        <v>0</v>
      </c>
      <c r="G249" s="125" t="b">
        <v>0</v>
      </c>
    </row>
    <row r="250" spans="1:7" ht="15">
      <c r="A250" s="127" t="s">
        <v>1847</v>
      </c>
      <c r="B250" s="125">
        <v>2</v>
      </c>
      <c r="C250" s="129">
        <v>0.003339787015918944</v>
      </c>
      <c r="D250" s="125" t="s">
        <v>1682</v>
      </c>
      <c r="E250" s="125" t="b">
        <v>0</v>
      </c>
      <c r="F250" s="125" t="b">
        <v>0</v>
      </c>
      <c r="G250" s="125" t="b">
        <v>0</v>
      </c>
    </row>
    <row r="251" spans="1:7" ht="15">
      <c r="A251" s="127" t="s">
        <v>1848</v>
      </c>
      <c r="B251" s="125">
        <v>2</v>
      </c>
      <c r="C251" s="129">
        <v>0.003339787015918944</v>
      </c>
      <c r="D251" s="125" t="s">
        <v>1682</v>
      </c>
      <c r="E251" s="125" t="b">
        <v>0</v>
      </c>
      <c r="F251" s="125" t="b">
        <v>0</v>
      </c>
      <c r="G251" s="125" t="b">
        <v>0</v>
      </c>
    </row>
    <row r="252" spans="1:7" ht="15">
      <c r="A252" s="127" t="s">
        <v>1849</v>
      </c>
      <c r="B252" s="125">
        <v>2</v>
      </c>
      <c r="C252" s="129">
        <v>0.003339787015918944</v>
      </c>
      <c r="D252" s="125" t="s">
        <v>1682</v>
      </c>
      <c r="E252" s="125" t="b">
        <v>0</v>
      </c>
      <c r="F252" s="125" t="b">
        <v>0</v>
      </c>
      <c r="G252" s="125" t="b">
        <v>0</v>
      </c>
    </row>
    <row r="253" spans="1:7" ht="15">
      <c r="A253" s="127" t="s">
        <v>435</v>
      </c>
      <c r="B253" s="125">
        <v>2</v>
      </c>
      <c r="C253" s="129">
        <v>0.003339787015918944</v>
      </c>
      <c r="D253" s="125" t="s">
        <v>1682</v>
      </c>
      <c r="E253" s="125" t="b">
        <v>0</v>
      </c>
      <c r="F253" s="125" t="b">
        <v>0</v>
      </c>
      <c r="G253" s="125" t="b">
        <v>0</v>
      </c>
    </row>
    <row r="254" spans="1:7" ht="15">
      <c r="A254" s="127" t="s">
        <v>1564</v>
      </c>
      <c r="B254" s="125">
        <v>2</v>
      </c>
      <c r="C254" s="129">
        <v>0.003339787015918944</v>
      </c>
      <c r="D254" s="125" t="s">
        <v>1682</v>
      </c>
      <c r="E254" s="125" t="b">
        <v>0</v>
      </c>
      <c r="F254" s="125" t="b">
        <v>0</v>
      </c>
      <c r="G254" s="125" t="b">
        <v>0</v>
      </c>
    </row>
    <row r="255" spans="1:7" ht="15">
      <c r="A255" s="127" t="s">
        <v>1850</v>
      </c>
      <c r="B255" s="125">
        <v>2</v>
      </c>
      <c r="C255" s="129">
        <v>0.003339787015918944</v>
      </c>
      <c r="D255" s="125" t="s">
        <v>1682</v>
      </c>
      <c r="E255" s="125" t="b">
        <v>0</v>
      </c>
      <c r="F255" s="125" t="b">
        <v>0</v>
      </c>
      <c r="G255" s="125" t="b">
        <v>0</v>
      </c>
    </row>
    <row r="256" spans="1:7" ht="15">
      <c r="A256" s="127" t="s">
        <v>1851</v>
      </c>
      <c r="B256" s="125">
        <v>2</v>
      </c>
      <c r="C256" s="129">
        <v>0.003339787015918944</v>
      </c>
      <c r="D256" s="125" t="s">
        <v>1682</v>
      </c>
      <c r="E256" s="125" t="b">
        <v>0</v>
      </c>
      <c r="F256" s="125" t="b">
        <v>0</v>
      </c>
      <c r="G256" s="125" t="b">
        <v>0</v>
      </c>
    </row>
    <row r="257" spans="1:7" ht="15">
      <c r="A257" s="127" t="s">
        <v>1852</v>
      </c>
      <c r="B257" s="125">
        <v>2</v>
      </c>
      <c r="C257" s="129">
        <v>0.003339787015918944</v>
      </c>
      <c r="D257" s="125" t="s">
        <v>1682</v>
      </c>
      <c r="E257" s="125" t="b">
        <v>0</v>
      </c>
      <c r="F257" s="125" t="b">
        <v>0</v>
      </c>
      <c r="G257" s="125" t="b">
        <v>0</v>
      </c>
    </row>
    <row r="258" spans="1:7" ht="15">
      <c r="A258" s="127" t="s">
        <v>1853</v>
      </c>
      <c r="B258" s="125">
        <v>2</v>
      </c>
      <c r="C258" s="129">
        <v>0.003339787015918944</v>
      </c>
      <c r="D258" s="125" t="s">
        <v>1682</v>
      </c>
      <c r="E258" s="125" t="b">
        <v>0</v>
      </c>
      <c r="F258" s="125" t="b">
        <v>0</v>
      </c>
      <c r="G258" s="125" t="b">
        <v>0</v>
      </c>
    </row>
    <row r="259" spans="1:7" ht="15">
      <c r="A259" s="127" t="s">
        <v>1854</v>
      </c>
      <c r="B259" s="125">
        <v>2</v>
      </c>
      <c r="C259" s="129">
        <v>0.003339787015918944</v>
      </c>
      <c r="D259" s="125" t="s">
        <v>1682</v>
      </c>
      <c r="E259" s="125" t="b">
        <v>0</v>
      </c>
      <c r="F259" s="125" t="b">
        <v>0</v>
      </c>
      <c r="G259" s="125" t="b">
        <v>0</v>
      </c>
    </row>
    <row r="260" spans="1:7" ht="15">
      <c r="A260" s="127" t="s">
        <v>1855</v>
      </c>
      <c r="B260" s="125">
        <v>2</v>
      </c>
      <c r="C260" s="129">
        <v>0.003339787015918944</v>
      </c>
      <c r="D260" s="125" t="s">
        <v>1682</v>
      </c>
      <c r="E260" s="125" t="b">
        <v>0</v>
      </c>
      <c r="F260" s="125" t="b">
        <v>0</v>
      </c>
      <c r="G260" s="125" t="b">
        <v>0</v>
      </c>
    </row>
    <row r="261" spans="1:7" ht="15">
      <c r="A261" s="127" t="s">
        <v>1856</v>
      </c>
      <c r="B261" s="125">
        <v>2</v>
      </c>
      <c r="C261" s="129">
        <v>0.003339787015918944</v>
      </c>
      <c r="D261" s="125" t="s">
        <v>1682</v>
      </c>
      <c r="E261" s="125" t="b">
        <v>0</v>
      </c>
      <c r="F261" s="125" t="b">
        <v>0</v>
      </c>
      <c r="G261" s="125" t="b">
        <v>0</v>
      </c>
    </row>
    <row r="262" spans="1:7" ht="15">
      <c r="A262" s="127" t="s">
        <v>1857</v>
      </c>
      <c r="B262" s="125">
        <v>2</v>
      </c>
      <c r="C262" s="129">
        <v>0.003339787015918944</v>
      </c>
      <c r="D262" s="125" t="s">
        <v>1682</v>
      </c>
      <c r="E262" s="125" t="b">
        <v>0</v>
      </c>
      <c r="F262" s="125" t="b">
        <v>0</v>
      </c>
      <c r="G262" s="125" t="b">
        <v>0</v>
      </c>
    </row>
    <row r="263" spans="1:7" ht="15">
      <c r="A263" s="127" t="s">
        <v>1552</v>
      </c>
      <c r="B263" s="125">
        <v>2</v>
      </c>
      <c r="C263" s="129">
        <v>0.003339787015918944</v>
      </c>
      <c r="D263" s="125" t="s">
        <v>1682</v>
      </c>
      <c r="E263" s="125" t="b">
        <v>0</v>
      </c>
      <c r="F263" s="125" t="b">
        <v>0</v>
      </c>
      <c r="G263" s="125" t="b">
        <v>0</v>
      </c>
    </row>
    <row r="264" spans="1:7" ht="15">
      <c r="A264" s="127" t="s">
        <v>1858</v>
      </c>
      <c r="B264" s="125">
        <v>2</v>
      </c>
      <c r="C264" s="129">
        <v>0.003339787015918944</v>
      </c>
      <c r="D264" s="125" t="s">
        <v>1682</v>
      </c>
      <c r="E264" s="125" t="b">
        <v>0</v>
      </c>
      <c r="F264" s="125" t="b">
        <v>0</v>
      </c>
      <c r="G264" s="125" t="b">
        <v>0</v>
      </c>
    </row>
    <row r="265" spans="1:7" ht="15">
      <c r="A265" s="127" t="s">
        <v>1859</v>
      </c>
      <c r="B265" s="125">
        <v>2</v>
      </c>
      <c r="C265" s="129">
        <v>0.003339787015918944</v>
      </c>
      <c r="D265" s="125" t="s">
        <v>1682</v>
      </c>
      <c r="E265" s="125" t="b">
        <v>0</v>
      </c>
      <c r="F265" s="125" t="b">
        <v>0</v>
      </c>
      <c r="G265" s="125" t="b">
        <v>0</v>
      </c>
    </row>
    <row r="266" spans="1:7" ht="15">
      <c r="A266" s="127" t="s">
        <v>1860</v>
      </c>
      <c r="B266" s="125">
        <v>2</v>
      </c>
      <c r="C266" s="129">
        <v>0.003339787015918944</v>
      </c>
      <c r="D266" s="125" t="s">
        <v>1682</v>
      </c>
      <c r="E266" s="125" t="b">
        <v>0</v>
      </c>
      <c r="F266" s="125" t="b">
        <v>0</v>
      </c>
      <c r="G266" s="125" t="b">
        <v>0</v>
      </c>
    </row>
    <row r="267" spans="1:7" ht="15">
      <c r="A267" s="127" t="s">
        <v>490</v>
      </c>
      <c r="B267" s="125">
        <v>2</v>
      </c>
      <c r="C267" s="129">
        <v>0.003339787015918944</v>
      </c>
      <c r="D267" s="125" t="s">
        <v>1682</v>
      </c>
      <c r="E267" s="125" t="b">
        <v>0</v>
      </c>
      <c r="F267" s="125" t="b">
        <v>0</v>
      </c>
      <c r="G267" s="125" t="b">
        <v>0</v>
      </c>
    </row>
    <row r="268" spans="1:7" ht="15">
      <c r="A268" s="127" t="s">
        <v>1861</v>
      </c>
      <c r="B268" s="125">
        <v>2</v>
      </c>
      <c r="C268" s="129">
        <v>0.003339787015918944</v>
      </c>
      <c r="D268" s="125" t="s">
        <v>1682</v>
      </c>
      <c r="E268" s="125" t="b">
        <v>0</v>
      </c>
      <c r="F268" s="125" t="b">
        <v>0</v>
      </c>
      <c r="G268" s="125" t="b">
        <v>0</v>
      </c>
    </row>
    <row r="269" spans="1:7" ht="15">
      <c r="A269" s="127" t="s">
        <v>1528</v>
      </c>
      <c r="B269" s="125">
        <v>14</v>
      </c>
      <c r="C269" s="129">
        <v>0.0180153403580567</v>
      </c>
      <c r="D269" s="125" t="s">
        <v>1228</v>
      </c>
      <c r="E269" s="125" t="b">
        <v>0</v>
      </c>
      <c r="F269" s="125" t="b">
        <v>0</v>
      </c>
      <c r="G269" s="125" t="b">
        <v>0</v>
      </c>
    </row>
    <row r="270" spans="1:7" ht="15">
      <c r="A270" s="127" t="s">
        <v>1534</v>
      </c>
      <c r="B270" s="125">
        <v>14</v>
      </c>
      <c r="C270" s="129">
        <v>0.0180153403580567</v>
      </c>
      <c r="D270" s="125" t="s">
        <v>1228</v>
      </c>
      <c r="E270" s="125" t="b">
        <v>0</v>
      </c>
      <c r="F270" s="125" t="b">
        <v>0</v>
      </c>
      <c r="G270" s="125" t="b">
        <v>0</v>
      </c>
    </row>
    <row r="271" spans="1:7" ht="15">
      <c r="A271" s="127" t="s">
        <v>504</v>
      </c>
      <c r="B271" s="125">
        <v>14</v>
      </c>
      <c r="C271" s="129">
        <v>0.0180153403580567</v>
      </c>
      <c r="D271" s="125" t="s">
        <v>1228</v>
      </c>
      <c r="E271" s="125" t="b">
        <v>0</v>
      </c>
      <c r="F271" s="125" t="b">
        <v>0</v>
      </c>
      <c r="G271" s="125" t="b">
        <v>0</v>
      </c>
    </row>
    <row r="272" spans="1:7" ht="15">
      <c r="A272" s="127" t="s">
        <v>1541</v>
      </c>
      <c r="B272" s="125">
        <v>7</v>
      </c>
      <c r="C272" s="129">
        <v>0.01686083327982762</v>
      </c>
      <c r="D272" s="125" t="s">
        <v>1228</v>
      </c>
      <c r="E272" s="125" t="b">
        <v>0</v>
      </c>
      <c r="F272" s="125" t="b">
        <v>0</v>
      </c>
      <c r="G272" s="125" t="b">
        <v>0</v>
      </c>
    </row>
    <row r="273" spans="1:7" ht="15">
      <c r="A273" s="127" t="s">
        <v>1545</v>
      </c>
      <c r="B273" s="125">
        <v>6</v>
      </c>
      <c r="C273" s="129">
        <v>0.014452142811280816</v>
      </c>
      <c r="D273" s="125" t="s">
        <v>1228</v>
      </c>
      <c r="E273" s="125" t="b">
        <v>0</v>
      </c>
      <c r="F273" s="125" t="b">
        <v>0</v>
      </c>
      <c r="G273" s="125" t="b">
        <v>0</v>
      </c>
    </row>
    <row r="274" spans="1:7" ht="15">
      <c r="A274" s="127" t="s">
        <v>1555</v>
      </c>
      <c r="B274" s="125">
        <v>6</v>
      </c>
      <c r="C274" s="129">
        <v>0.014452142811280816</v>
      </c>
      <c r="D274" s="125" t="s">
        <v>1228</v>
      </c>
      <c r="E274" s="125" t="b">
        <v>0</v>
      </c>
      <c r="F274" s="125" t="b">
        <v>0</v>
      </c>
      <c r="G274" s="125" t="b">
        <v>0</v>
      </c>
    </row>
    <row r="275" spans="1:7" ht="15">
      <c r="A275" s="127" t="s">
        <v>530</v>
      </c>
      <c r="B275" s="125">
        <v>6</v>
      </c>
      <c r="C275" s="129">
        <v>0.014452142811280816</v>
      </c>
      <c r="D275" s="125" t="s">
        <v>1228</v>
      </c>
      <c r="E275" s="125" t="b">
        <v>0</v>
      </c>
      <c r="F275" s="125" t="b">
        <v>0</v>
      </c>
      <c r="G275" s="125" t="b">
        <v>0</v>
      </c>
    </row>
    <row r="276" spans="1:7" ht="15">
      <c r="A276" s="127" t="s">
        <v>1565</v>
      </c>
      <c r="B276" s="125">
        <v>4</v>
      </c>
      <c r="C276" s="129">
        <v>0.011782216252915033</v>
      </c>
      <c r="D276" s="125" t="s">
        <v>1228</v>
      </c>
      <c r="E276" s="125" t="b">
        <v>0</v>
      </c>
      <c r="F276" s="125" t="b">
        <v>0</v>
      </c>
      <c r="G276" s="125" t="b">
        <v>0</v>
      </c>
    </row>
    <row r="277" spans="1:7" ht="15">
      <c r="A277" s="127" t="s">
        <v>1560</v>
      </c>
      <c r="B277" s="125">
        <v>4</v>
      </c>
      <c r="C277" s="129">
        <v>0.015453313761012362</v>
      </c>
      <c r="D277" s="125" t="s">
        <v>1228</v>
      </c>
      <c r="E277" s="125" t="b">
        <v>0</v>
      </c>
      <c r="F277" s="125" t="b">
        <v>0</v>
      </c>
      <c r="G277" s="125" t="b">
        <v>0</v>
      </c>
    </row>
    <row r="278" spans="1:7" ht="15">
      <c r="A278" s="127" t="s">
        <v>1571</v>
      </c>
      <c r="B278" s="125">
        <v>4</v>
      </c>
      <c r="C278" s="129">
        <v>0.011782216252915033</v>
      </c>
      <c r="D278" s="125" t="s">
        <v>1228</v>
      </c>
      <c r="E278" s="125" t="b">
        <v>0</v>
      </c>
      <c r="F278" s="125" t="b">
        <v>0</v>
      </c>
      <c r="G278" s="125" t="b">
        <v>0</v>
      </c>
    </row>
    <row r="279" spans="1:7" ht="15">
      <c r="A279" s="127" t="s">
        <v>450</v>
      </c>
      <c r="B279" s="125">
        <v>3</v>
      </c>
      <c r="C279" s="129">
        <v>0.009979394536713407</v>
      </c>
      <c r="D279" s="125" t="s">
        <v>1228</v>
      </c>
      <c r="E279" s="125" t="b">
        <v>0</v>
      </c>
      <c r="F279" s="125" t="b">
        <v>0</v>
      </c>
      <c r="G279" s="125" t="b">
        <v>0</v>
      </c>
    </row>
    <row r="280" spans="1:7" ht="15">
      <c r="A280" s="127" t="s">
        <v>560</v>
      </c>
      <c r="B280" s="125">
        <v>3</v>
      </c>
      <c r="C280" s="129">
        <v>0.009979394536713407</v>
      </c>
      <c r="D280" s="125" t="s">
        <v>1228</v>
      </c>
      <c r="E280" s="125" t="b">
        <v>0</v>
      </c>
      <c r="F280" s="125" t="b">
        <v>0</v>
      </c>
      <c r="G280" s="125" t="b">
        <v>0</v>
      </c>
    </row>
    <row r="281" spans="1:7" ht="15">
      <c r="A281" s="127" t="s">
        <v>1829</v>
      </c>
      <c r="B281" s="125">
        <v>2</v>
      </c>
      <c r="C281" s="129">
        <v>0.007726656880506181</v>
      </c>
      <c r="D281" s="125" t="s">
        <v>1228</v>
      </c>
      <c r="E281" s="125" t="b">
        <v>0</v>
      </c>
      <c r="F281" s="125" t="b">
        <v>0</v>
      </c>
      <c r="G281" s="125" t="b">
        <v>0</v>
      </c>
    </row>
    <row r="282" spans="1:7" ht="15">
      <c r="A282" s="127" t="s">
        <v>1807</v>
      </c>
      <c r="B282" s="125">
        <v>2</v>
      </c>
      <c r="C282" s="129">
        <v>0.007726656880506181</v>
      </c>
      <c r="D282" s="125" t="s">
        <v>1228</v>
      </c>
      <c r="E282" s="125" t="b">
        <v>0</v>
      </c>
      <c r="F282" s="125" t="b">
        <v>0</v>
      </c>
      <c r="G282" s="125" t="b">
        <v>0</v>
      </c>
    </row>
    <row r="283" spans="1:7" ht="15">
      <c r="A283" s="127" t="s">
        <v>1851</v>
      </c>
      <c r="B283" s="125">
        <v>2</v>
      </c>
      <c r="C283" s="129">
        <v>0.007726656880506181</v>
      </c>
      <c r="D283" s="125" t="s">
        <v>1228</v>
      </c>
      <c r="E283" s="125" t="b">
        <v>0</v>
      </c>
      <c r="F283" s="125" t="b">
        <v>0</v>
      </c>
      <c r="G283" s="125" t="b">
        <v>0</v>
      </c>
    </row>
    <row r="284" spans="1:7" ht="15">
      <c r="A284" s="127" t="s">
        <v>1695</v>
      </c>
      <c r="B284" s="125">
        <v>2</v>
      </c>
      <c r="C284" s="129">
        <v>0.007726656880506181</v>
      </c>
      <c r="D284" s="125" t="s">
        <v>1228</v>
      </c>
      <c r="E284" s="125" t="b">
        <v>0</v>
      </c>
      <c r="F284" s="125" t="b">
        <v>0</v>
      </c>
      <c r="G284" s="125" t="b">
        <v>0</v>
      </c>
    </row>
    <row r="285" spans="1:7" ht="15">
      <c r="A285" s="127" t="s">
        <v>1715</v>
      </c>
      <c r="B285" s="125">
        <v>2</v>
      </c>
      <c r="C285" s="129">
        <v>0.007726656880506181</v>
      </c>
      <c r="D285" s="125" t="s">
        <v>1228</v>
      </c>
      <c r="E285" s="125" t="b">
        <v>0</v>
      </c>
      <c r="F285" s="125" t="b">
        <v>0</v>
      </c>
      <c r="G285" s="125" t="b">
        <v>0</v>
      </c>
    </row>
    <row r="286" spans="1:7" ht="15">
      <c r="A286" s="127" t="s">
        <v>1795</v>
      </c>
      <c r="B286" s="125">
        <v>2</v>
      </c>
      <c r="C286" s="129">
        <v>0.007726656880506181</v>
      </c>
      <c r="D286" s="125" t="s">
        <v>1228</v>
      </c>
      <c r="E286" s="125" t="b">
        <v>0</v>
      </c>
      <c r="F286" s="125" t="b">
        <v>0</v>
      </c>
      <c r="G286" s="125" t="b">
        <v>0</v>
      </c>
    </row>
    <row r="287" spans="1:7" ht="15">
      <c r="A287" s="127" t="s">
        <v>1846</v>
      </c>
      <c r="B287" s="125">
        <v>2</v>
      </c>
      <c r="C287" s="129">
        <v>0.007726656880506181</v>
      </c>
      <c r="D287" s="125" t="s">
        <v>1228</v>
      </c>
      <c r="E287" s="125" t="b">
        <v>0</v>
      </c>
      <c r="F287" s="125" t="b">
        <v>0</v>
      </c>
      <c r="G287" s="125" t="b">
        <v>0</v>
      </c>
    </row>
    <row r="288" spans="1:7" ht="15">
      <c r="A288" s="127" t="s">
        <v>1804</v>
      </c>
      <c r="B288" s="125">
        <v>2</v>
      </c>
      <c r="C288" s="129">
        <v>0.007726656880506181</v>
      </c>
      <c r="D288" s="125" t="s">
        <v>1228</v>
      </c>
      <c r="E288" s="125" t="b">
        <v>0</v>
      </c>
      <c r="F288" s="125" t="b">
        <v>0</v>
      </c>
      <c r="G288" s="125" t="b">
        <v>0</v>
      </c>
    </row>
    <row r="289" spans="1:7" ht="15">
      <c r="A289" s="127" t="s">
        <v>555</v>
      </c>
      <c r="B289" s="125">
        <v>2</v>
      </c>
      <c r="C289" s="129">
        <v>0.007726656880506181</v>
      </c>
      <c r="D289" s="125" t="s">
        <v>1228</v>
      </c>
      <c r="E289" s="125" t="b">
        <v>0</v>
      </c>
      <c r="F289" s="125" t="b">
        <v>0</v>
      </c>
      <c r="G289" s="125" t="b">
        <v>0</v>
      </c>
    </row>
    <row r="290" spans="1:7" ht="15">
      <c r="A290" s="127" t="s">
        <v>1725</v>
      </c>
      <c r="B290" s="125">
        <v>2</v>
      </c>
      <c r="C290" s="129">
        <v>0.007726656880506181</v>
      </c>
      <c r="D290" s="125" t="s">
        <v>1228</v>
      </c>
      <c r="E290" s="125" t="b">
        <v>0</v>
      </c>
      <c r="F290" s="125" t="b">
        <v>0</v>
      </c>
      <c r="G290" s="125" t="b">
        <v>0</v>
      </c>
    </row>
    <row r="291" spans="1:7" ht="15">
      <c r="A291" s="127" t="s">
        <v>1791</v>
      </c>
      <c r="B291" s="125">
        <v>2</v>
      </c>
      <c r="C291" s="129">
        <v>0.007726656880506181</v>
      </c>
      <c r="D291" s="125" t="s">
        <v>1228</v>
      </c>
      <c r="E291" s="125" t="b">
        <v>0</v>
      </c>
      <c r="F291" s="125" t="b">
        <v>0</v>
      </c>
      <c r="G291" s="125" t="b">
        <v>0</v>
      </c>
    </row>
    <row r="292" spans="1:7" ht="15">
      <c r="A292" s="127" t="s">
        <v>1782</v>
      </c>
      <c r="B292" s="125">
        <v>2</v>
      </c>
      <c r="C292" s="129">
        <v>0.007726656880506181</v>
      </c>
      <c r="D292" s="125" t="s">
        <v>1228</v>
      </c>
      <c r="E292" s="125" t="b">
        <v>0</v>
      </c>
      <c r="F292" s="125" t="b">
        <v>0</v>
      </c>
      <c r="G292" s="125" t="b">
        <v>0</v>
      </c>
    </row>
    <row r="293" spans="1:7" ht="15">
      <c r="A293" s="127" t="s">
        <v>1849</v>
      </c>
      <c r="B293" s="125">
        <v>2</v>
      </c>
      <c r="C293" s="129">
        <v>0.007726656880506181</v>
      </c>
      <c r="D293" s="125" t="s">
        <v>1228</v>
      </c>
      <c r="E293" s="125" t="b">
        <v>0</v>
      </c>
      <c r="F293" s="125" t="b">
        <v>0</v>
      </c>
      <c r="G293" s="125" t="b">
        <v>0</v>
      </c>
    </row>
    <row r="294" spans="1:7" ht="15">
      <c r="A294" s="127" t="s">
        <v>1743</v>
      </c>
      <c r="B294" s="125">
        <v>2</v>
      </c>
      <c r="C294" s="129">
        <v>0.007726656880506181</v>
      </c>
      <c r="D294" s="125" t="s">
        <v>1228</v>
      </c>
      <c r="E294" s="125" t="b">
        <v>0</v>
      </c>
      <c r="F294" s="125" t="b">
        <v>0</v>
      </c>
      <c r="G294" s="125" t="b">
        <v>0</v>
      </c>
    </row>
    <row r="295" spans="1:7" ht="15">
      <c r="A295" s="127" t="s">
        <v>1539</v>
      </c>
      <c r="B295" s="125">
        <v>2</v>
      </c>
      <c r="C295" s="129">
        <v>0.007726656880506181</v>
      </c>
      <c r="D295" s="125" t="s">
        <v>1228</v>
      </c>
      <c r="E295" s="125" t="b">
        <v>0</v>
      </c>
      <c r="F295" s="125" t="b">
        <v>0</v>
      </c>
      <c r="G295" s="125" t="b">
        <v>0</v>
      </c>
    </row>
    <row r="296" spans="1:7" ht="15">
      <c r="A296" s="127" t="s">
        <v>1734</v>
      </c>
      <c r="B296" s="125">
        <v>2</v>
      </c>
      <c r="C296" s="129">
        <v>0.007726656880506181</v>
      </c>
      <c r="D296" s="125" t="s">
        <v>1228</v>
      </c>
      <c r="E296" s="125" t="b">
        <v>0</v>
      </c>
      <c r="F296" s="125" t="b">
        <v>0</v>
      </c>
      <c r="G296" s="125" t="b">
        <v>0</v>
      </c>
    </row>
    <row r="297" spans="1:7" ht="15">
      <c r="A297" s="127" t="s">
        <v>1770</v>
      </c>
      <c r="B297" s="125">
        <v>2</v>
      </c>
      <c r="C297" s="129">
        <v>0.007726656880506181</v>
      </c>
      <c r="D297" s="125" t="s">
        <v>1228</v>
      </c>
      <c r="E297" s="125" t="b">
        <v>0</v>
      </c>
      <c r="F297" s="125" t="b">
        <v>0</v>
      </c>
      <c r="G297" s="125" t="b">
        <v>0</v>
      </c>
    </row>
    <row r="298" spans="1:7" ht="15">
      <c r="A298" s="127" t="s">
        <v>435</v>
      </c>
      <c r="B298" s="125">
        <v>2</v>
      </c>
      <c r="C298" s="129">
        <v>0.007726656880506181</v>
      </c>
      <c r="D298" s="125" t="s">
        <v>1228</v>
      </c>
      <c r="E298" s="125" t="b">
        <v>0</v>
      </c>
      <c r="F298" s="125" t="b">
        <v>0</v>
      </c>
      <c r="G298" s="125" t="b">
        <v>0</v>
      </c>
    </row>
    <row r="299" spans="1:7" ht="15">
      <c r="A299" s="127" t="s">
        <v>1732</v>
      </c>
      <c r="B299" s="125">
        <v>2</v>
      </c>
      <c r="C299" s="129">
        <v>0.007726656880506181</v>
      </c>
      <c r="D299" s="125" t="s">
        <v>1228</v>
      </c>
      <c r="E299" s="125" t="b">
        <v>0</v>
      </c>
      <c r="F299" s="125" t="b">
        <v>0</v>
      </c>
      <c r="G299" s="125" t="b">
        <v>0</v>
      </c>
    </row>
    <row r="300" spans="1:7" ht="15">
      <c r="A300" s="127" t="s">
        <v>1780</v>
      </c>
      <c r="B300" s="125">
        <v>2</v>
      </c>
      <c r="C300" s="129">
        <v>0.007726656880506181</v>
      </c>
      <c r="D300" s="125" t="s">
        <v>1228</v>
      </c>
      <c r="E300" s="125" t="b">
        <v>0</v>
      </c>
      <c r="F300" s="125" t="b">
        <v>0</v>
      </c>
      <c r="G300" s="125" t="b">
        <v>0</v>
      </c>
    </row>
    <row r="301" spans="1:7" ht="15">
      <c r="A301" s="127" t="s">
        <v>1852</v>
      </c>
      <c r="B301" s="125">
        <v>2</v>
      </c>
      <c r="C301" s="129">
        <v>0.007726656880506181</v>
      </c>
      <c r="D301" s="125" t="s">
        <v>1228</v>
      </c>
      <c r="E301" s="125" t="b">
        <v>0</v>
      </c>
      <c r="F301" s="125" t="b">
        <v>0</v>
      </c>
      <c r="G301" s="125" t="b">
        <v>0</v>
      </c>
    </row>
    <row r="302" spans="1:7" ht="15">
      <c r="A302" s="127" t="s">
        <v>1684</v>
      </c>
      <c r="B302" s="125">
        <v>2</v>
      </c>
      <c r="C302" s="129">
        <v>0.007726656880506181</v>
      </c>
      <c r="D302" s="125" t="s">
        <v>1228</v>
      </c>
      <c r="E302" s="125" t="b">
        <v>0</v>
      </c>
      <c r="F302" s="125" t="b">
        <v>0</v>
      </c>
      <c r="G302" s="125" t="b">
        <v>0</v>
      </c>
    </row>
    <row r="303" spans="1:7" ht="15">
      <c r="A303" s="127" t="s">
        <v>1740</v>
      </c>
      <c r="B303" s="125">
        <v>2</v>
      </c>
      <c r="C303" s="129">
        <v>0.007726656880506181</v>
      </c>
      <c r="D303" s="125" t="s">
        <v>1228</v>
      </c>
      <c r="E303" s="125" t="b">
        <v>0</v>
      </c>
      <c r="F303" s="125" t="b">
        <v>0</v>
      </c>
      <c r="G303" s="125" t="b">
        <v>0</v>
      </c>
    </row>
    <row r="304" spans="1:7" ht="15">
      <c r="A304" s="127" t="s">
        <v>1716</v>
      </c>
      <c r="B304" s="125">
        <v>2</v>
      </c>
      <c r="C304" s="129">
        <v>0.007726656880506181</v>
      </c>
      <c r="D304" s="125" t="s">
        <v>1228</v>
      </c>
      <c r="E304" s="125" t="b">
        <v>0</v>
      </c>
      <c r="F304" s="125" t="b">
        <v>0</v>
      </c>
      <c r="G304" s="125" t="b">
        <v>0</v>
      </c>
    </row>
    <row r="305" spans="1:7" ht="15">
      <c r="A305" s="127" t="s">
        <v>1798</v>
      </c>
      <c r="B305" s="125">
        <v>2</v>
      </c>
      <c r="C305" s="129">
        <v>0.007726656880506181</v>
      </c>
      <c r="D305" s="125" t="s">
        <v>1228</v>
      </c>
      <c r="E305" s="125" t="b">
        <v>0</v>
      </c>
      <c r="F305" s="125" t="b">
        <v>0</v>
      </c>
      <c r="G305" s="125" t="b">
        <v>0</v>
      </c>
    </row>
    <row r="306" spans="1:7" ht="15">
      <c r="A306" s="127" t="s">
        <v>1768</v>
      </c>
      <c r="B306" s="125">
        <v>2</v>
      </c>
      <c r="C306" s="129">
        <v>0.007726656880506181</v>
      </c>
      <c r="D306" s="125" t="s">
        <v>1228</v>
      </c>
      <c r="E306" s="125" t="b">
        <v>0</v>
      </c>
      <c r="F306" s="125" t="b">
        <v>0</v>
      </c>
      <c r="G306" s="125" t="b">
        <v>0</v>
      </c>
    </row>
    <row r="307" spans="1:7" ht="15">
      <c r="A307" s="127" t="s">
        <v>1706</v>
      </c>
      <c r="B307" s="125">
        <v>2</v>
      </c>
      <c r="C307" s="129">
        <v>0.007726656880506181</v>
      </c>
      <c r="D307" s="125" t="s">
        <v>1228</v>
      </c>
      <c r="E307" s="125" t="b">
        <v>0</v>
      </c>
      <c r="F307" s="125" t="b">
        <v>0</v>
      </c>
      <c r="G307" s="125" t="b">
        <v>0</v>
      </c>
    </row>
    <row r="308" spans="1:7" ht="15">
      <c r="A308" s="127" t="s">
        <v>1737</v>
      </c>
      <c r="B308" s="125">
        <v>2</v>
      </c>
      <c r="C308" s="129">
        <v>0.007726656880506181</v>
      </c>
      <c r="D308" s="125" t="s">
        <v>1228</v>
      </c>
      <c r="E308" s="125" t="b">
        <v>0</v>
      </c>
      <c r="F308" s="125" t="b">
        <v>0</v>
      </c>
      <c r="G308" s="125" t="b">
        <v>0</v>
      </c>
    </row>
    <row r="309" spans="1:7" ht="15">
      <c r="A309" s="127" t="s">
        <v>1820</v>
      </c>
      <c r="B309" s="125">
        <v>2</v>
      </c>
      <c r="C309" s="129">
        <v>0.007726656880506181</v>
      </c>
      <c r="D309" s="125" t="s">
        <v>1228</v>
      </c>
      <c r="E309" s="125" t="b">
        <v>0</v>
      </c>
      <c r="F309" s="125" t="b">
        <v>0</v>
      </c>
      <c r="G309" s="125" t="b">
        <v>0</v>
      </c>
    </row>
    <row r="310" spans="1:7" ht="15">
      <c r="A310" s="127" t="s">
        <v>1826</v>
      </c>
      <c r="B310" s="125">
        <v>2</v>
      </c>
      <c r="C310" s="129">
        <v>0.007726656880506181</v>
      </c>
      <c r="D310" s="125" t="s">
        <v>1228</v>
      </c>
      <c r="E310" s="125" t="b">
        <v>0</v>
      </c>
      <c r="F310" s="125" t="b">
        <v>0</v>
      </c>
      <c r="G310" s="125" t="b">
        <v>0</v>
      </c>
    </row>
    <row r="311" spans="1:7" ht="15">
      <c r="A311" s="127" t="s">
        <v>1784</v>
      </c>
      <c r="B311" s="125">
        <v>2</v>
      </c>
      <c r="C311" s="129">
        <v>0.007726656880506181</v>
      </c>
      <c r="D311" s="125" t="s">
        <v>1228</v>
      </c>
      <c r="E311" s="125" t="b">
        <v>0</v>
      </c>
      <c r="F311" s="125" t="b">
        <v>0</v>
      </c>
      <c r="G311" s="125" t="b">
        <v>0</v>
      </c>
    </row>
    <row r="312" spans="1:7" ht="15">
      <c r="A312" s="127" t="s">
        <v>1759</v>
      </c>
      <c r="B312" s="125">
        <v>2</v>
      </c>
      <c r="C312" s="129">
        <v>0.007726656880506181</v>
      </c>
      <c r="D312" s="125" t="s">
        <v>1228</v>
      </c>
      <c r="E312" s="125" t="b">
        <v>0</v>
      </c>
      <c r="F312" s="125" t="b">
        <v>0</v>
      </c>
      <c r="G312" s="125" t="b">
        <v>0</v>
      </c>
    </row>
    <row r="313" spans="1:7" ht="15">
      <c r="A313" s="127" t="s">
        <v>1765</v>
      </c>
      <c r="B313" s="125">
        <v>2</v>
      </c>
      <c r="C313" s="129">
        <v>0.007726656880506181</v>
      </c>
      <c r="D313" s="125" t="s">
        <v>1228</v>
      </c>
      <c r="E313" s="125" t="b">
        <v>0</v>
      </c>
      <c r="F313" s="125" t="b">
        <v>0</v>
      </c>
      <c r="G313" s="125" t="b">
        <v>0</v>
      </c>
    </row>
    <row r="314" spans="1:7" ht="15">
      <c r="A314" s="127" t="s">
        <v>1811</v>
      </c>
      <c r="B314" s="125">
        <v>2</v>
      </c>
      <c r="C314" s="129">
        <v>0.007726656880506181</v>
      </c>
      <c r="D314" s="125" t="s">
        <v>1228</v>
      </c>
      <c r="E314" s="125" t="b">
        <v>0</v>
      </c>
      <c r="F314" s="125" t="b">
        <v>0</v>
      </c>
      <c r="G314" s="125" t="b">
        <v>0</v>
      </c>
    </row>
    <row r="315" spans="1:7" ht="15">
      <c r="A315" s="127" t="s">
        <v>1754</v>
      </c>
      <c r="B315" s="125">
        <v>2</v>
      </c>
      <c r="C315" s="129">
        <v>0.007726656880506181</v>
      </c>
      <c r="D315" s="125" t="s">
        <v>1228</v>
      </c>
      <c r="E315" s="125" t="b">
        <v>0</v>
      </c>
      <c r="F315" s="125" t="b">
        <v>0</v>
      </c>
      <c r="G315" s="125" t="b">
        <v>0</v>
      </c>
    </row>
    <row r="316" spans="1:7" ht="15">
      <c r="A316" s="127" t="s">
        <v>1720</v>
      </c>
      <c r="B316" s="125">
        <v>2</v>
      </c>
      <c r="C316" s="129">
        <v>0.007726656880506181</v>
      </c>
      <c r="D316" s="125" t="s">
        <v>1228</v>
      </c>
      <c r="E316" s="125" t="b">
        <v>0</v>
      </c>
      <c r="F316" s="125" t="b">
        <v>0</v>
      </c>
      <c r="G316" s="125" t="b">
        <v>0</v>
      </c>
    </row>
    <row r="317" spans="1:7" ht="15">
      <c r="A317" s="127" t="s">
        <v>1814</v>
      </c>
      <c r="B317" s="125">
        <v>2</v>
      </c>
      <c r="C317" s="129">
        <v>0.007726656880506181</v>
      </c>
      <c r="D317" s="125" t="s">
        <v>1228</v>
      </c>
      <c r="E317" s="125" t="b">
        <v>0</v>
      </c>
      <c r="F317" s="125" t="b">
        <v>0</v>
      </c>
      <c r="G317" s="125" t="b">
        <v>0</v>
      </c>
    </row>
    <row r="318" spans="1:7" ht="15">
      <c r="A318" s="127" t="s">
        <v>1752</v>
      </c>
      <c r="B318" s="125">
        <v>2</v>
      </c>
      <c r="C318" s="129">
        <v>0.007726656880506181</v>
      </c>
      <c r="D318" s="125" t="s">
        <v>1228</v>
      </c>
      <c r="E318" s="125" t="b">
        <v>0</v>
      </c>
      <c r="F318" s="125" t="b">
        <v>0</v>
      </c>
      <c r="G318" s="125" t="b">
        <v>0</v>
      </c>
    </row>
    <row r="319" spans="1:7" ht="15">
      <c r="A319" s="127" t="s">
        <v>1835</v>
      </c>
      <c r="B319" s="125">
        <v>2</v>
      </c>
      <c r="C319" s="129">
        <v>0.007726656880506181</v>
      </c>
      <c r="D319" s="125" t="s">
        <v>1228</v>
      </c>
      <c r="E319" s="125" t="b">
        <v>0</v>
      </c>
      <c r="F319" s="125" t="b">
        <v>0</v>
      </c>
      <c r="G319" s="125" t="b">
        <v>0</v>
      </c>
    </row>
    <row r="320" spans="1:7" ht="15">
      <c r="A320" s="127" t="s">
        <v>1805</v>
      </c>
      <c r="B320" s="125">
        <v>2</v>
      </c>
      <c r="C320" s="129">
        <v>0.007726656880506181</v>
      </c>
      <c r="D320" s="125" t="s">
        <v>1228</v>
      </c>
      <c r="E320" s="125" t="b">
        <v>0</v>
      </c>
      <c r="F320" s="125" t="b">
        <v>0</v>
      </c>
      <c r="G320" s="125" t="b">
        <v>0</v>
      </c>
    </row>
    <row r="321" spans="1:7" ht="15">
      <c r="A321" s="127" t="s">
        <v>1778</v>
      </c>
      <c r="B321" s="125">
        <v>2</v>
      </c>
      <c r="C321" s="129">
        <v>0.007726656880506181</v>
      </c>
      <c r="D321" s="125" t="s">
        <v>1228</v>
      </c>
      <c r="E321" s="125" t="b">
        <v>0</v>
      </c>
      <c r="F321" s="125" t="b">
        <v>0</v>
      </c>
      <c r="G321" s="125" t="b">
        <v>0</v>
      </c>
    </row>
    <row r="322" spans="1:7" ht="15">
      <c r="A322" s="127" t="s">
        <v>1824</v>
      </c>
      <c r="B322" s="125">
        <v>2</v>
      </c>
      <c r="C322" s="129">
        <v>0.007726656880506181</v>
      </c>
      <c r="D322" s="125" t="s">
        <v>1228</v>
      </c>
      <c r="E322" s="125" t="b">
        <v>0</v>
      </c>
      <c r="F322" s="125" t="b">
        <v>0</v>
      </c>
      <c r="G322" s="125" t="b">
        <v>0</v>
      </c>
    </row>
    <row r="323" spans="1:7" ht="15">
      <c r="A323" s="127" t="s">
        <v>1748</v>
      </c>
      <c r="B323" s="125">
        <v>2</v>
      </c>
      <c r="C323" s="129">
        <v>0.007726656880506181</v>
      </c>
      <c r="D323" s="125" t="s">
        <v>1228</v>
      </c>
      <c r="E323" s="125" t="b">
        <v>0</v>
      </c>
      <c r="F323" s="125" t="b">
        <v>0</v>
      </c>
      <c r="G323" s="125" t="b">
        <v>0</v>
      </c>
    </row>
    <row r="324" spans="1:7" ht="15">
      <c r="A324" s="127" t="s">
        <v>1773</v>
      </c>
      <c r="B324" s="125">
        <v>2</v>
      </c>
      <c r="C324" s="129">
        <v>0.007726656880506181</v>
      </c>
      <c r="D324" s="125" t="s">
        <v>1228</v>
      </c>
      <c r="E324" s="125" t="b">
        <v>0</v>
      </c>
      <c r="F324" s="125" t="b">
        <v>0</v>
      </c>
      <c r="G324" s="125" t="b">
        <v>0</v>
      </c>
    </row>
    <row r="325" spans="1:7" ht="15">
      <c r="A325" s="127" t="s">
        <v>1744</v>
      </c>
      <c r="B325" s="125">
        <v>2</v>
      </c>
      <c r="C325" s="129">
        <v>0.007726656880506181</v>
      </c>
      <c r="D325" s="125" t="s">
        <v>1228</v>
      </c>
      <c r="E325" s="125" t="b">
        <v>0</v>
      </c>
      <c r="F325" s="125" t="b">
        <v>0</v>
      </c>
      <c r="G325" s="125" t="b">
        <v>0</v>
      </c>
    </row>
    <row r="326" spans="1:7" ht="15">
      <c r="A326" s="127" t="s">
        <v>1837</v>
      </c>
      <c r="B326" s="125">
        <v>2</v>
      </c>
      <c r="C326" s="129">
        <v>0.009562205634554849</v>
      </c>
      <c r="D326" s="125" t="s">
        <v>1228</v>
      </c>
      <c r="E326" s="125" t="b">
        <v>0</v>
      </c>
      <c r="F326" s="125" t="b">
        <v>0</v>
      </c>
      <c r="G326" s="125" t="b">
        <v>0</v>
      </c>
    </row>
    <row r="327" spans="1:7" ht="15">
      <c r="A327" s="127" t="s">
        <v>480</v>
      </c>
      <c r="B327" s="125">
        <v>2</v>
      </c>
      <c r="C327" s="129">
        <v>0.007726656880506181</v>
      </c>
      <c r="D327" s="125" t="s">
        <v>1228</v>
      </c>
      <c r="E327" s="125" t="b">
        <v>0</v>
      </c>
      <c r="F327" s="125" t="b">
        <v>0</v>
      </c>
      <c r="G327" s="125" t="b">
        <v>0</v>
      </c>
    </row>
    <row r="328" spans="1:7" ht="15">
      <c r="A328" s="127" t="s">
        <v>1796</v>
      </c>
      <c r="B328" s="125">
        <v>2</v>
      </c>
      <c r="C328" s="129">
        <v>0.007726656880506181</v>
      </c>
      <c r="D328" s="125" t="s">
        <v>1228</v>
      </c>
      <c r="E328" s="125" t="b">
        <v>0</v>
      </c>
      <c r="F328" s="125" t="b">
        <v>0</v>
      </c>
      <c r="G328" s="125" t="b">
        <v>0</v>
      </c>
    </row>
    <row r="329" spans="1:7" ht="15">
      <c r="A329" s="127" t="s">
        <v>1809</v>
      </c>
      <c r="B329" s="125">
        <v>2</v>
      </c>
      <c r="C329" s="129">
        <v>0.007726656880506181</v>
      </c>
      <c r="D329" s="125" t="s">
        <v>1228</v>
      </c>
      <c r="E329" s="125" t="b">
        <v>0</v>
      </c>
      <c r="F329" s="125" t="b">
        <v>0</v>
      </c>
      <c r="G329" s="125" t="b">
        <v>0</v>
      </c>
    </row>
    <row r="330" spans="1:7" ht="15">
      <c r="A330" s="127" t="s">
        <v>1724</v>
      </c>
      <c r="B330" s="125">
        <v>2</v>
      </c>
      <c r="C330" s="129">
        <v>0.007726656880506181</v>
      </c>
      <c r="D330" s="125" t="s">
        <v>1228</v>
      </c>
      <c r="E330" s="125" t="b">
        <v>0</v>
      </c>
      <c r="F330" s="125" t="b">
        <v>0</v>
      </c>
      <c r="G330" s="125" t="b">
        <v>0</v>
      </c>
    </row>
    <row r="331" spans="1:7" ht="15">
      <c r="A331" s="127" t="s">
        <v>1836</v>
      </c>
      <c r="B331" s="125">
        <v>2</v>
      </c>
      <c r="C331" s="129">
        <v>0.007726656880506181</v>
      </c>
      <c r="D331" s="125" t="s">
        <v>1228</v>
      </c>
      <c r="E331" s="125" t="b">
        <v>0</v>
      </c>
      <c r="F331" s="125" t="b">
        <v>0</v>
      </c>
      <c r="G331" s="125" t="b">
        <v>0</v>
      </c>
    </row>
    <row r="332" spans="1:7" ht="15">
      <c r="A332" s="127" t="s">
        <v>1806</v>
      </c>
      <c r="B332" s="125">
        <v>2</v>
      </c>
      <c r="C332" s="129">
        <v>0.007726656880506181</v>
      </c>
      <c r="D332" s="125" t="s">
        <v>1228</v>
      </c>
      <c r="E332" s="125" t="b">
        <v>0</v>
      </c>
      <c r="F332" s="125" t="b">
        <v>0</v>
      </c>
      <c r="G332" s="125" t="b">
        <v>0</v>
      </c>
    </row>
    <row r="333" spans="1:7" ht="15">
      <c r="A333" s="127" t="s">
        <v>1728</v>
      </c>
      <c r="B333" s="125">
        <v>2</v>
      </c>
      <c r="C333" s="129">
        <v>0.007726656880506181</v>
      </c>
      <c r="D333" s="125" t="s">
        <v>1228</v>
      </c>
      <c r="E333" s="125" t="b">
        <v>0</v>
      </c>
      <c r="F333" s="125" t="b">
        <v>0</v>
      </c>
      <c r="G333" s="125" t="b">
        <v>0</v>
      </c>
    </row>
    <row r="334" spans="1:7" ht="15">
      <c r="A334" s="127" t="s">
        <v>1834</v>
      </c>
      <c r="B334" s="125">
        <v>2</v>
      </c>
      <c r="C334" s="129">
        <v>0.007726656880506181</v>
      </c>
      <c r="D334" s="125" t="s">
        <v>1228</v>
      </c>
      <c r="E334" s="125" t="b">
        <v>0</v>
      </c>
      <c r="F334" s="125" t="b">
        <v>0</v>
      </c>
      <c r="G334" s="125" t="b">
        <v>0</v>
      </c>
    </row>
    <row r="335" spans="1:7" ht="15">
      <c r="A335" s="127" t="s">
        <v>1745</v>
      </c>
      <c r="B335" s="125">
        <v>2</v>
      </c>
      <c r="C335" s="129">
        <v>0.007726656880506181</v>
      </c>
      <c r="D335" s="125" t="s">
        <v>1228</v>
      </c>
      <c r="E335" s="125" t="b">
        <v>0</v>
      </c>
      <c r="F335" s="125" t="b">
        <v>0</v>
      </c>
      <c r="G335" s="125" t="b">
        <v>0</v>
      </c>
    </row>
    <row r="336" spans="1:7" ht="15">
      <c r="A336" s="127" t="s">
        <v>1698</v>
      </c>
      <c r="B336" s="125">
        <v>2</v>
      </c>
      <c r="C336" s="129">
        <v>0.007726656880506181</v>
      </c>
      <c r="D336" s="125" t="s">
        <v>1228</v>
      </c>
      <c r="E336" s="125" t="b">
        <v>0</v>
      </c>
      <c r="F336" s="125" t="b">
        <v>0</v>
      </c>
      <c r="G336" s="125" t="b">
        <v>0</v>
      </c>
    </row>
    <row r="337" spans="1:7" ht="15">
      <c r="A337" s="127" t="s">
        <v>1841</v>
      </c>
      <c r="B337" s="125">
        <v>2</v>
      </c>
      <c r="C337" s="129">
        <v>0.007726656880506181</v>
      </c>
      <c r="D337" s="125" t="s">
        <v>1228</v>
      </c>
      <c r="E337" s="125" t="b">
        <v>0</v>
      </c>
      <c r="F337" s="125" t="b">
        <v>0</v>
      </c>
      <c r="G337" s="125" t="b">
        <v>0</v>
      </c>
    </row>
    <row r="338" spans="1:7" ht="15">
      <c r="A338" s="127" t="s">
        <v>1822</v>
      </c>
      <c r="B338" s="125">
        <v>2</v>
      </c>
      <c r="C338" s="129">
        <v>0.007726656880506181</v>
      </c>
      <c r="D338" s="125" t="s">
        <v>1228</v>
      </c>
      <c r="E338" s="125" t="b">
        <v>0</v>
      </c>
      <c r="F338" s="125" t="b">
        <v>0</v>
      </c>
      <c r="G338" s="125" t="b">
        <v>0</v>
      </c>
    </row>
    <row r="339" spans="1:7" ht="15">
      <c r="A339" s="127" t="s">
        <v>1789</v>
      </c>
      <c r="B339" s="125">
        <v>2</v>
      </c>
      <c r="C339" s="129">
        <v>0.007726656880506181</v>
      </c>
      <c r="D339" s="125" t="s">
        <v>1228</v>
      </c>
      <c r="E339" s="125" t="b">
        <v>0</v>
      </c>
      <c r="F339" s="125" t="b">
        <v>0</v>
      </c>
      <c r="G339" s="125" t="b">
        <v>0</v>
      </c>
    </row>
    <row r="340" spans="1:7" ht="15">
      <c r="A340" s="127" t="s">
        <v>1779</v>
      </c>
      <c r="B340" s="125">
        <v>2</v>
      </c>
      <c r="C340" s="129">
        <v>0.007726656880506181</v>
      </c>
      <c r="D340" s="125" t="s">
        <v>1228</v>
      </c>
      <c r="E340" s="125" t="b">
        <v>0</v>
      </c>
      <c r="F340" s="125" t="b">
        <v>0</v>
      </c>
      <c r="G340" s="125" t="b">
        <v>0</v>
      </c>
    </row>
    <row r="341" spans="1:7" ht="15">
      <c r="A341" s="127" t="s">
        <v>1854</v>
      </c>
      <c r="B341" s="125">
        <v>2</v>
      </c>
      <c r="C341" s="129">
        <v>0.007726656880506181</v>
      </c>
      <c r="D341" s="125" t="s">
        <v>1228</v>
      </c>
      <c r="E341" s="125" t="b">
        <v>0</v>
      </c>
      <c r="F341" s="125" t="b">
        <v>0</v>
      </c>
      <c r="G341" s="125" t="b">
        <v>0</v>
      </c>
    </row>
    <row r="342" spans="1:7" ht="15">
      <c r="A342" s="127" t="s">
        <v>1860</v>
      </c>
      <c r="B342" s="125">
        <v>2</v>
      </c>
      <c r="C342" s="129">
        <v>0.007726656880506181</v>
      </c>
      <c r="D342" s="125" t="s">
        <v>1228</v>
      </c>
      <c r="E342" s="125" t="b">
        <v>0</v>
      </c>
      <c r="F342" s="125" t="b">
        <v>0</v>
      </c>
      <c r="G342" s="125" t="b">
        <v>0</v>
      </c>
    </row>
    <row r="343" spans="1:7" ht="15">
      <c r="A343" s="127" t="s">
        <v>490</v>
      </c>
      <c r="B343" s="125">
        <v>2</v>
      </c>
      <c r="C343" s="129">
        <v>0.007726656880506181</v>
      </c>
      <c r="D343" s="125" t="s">
        <v>1228</v>
      </c>
      <c r="E343" s="125" t="b">
        <v>0</v>
      </c>
      <c r="F343" s="125" t="b">
        <v>0</v>
      </c>
      <c r="G343" s="125" t="b">
        <v>0</v>
      </c>
    </row>
    <row r="344" spans="1:7" ht="15">
      <c r="A344" s="127" t="s">
        <v>1751</v>
      </c>
      <c r="B344" s="125">
        <v>2</v>
      </c>
      <c r="C344" s="129">
        <v>0.007726656880506181</v>
      </c>
      <c r="D344" s="125" t="s">
        <v>1228</v>
      </c>
      <c r="E344" s="125" t="b">
        <v>0</v>
      </c>
      <c r="F344" s="125" t="b">
        <v>0</v>
      </c>
      <c r="G344" s="125" t="b">
        <v>0</v>
      </c>
    </row>
    <row r="345" spans="1:7" ht="15">
      <c r="A345" s="127" t="s">
        <v>1828</v>
      </c>
      <c r="B345" s="125">
        <v>2</v>
      </c>
      <c r="C345" s="129">
        <v>0.007726656880506181</v>
      </c>
      <c r="D345" s="125" t="s">
        <v>1228</v>
      </c>
      <c r="E345" s="125" t="b">
        <v>0</v>
      </c>
      <c r="F345" s="125" t="b">
        <v>0</v>
      </c>
      <c r="G345" s="125" t="b">
        <v>0</v>
      </c>
    </row>
    <row r="346" spans="1:7" ht="15">
      <c r="A346" s="127" t="s">
        <v>1742</v>
      </c>
      <c r="B346" s="125">
        <v>2</v>
      </c>
      <c r="C346" s="129">
        <v>0.007726656880506181</v>
      </c>
      <c r="D346" s="125" t="s">
        <v>1228</v>
      </c>
      <c r="E346" s="125" t="b">
        <v>0</v>
      </c>
      <c r="F346" s="125" t="b">
        <v>0</v>
      </c>
      <c r="G346" s="125" t="b">
        <v>0</v>
      </c>
    </row>
    <row r="347" spans="1:7" ht="15">
      <c r="A347" s="127" t="s">
        <v>1761</v>
      </c>
      <c r="B347" s="125">
        <v>2</v>
      </c>
      <c r="C347" s="129">
        <v>0.007726656880506181</v>
      </c>
      <c r="D347" s="125" t="s">
        <v>1228</v>
      </c>
      <c r="E347" s="125" t="b">
        <v>0</v>
      </c>
      <c r="F347" s="125" t="b">
        <v>0</v>
      </c>
      <c r="G347" s="125" t="b">
        <v>0</v>
      </c>
    </row>
    <row r="348" spans="1:7" ht="15">
      <c r="A348" s="127" t="s">
        <v>1726</v>
      </c>
      <c r="B348" s="125">
        <v>2</v>
      </c>
      <c r="C348" s="129">
        <v>0.007726656880506181</v>
      </c>
      <c r="D348" s="125" t="s">
        <v>1228</v>
      </c>
      <c r="E348" s="125" t="b">
        <v>0</v>
      </c>
      <c r="F348" s="125" t="b">
        <v>0</v>
      </c>
      <c r="G348" s="125" t="b">
        <v>0</v>
      </c>
    </row>
    <row r="349" spans="1:7" ht="15">
      <c r="A349" s="127" t="s">
        <v>1686</v>
      </c>
      <c r="B349" s="125">
        <v>2</v>
      </c>
      <c r="C349" s="129">
        <v>0.007726656880506181</v>
      </c>
      <c r="D349" s="125" t="s">
        <v>1228</v>
      </c>
      <c r="E349" s="125" t="b">
        <v>0</v>
      </c>
      <c r="F349" s="125" t="b">
        <v>0</v>
      </c>
      <c r="G349" s="125" t="b">
        <v>0</v>
      </c>
    </row>
    <row r="350" spans="1:7" ht="15">
      <c r="A350" s="127" t="s">
        <v>1774</v>
      </c>
      <c r="B350" s="125">
        <v>2</v>
      </c>
      <c r="C350" s="129">
        <v>0.007726656880506181</v>
      </c>
      <c r="D350" s="125" t="s">
        <v>1228</v>
      </c>
      <c r="E350" s="125" t="b">
        <v>0</v>
      </c>
      <c r="F350" s="125" t="b">
        <v>0</v>
      </c>
      <c r="G350" s="125" t="b">
        <v>0</v>
      </c>
    </row>
    <row r="351" spans="1:7" ht="15">
      <c r="A351" s="127" t="s">
        <v>1830</v>
      </c>
      <c r="B351" s="125">
        <v>2</v>
      </c>
      <c r="C351" s="129">
        <v>0.007726656880506181</v>
      </c>
      <c r="D351" s="125" t="s">
        <v>1228</v>
      </c>
      <c r="E351" s="125" t="b">
        <v>0</v>
      </c>
      <c r="F351" s="125" t="b">
        <v>0</v>
      </c>
      <c r="G351" s="125" t="b">
        <v>0</v>
      </c>
    </row>
    <row r="352" spans="1:7" ht="15">
      <c r="A352" s="127" t="s">
        <v>1821</v>
      </c>
      <c r="B352" s="125">
        <v>2</v>
      </c>
      <c r="C352" s="129">
        <v>0.007726656880506181</v>
      </c>
      <c r="D352" s="125" t="s">
        <v>1228</v>
      </c>
      <c r="E352" s="125" t="b">
        <v>0</v>
      </c>
      <c r="F352" s="125" t="b">
        <v>0</v>
      </c>
      <c r="G352" s="125" t="b">
        <v>0</v>
      </c>
    </row>
    <row r="353" spans="1:7" ht="15">
      <c r="A353" s="127" t="s">
        <v>1696</v>
      </c>
      <c r="B353" s="125">
        <v>2</v>
      </c>
      <c r="C353" s="129">
        <v>0.007726656880506181</v>
      </c>
      <c r="D353" s="125" t="s">
        <v>1228</v>
      </c>
      <c r="E353" s="125" t="b">
        <v>0</v>
      </c>
      <c r="F353" s="125" t="b">
        <v>0</v>
      </c>
      <c r="G353" s="125" t="b">
        <v>0</v>
      </c>
    </row>
    <row r="354" spans="1:7" ht="15">
      <c r="A354" s="127" t="s">
        <v>1813</v>
      </c>
      <c r="B354" s="125">
        <v>2</v>
      </c>
      <c r="C354" s="129">
        <v>0.007726656880506181</v>
      </c>
      <c r="D354" s="125" t="s">
        <v>1228</v>
      </c>
      <c r="E354" s="125" t="b">
        <v>0</v>
      </c>
      <c r="F354" s="125" t="b">
        <v>0</v>
      </c>
      <c r="G354" s="125" t="b">
        <v>0</v>
      </c>
    </row>
    <row r="355" spans="1:7" ht="15">
      <c r="A355" s="127" t="s">
        <v>1739</v>
      </c>
      <c r="B355" s="125">
        <v>2</v>
      </c>
      <c r="C355" s="129">
        <v>0.007726656880506181</v>
      </c>
      <c r="D355" s="125" t="s">
        <v>1228</v>
      </c>
      <c r="E355" s="125" t="b">
        <v>0</v>
      </c>
      <c r="F355" s="125" t="b">
        <v>0</v>
      </c>
      <c r="G355" s="125" t="b">
        <v>0</v>
      </c>
    </row>
    <row r="356" spans="1:7" ht="15">
      <c r="A356" s="127" t="s">
        <v>1729</v>
      </c>
      <c r="B356" s="125">
        <v>2</v>
      </c>
      <c r="C356" s="129">
        <v>0.007726656880506181</v>
      </c>
      <c r="D356" s="125" t="s">
        <v>1228</v>
      </c>
      <c r="E356" s="125" t="b">
        <v>0</v>
      </c>
      <c r="F356" s="125" t="b">
        <v>0</v>
      </c>
      <c r="G356" s="125" t="b">
        <v>0</v>
      </c>
    </row>
    <row r="357" spans="1:7" ht="15">
      <c r="A357" s="127" t="s">
        <v>1792</v>
      </c>
      <c r="B357" s="125">
        <v>2</v>
      </c>
      <c r="C357" s="129">
        <v>0.007726656880506181</v>
      </c>
      <c r="D357" s="125" t="s">
        <v>1228</v>
      </c>
      <c r="E357" s="125" t="b">
        <v>0</v>
      </c>
      <c r="F357" s="125" t="b">
        <v>0</v>
      </c>
      <c r="G357" s="125" t="b">
        <v>0</v>
      </c>
    </row>
    <row r="358" spans="1:7" ht="15">
      <c r="A358" s="127" t="s">
        <v>1736</v>
      </c>
      <c r="B358" s="125">
        <v>2</v>
      </c>
      <c r="C358" s="129">
        <v>0.007726656880506181</v>
      </c>
      <c r="D358" s="125" t="s">
        <v>1228</v>
      </c>
      <c r="E358" s="125" t="b">
        <v>0</v>
      </c>
      <c r="F358" s="125" t="b">
        <v>0</v>
      </c>
      <c r="G358" s="125" t="b">
        <v>0</v>
      </c>
    </row>
    <row r="359" spans="1:7" ht="15">
      <c r="A359" s="127" t="s">
        <v>1843</v>
      </c>
      <c r="B359" s="125">
        <v>2</v>
      </c>
      <c r="C359" s="129">
        <v>0.007726656880506181</v>
      </c>
      <c r="D359" s="125" t="s">
        <v>1228</v>
      </c>
      <c r="E359" s="125" t="b">
        <v>0</v>
      </c>
      <c r="F359" s="125" t="b">
        <v>0</v>
      </c>
      <c r="G359" s="125" t="b">
        <v>0</v>
      </c>
    </row>
    <row r="360" spans="1:7" ht="15">
      <c r="A360" s="127" t="s">
        <v>1709</v>
      </c>
      <c r="B360" s="125">
        <v>2</v>
      </c>
      <c r="C360" s="129">
        <v>0.007726656880506181</v>
      </c>
      <c r="D360" s="125" t="s">
        <v>1228</v>
      </c>
      <c r="E360" s="125" t="b">
        <v>0</v>
      </c>
      <c r="F360" s="125" t="b">
        <v>0</v>
      </c>
      <c r="G360" s="125" t="b">
        <v>0</v>
      </c>
    </row>
    <row r="361" spans="1:7" ht="15">
      <c r="A361" s="127" t="s">
        <v>1692</v>
      </c>
      <c r="B361" s="125">
        <v>2</v>
      </c>
      <c r="C361" s="129">
        <v>0.007726656880506181</v>
      </c>
      <c r="D361" s="125" t="s">
        <v>1228</v>
      </c>
      <c r="E361" s="125" t="b">
        <v>0</v>
      </c>
      <c r="F361" s="125" t="b">
        <v>0</v>
      </c>
      <c r="G361" s="125" t="b">
        <v>0</v>
      </c>
    </row>
    <row r="362" spans="1:7" ht="15">
      <c r="A362" s="127" t="s">
        <v>1781</v>
      </c>
      <c r="B362" s="125">
        <v>2</v>
      </c>
      <c r="C362" s="129">
        <v>0.007726656880506181</v>
      </c>
      <c r="D362" s="125" t="s">
        <v>1228</v>
      </c>
      <c r="E362" s="125" t="b">
        <v>0</v>
      </c>
      <c r="F362" s="125" t="b">
        <v>0</v>
      </c>
      <c r="G362" s="125" t="b">
        <v>0</v>
      </c>
    </row>
    <row r="363" spans="1:7" ht="15">
      <c r="A363" s="127" t="s">
        <v>1818</v>
      </c>
      <c r="B363" s="125">
        <v>2</v>
      </c>
      <c r="C363" s="129">
        <v>0.007726656880506181</v>
      </c>
      <c r="D363" s="125" t="s">
        <v>1228</v>
      </c>
      <c r="E363" s="125" t="b">
        <v>0</v>
      </c>
      <c r="F363" s="125" t="b">
        <v>0</v>
      </c>
      <c r="G363" s="125" t="b">
        <v>0</v>
      </c>
    </row>
    <row r="364" spans="1:7" ht="15">
      <c r="A364" s="127" t="s">
        <v>1819</v>
      </c>
      <c r="B364" s="125">
        <v>2</v>
      </c>
      <c r="C364" s="129">
        <v>0.007726656880506181</v>
      </c>
      <c r="D364" s="125" t="s">
        <v>1228</v>
      </c>
      <c r="E364" s="125" t="b">
        <v>0</v>
      </c>
      <c r="F364" s="125" t="b">
        <v>0</v>
      </c>
      <c r="G364" s="125" t="b">
        <v>0</v>
      </c>
    </row>
    <row r="365" spans="1:7" ht="15">
      <c r="A365" s="127" t="s">
        <v>1786</v>
      </c>
      <c r="B365" s="125">
        <v>2</v>
      </c>
      <c r="C365" s="129">
        <v>0.007726656880506181</v>
      </c>
      <c r="D365" s="125" t="s">
        <v>1228</v>
      </c>
      <c r="E365" s="125" t="b">
        <v>0</v>
      </c>
      <c r="F365" s="125" t="b">
        <v>0</v>
      </c>
      <c r="G365" s="125" t="b">
        <v>0</v>
      </c>
    </row>
    <row r="366" spans="1:7" ht="15">
      <c r="A366" s="127" t="s">
        <v>1825</v>
      </c>
      <c r="B366" s="125">
        <v>2</v>
      </c>
      <c r="C366" s="129">
        <v>0.007726656880506181</v>
      </c>
      <c r="D366" s="125" t="s">
        <v>1228</v>
      </c>
      <c r="E366" s="125" t="b">
        <v>0</v>
      </c>
      <c r="F366" s="125" t="b">
        <v>0</v>
      </c>
      <c r="G366" s="125" t="b">
        <v>0</v>
      </c>
    </row>
    <row r="367" spans="1:7" ht="15">
      <c r="A367" s="127" t="s">
        <v>468</v>
      </c>
      <c r="B367" s="125">
        <v>2</v>
      </c>
      <c r="C367" s="129">
        <v>0.007726656880506181</v>
      </c>
      <c r="D367" s="125" t="s">
        <v>1228</v>
      </c>
      <c r="E367" s="125" t="b">
        <v>0</v>
      </c>
      <c r="F367" s="125" t="b">
        <v>0</v>
      </c>
      <c r="G367" s="125" t="b">
        <v>0</v>
      </c>
    </row>
    <row r="368" spans="1:7" ht="15">
      <c r="A368" s="127" t="s">
        <v>1817</v>
      </c>
      <c r="B368" s="125">
        <v>2</v>
      </c>
      <c r="C368" s="129">
        <v>0.007726656880506181</v>
      </c>
      <c r="D368" s="125" t="s">
        <v>1228</v>
      </c>
      <c r="E368" s="125" t="b">
        <v>0</v>
      </c>
      <c r="F368" s="125" t="b">
        <v>0</v>
      </c>
      <c r="G368" s="125" t="b">
        <v>0</v>
      </c>
    </row>
    <row r="369" spans="1:7" ht="15">
      <c r="A369" s="127" t="s">
        <v>1741</v>
      </c>
      <c r="B369" s="125">
        <v>2</v>
      </c>
      <c r="C369" s="129">
        <v>0.007726656880506181</v>
      </c>
      <c r="D369" s="125" t="s">
        <v>1228</v>
      </c>
      <c r="E369" s="125" t="b">
        <v>0</v>
      </c>
      <c r="F369" s="125" t="b">
        <v>0</v>
      </c>
      <c r="G369" s="125" t="b">
        <v>0</v>
      </c>
    </row>
    <row r="370" spans="1:7" ht="15">
      <c r="A370" s="127" t="s">
        <v>1775</v>
      </c>
      <c r="B370" s="125">
        <v>2</v>
      </c>
      <c r="C370" s="129">
        <v>0.007726656880506181</v>
      </c>
      <c r="D370" s="125" t="s">
        <v>1228</v>
      </c>
      <c r="E370" s="125" t="b">
        <v>0</v>
      </c>
      <c r="F370" s="125" t="b">
        <v>0</v>
      </c>
      <c r="G370" s="125" t="b">
        <v>0</v>
      </c>
    </row>
    <row r="371" spans="1:7" ht="15">
      <c r="A371" s="127" t="s">
        <v>1856</v>
      </c>
      <c r="B371" s="125">
        <v>2</v>
      </c>
      <c r="C371" s="129">
        <v>0.007726656880506181</v>
      </c>
      <c r="D371" s="125" t="s">
        <v>1228</v>
      </c>
      <c r="E371" s="125" t="b">
        <v>0</v>
      </c>
      <c r="F371" s="125" t="b">
        <v>0</v>
      </c>
      <c r="G371" s="125" t="b">
        <v>0</v>
      </c>
    </row>
    <row r="372" spans="1:7" ht="15">
      <c r="A372" s="127" t="s">
        <v>1810</v>
      </c>
      <c r="B372" s="125">
        <v>2</v>
      </c>
      <c r="C372" s="129">
        <v>0.007726656880506181</v>
      </c>
      <c r="D372" s="125" t="s">
        <v>1228</v>
      </c>
      <c r="E372" s="125" t="b">
        <v>0</v>
      </c>
      <c r="F372" s="125" t="b">
        <v>0</v>
      </c>
      <c r="G372" s="125" t="b">
        <v>0</v>
      </c>
    </row>
    <row r="373" spans="1:7" ht="15">
      <c r="A373" s="127" t="s">
        <v>1861</v>
      </c>
      <c r="B373" s="125">
        <v>2</v>
      </c>
      <c r="C373" s="129">
        <v>0.007726656880506181</v>
      </c>
      <c r="D373" s="125" t="s">
        <v>1228</v>
      </c>
      <c r="E373" s="125" t="b">
        <v>0</v>
      </c>
      <c r="F373" s="125" t="b">
        <v>0</v>
      </c>
      <c r="G373" s="125" t="b">
        <v>0</v>
      </c>
    </row>
    <row r="374" spans="1:7" ht="15">
      <c r="A374" s="127" t="s">
        <v>1823</v>
      </c>
      <c r="B374" s="125">
        <v>2</v>
      </c>
      <c r="C374" s="129">
        <v>0.007726656880506181</v>
      </c>
      <c r="D374" s="125" t="s">
        <v>1228</v>
      </c>
      <c r="E374" s="125" t="b">
        <v>0</v>
      </c>
      <c r="F374" s="125" t="b">
        <v>0</v>
      </c>
      <c r="G374" s="125" t="b">
        <v>0</v>
      </c>
    </row>
    <row r="375" spans="1:7" ht="15">
      <c r="A375" s="127" t="s">
        <v>1850</v>
      </c>
      <c r="B375" s="125">
        <v>2</v>
      </c>
      <c r="C375" s="129">
        <v>0.007726656880506181</v>
      </c>
      <c r="D375" s="125" t="s">
        <v>1228</v>
      </c>
      <c r="E375" s="125" t="b">
        <v>0</v>
      </c>
      <c r="F375" s="125" t="b">
        <v>0</v>
      </c>
      <c r="G375" s="125" t="b">
        <v>0</v>
      </c>
    </row>
    <row r="376" spans="1:7" ht="15">
      <c r="A376" s="127" t="s">
        <v>1833</v>
      </c>
      <c r="B376" s="125">
        <v>2</v>
      </c>
      <c r="C376" s="129">
        <v>0.007726656880506181</v>
      </c>
      <c r="D376" s="125" t="s">
        <v>1228</v>
      </c>
      <c r="E376" s="125" t="b">
        <v>0</v>
      </c>
      <c r="F376" s="125" t="b">
        <v>0</v>
      </c>
      <c r="G376" s="125" t="b">
        <v>0</v>
      </c>
    </row>
    <row r="377" spans="1:7" ht="15">
      <c r="A377" s="127" t="s">
        <v>1700</v>
      </c>
      <c r="B377" s="125">
        <v>2</v>
      </c>
      <c r="C377" s="129">
        <v>0.007726656880506181</v>
      </c>
      <c r="D377" s="125" t="s">
        <v>1228</v>
      </c>
      <c r="E377" s="125" t="b">
        <v>0</v>
      </c>
      <c r="F377" s="125" t="b">
        <v>0</v>
      </c>
      <c r="G377" s="125" t="b">
        <v>0</v>
      </c>
    </row>
    <row r="378" spans="1:7" ht="15">
      <c r="A378" s="127" t="s">
        <v>1777</v>
      </c>
      <c r="B378" s="125">
        <v>2</v>
      </c>
      <c r="C378" s="129">
        <v>0.007726656880506181</v>
      </c>
      <c r="D378" s="125" t="s">
        <v>1228</v>
      </c>
      <c r="E378" s="125" t="b">
        <v>0</v>
      </c>
      <c r="F378" s="125" t="b">
        <v>0</v>
      </c>
      <c r="G378" s="125" t="b">
        <v>0</v>
      </c>
    </row>
    <row r="379" spans="1:7" ht="15">
      <c r="A379" s="127" t="s">
        <v>1764</v>
      </c>
      <c r="B379" s="125">
        <v>2</v>
      </c>
      <c r="C379" s="129">
        <v>0.007726656880506181</v>
      </c>
      <c r="D379" s="125" t="s">
        <v>1228</v>
      </c>
      <c r="E379" s="125" t="b">
        <v>0</v>
      </c>
      <c r="F379" s="125" t="b">
        <v>0</v>
      </c>
      <c r="G379" s="125" t="b">
        <v>0</v>
      </c>
    </row>
    <row r="380" spans="1:7" ht="15">
      <c r="A380" s="127" t="s">
        <v>1853</v>
      </c>
      <c r="B380" s="125">
        <v>2</v>
      </c>
      <c r="C380" s="129">
        <v>0.007726656880506181</v>
      </c>
      <c r="D380" s="125" t="s">
        <v>1228</v>
      </c>
      <c r="E380" s="125" t="b">
        <v>0</v>
      </c>
      <c r="F380" s="125" t="b">
        <v>0</v>
      </c>
      <c r="G380" s="125" t="b">
        <v>0</v>
      </c>
    </row>
    <row r="381" spans="1:7" ht="15">
      <c r="A381" s="127" t="s">
        <v>1719</v>
      </c>
      <c r="B381" s="125">
        <v>2</v>
      </c>
      <c r="C381" s="129">
        <v>0.007726656880506181</v>
      </c>
      <c r="D381" s="125" t="s">
        <v>1228</v>
      </c>
      <c r="E381" s="125" t="b">
        <v>0</v>
      </c>
      <c r="F381" s="125" t="b">
        <v>0</v>
      </c>
      <c r="G381" s="125" t="b">
        <v>0</v>
      </c>
    </row>
    <row r="382" spans="1:7" ht="15">
      <c r="A382" s="127" t="s">
        <v>421</v>
      </c>
      <c r="B382" s="125">
        <v>2</v>
      </c>
      <c r="C382" s="129">
        <v>0.007726656880506181</v>
      </c>
      <c r="D382" s="125" t="s">
        <v>1228</v>
      </c>
      <c r="E382" s="125" t="b">
        <v>0</v>
      </c>
      <c r="F382" s="125" t="b">
        <v>0</v>
      </c>
      <c r="G382" s="125" t="b">
        <v>0</v>
      </c>
    </row>
    <row r="383" spans="1:7" ht="15">
      <c r="A383" s="127" t="s">
        <v>1699</v>
      </c>
      <c r="B383" s="125">
        <v>2</v>
      </c>
      <c r="C383" s="129">
        <v>0.007726656880506181</v>
      </c>
      <c r="D383" s="125" t="s">
        <v>1228</v>
      </c>
      <c r="E383" s="125" t="b">
        <v>0</v>
      </c>
      <c r="F383" s="125" t="b">
        <v>0</v>
      </c>
      <c r="G383" s="125" t="b">
        <v>0</v>
      </c>
    </row>
    <row r="384" spans="1:7" ht="15">
      <c r="A384" s="127" t="s">
        <v>1812</v>
      </c>
      <c r="B384" s="125">
        <v>2</v>
      </c>
      <c r="C384" s="129">
        <v>0.007726656880506181</v>
      </c>
      <c r="D384" s="125" t="s">
        <v>1228</v>
      </c>
      <c r="E384" s="125" t="b">
        <v>0</v>
      </c>
      <c r="F384" s="125" t="b">
        <v>0</v>
      </c>
      <c r="G384" s="125" t="b">
        <v>0</v>
      </c>
    </row>
    <row r="385" spans="1:7" ht="15">
      <c r="A385" s="127" t="s">
        <v>1702</v>
      </c>
      <c r="B385" s="125">
        <v>2</v>
      </c>
      <c r="C385" s="129">
        <v>0.007726656880506181</v>
      </c>
      <c r="D385" s="125" t="s">
        <v>1228</v>
      </c>
      <c r="E385" s="125" t="b">
        <v>0</v>
      </c>
      <c r="F385" s="125" t="b">
        <v>0</v>
      </c>
      <c r="G385" s="125" t="b">
        <v>0</v>
      </c>
    </row>
    <row r="386" spans="1:7" ht="15">
      <c r="A386" s="127" t="s">
        <v>1839</v>
      </c>
      <c r="B386" s="125">
        <v>2</v>
      </c>
      <c r="C386" s="129">
        <v>0.007726656880506181</v>
      </c>
      <c r="D386" s="125" t="s">
        <v>1228</v>
      </c>
      <c r="E386" s="125" t="b">
        <v>0</v>
      </c>
      <c r="F386" s="125" t="b">
        <v>0</v>
      </c>
      <c r="G386" s="125" t="b">
        <v>0</v>
      </c>
    </row>
    <row r="387" spans="1:7" ht="15">
      <c r="A387" s="127" t="s">
        <v>1816</v>
      </c>
      <c r="B387" s="125">
        <v>2</v>
      </c>
      <c r="C387" s="129">
        <v>0.007726656880506181</v>
      </c>
      <c r="D387" s="125" t="s">
        <v>1228</v>
      </c>
      <c r="E387" s="125" t="b">
        <v>0</v>
      </c>
      <c r="F387" s="125" t="b">
        <v>0</v>
      </c>
      <c r="G387" s="125" t="b">
        <v>0</v>
      </c>
    </row>
    <row r="388" spans="1:7" ht="15">
      <c r="A388" s="127" t="s">
        <v>1797</v>
      </c>
      <c r="B388" s="125">
        <v>2</v>
      </c>
      <c r="C388" s="129">
        <v>0.007726656880506181</v>
      </c>
      <c r="D388" s="125" t="s">
        <v>1228</v>
      </c>
      <c r="E388" s="125" t="b">
        <v>0</v>
      </c>
      <c r="F388" s="125" t="b">
        <v>0</v>
      </c>
      <c r="G388" s="125" t="b">
        <v>0</v>
      </c>
    </row>
    <row r="389" spans="1:7" ht="15">
      <c r="A389" s="127" t="s">
        <v>1848</v>
      </c>
      <c r="B389" s="125">
        <v>2</v>
      </c>
      <c r="C389" s="129">
        <v>0.007726656880506181</v>
      </c>
      <c r="D389" s="125" t="s">
        <v>1228</v>
      </c>
      <c r="E389" s="125" t="b">
        <v>0</v>
      </c>
      <c r="F389" s="125" t="b">
        <v>0</v>
      </c>
      <c r="G389" s="125" t="b">
        <v>0</v>
      </c>
    </row>
    <row r="390" spans="1:7" ht="15">
      <c r="A390" s="127" t="s">
        <v>1802</v>
      </c>
      <c r="B390" s="125">
        <v>2</v>
      </c>
      <c r="C390" s="129">
        <v>0.007726656880506181</v>
      </c>
      <c r="D390" s="125" t="s">
        <v>1228</v>
      </c>
      <c r="E390" s="125" t="b">
        <v>0</v>
      </c>
      <c r="F390" s="125" t="b">
        <v>0</v>
      </c>
      <c r="G390" s="125" t="b">
        <v>0</v>
      </c>
    </row>
    <row r="391" spans="1:7" ht="15">
      <c r="A391" s="127" t="s">
        <v>404</v>
      </c>
      <c r="B391" s="125">
        <v>2</v>
      </c>
      <c r="C391" s="129">
        <v>0.007726656880506181</v>
      </c>
      <c r="D391" s="125" t="s">
        <v>1228</v>
      </c>
      <c r="E391" s="125" t="b">
        <v>0</v>
      </c>
      <c r="F391" s="125" t="b">
        <v>0</v>
      </c>
      <c r="G391" s="125" t="b">
        <v>0</v>
      </c>
    </row>
    <row r="392" spans="1:7" ht="15">
      <c r="A392" s="127" t="s">
        <v>623</v>
      </c>
      <c r="B392" s="125">
        <v>11</v>
      </c>
      <c r="C392" s="129">
        <v>0.008210597716165544</v>
      </c>
      <c r="D392" s="125" t="s">
        <v>1237</v>
      </c>
      <c r="E392" s="125" t="b">
        <v>0</v>
      </c>
      <c r="F392" s="125" t="b">
        <v>0</v>
      </c>
      <c r="G392" s="125" t="b">
        <v>0</v>
      </c>
    </row>
    <row r="393" spans="1:7" ht="15">
      <c r="A393" s="127" t="s">
        <v>1529</v>
      </c>
      <c r="B393" s="125">
        <v>8</v>
      </c>
      <c r="C393" s="129">
        <v>0.009450656954990828</v>
      </c>
      <c r="D393" s="125" t="s">
        <v>1237</v>
      </c>
      <c r="E393" s="125" t="b">
        <v>0</v>
      </c>
      <c r="F393" s="125" t="b">
        <v>0</v>
      </c>
      <c r="G393" s="125" t="b">
        <v>0</v>
      </c>
    </row>
    <row r="394" spans="1:7" ht="15">
      <c r="A394" s="127" t="s">
        <v>1535</v>
      </c>
      <c r="B394" s="125">
        <v>6</v>
      </c>
      <c r="C394" s="129">
        <v>0.009445327369229912</v>
      </c>
      <c r="D394" s="125" t="s">
        <v>1237</v>
      </c>
      <c r="E394" s="125" t="b">
        <v>0</v>
      </c>
      <c r="F394" s="125" t="b">
        <v>0</v>
      </c>
      <c r="G394" s="125" t="b">
        <v>0</v>
      </c>
    </row>
    <row r="395" spans="1:7" ht="15">
      <c r="A395" s="127" t="s">
        <v>1530</v>
      </c>
      <c r="B395" s="125">
        <v>5</v>
      </c>
      <c r="C395" s="129">
        <v>0.009116094286427833</v>
      </c>
      <c r="D395" s="125" t="s">
        <v>1237</v>
      </c>
      <c r="E395" s="125" t="b">
        <v>0</v>
      </c>
      <c r="F395" s="125" t="b">
        <v>0</v>
      </c>
      <c r="G395" s="125" t="b">
        <v>0</v>
      </c>
    </row>
    <row r="396" spans="1:7" ht="15">
      <c r="A396" s="127" t="s">
        <v>1556</v>
      </c>
      <c r="B396" s="125">
        <v>3</v>
      </c>
      <c r="C396" s="129">
        <v>0.007562569304086476</v>
      </c>
      <c r="D396" s="125" t="s">
        <v>1237</v>
      </c>
      <c r="E396" s="125" t="b">
        <v>0</v>
      </c>
      <c r="F396" s="125" t="b">
        <v>0</v>
      </c>
      <c r="G396" s="125" t="b">
        <v>0</v>
      </c>
    </row>
    <row r="397" spans="1:7" ht="15">
      <c r="A397" s="127" t="s">
        <v>1550</v>
      </c>
      <c r="B397" s="125">
        <v>3</v>
      </c>
      <c r="C397" s="129">
        <v>0.007562569304086476</v>
      </c>
      <c r="D397" s="125" t="s">
        <v>1237</v>
      </c>
      <c r="E397" s="125" t="b">
        <v>0</v>
      </c>
      <c r="F397" s="125" t="b">
        <v>0</v>
      </c>
      <c r="G397" s="125" t="b">
        <v>0</v>
      </c>
    </row>
    <row r="398" spans="1:7" ht="15">
      <c r="A398" s="127" t="s">
        <v>1546</v>
      </c>
      <c r="B398" s="125">
        <v>3</v>
      </c>
      <c r="C398" s="129">
        <v>0.007562569304086476</v>
      </c>
      <c r="D398" s="125" t="s">
        <v>1237</v>
      </c>
      <c r="E398" s="125" t="b">
        <v>0</v>
      </c>
      <c r="F398" s="125" t="b">
        <v>0</v>
      </c>
      <c r="G398" s="125" t="b">
        <v>0</v>
      </c>
    </row>
    <row r="399" spans="1:7" ht="15">
      <c r="A399" s="127" t="s">
        <v>1566</v>
      </c>
      <c r="B399" s="125">
        <v>3</v>
      </c>
      <c r="C399" s="129">
        <v>0.009223807597064601</v>
      </c>
      <c r="D399" s="125" t="s">
        <v>1237</v>
      </c>
      <c r="E399" s="125" t="b">
        <v>0</v>
      </c>
      <c r="F399" s="125" t="b">
        <v>0</v>
      </c>
      <c r="G399" s="125" t="b">
        <v>0</v>
      </c>
    </row>
    <row r="400" spans="1:7" ht="15">
      <c r="A400" s="127" t="s">
        <v>1561</v>
      </c>
      <c r="B400" s="125">
        <v>3</v>
      </c>
      <c r="C400" s="129">
        <v>0.007562569304086476</v>
      </c>
      <c r="D400" s="125" t="s">
        <v>1237</v>
      </c>
      <c r="E400" s="125" t="b">
        <v>0</v>
      </c>
      <c r="F400" s="125" t="b">
        <v>0</v>
      </c>
      <c r="G400" s="125" t="b">
        <v>0</v>
      </c>
    </row>
    <row r="401" spans="1:7" ht="15">
      <c r="A401" s="127" t="s">
        <v>1783</v>
      </c>
      <c r="B401" s="125">
        <v>2</v>
      </c>
      <c r="C401" s="129">
        <v>0.008042475477690748</v>
      </c>
      <c r="D401" s="125" t="s">
        <v>1237</v>
      </c>
      <c r="E401" s="125" t="b">
        <v>0</v>
      </c>
      <c r="F401" s="125" t="b">
        <v>0</v>
      </c>
      <c r="G401" s="125" t="b">
        <v>0</v>
      </c>
    </row>
    <row r="402" spans="1:7" ht="15">
      <c r="A402" s="127" t="s">
        <v>1688</v>
      </c>
      <c r="B402" s="125">
        <v>2</v>
      </c>
      <c r="C402" s="129">
        <v>0.006149205064709735</v>
      </c>
      <c r="D402" s="125" t="s">
        <v>1237</v>
      </c>
      <c r="E402" s="125" t="b">
        <v>0</v>
      </c>
      <c r="F402" s="125" t="b">
        <v>0</v>
      </c>
      <c r="G402" s="125" t="b">
        <v>0</v>
      </c>
    </row>
    <row r="403" spans="1:7" ht="15">
      <c r="A403" s="127" t="s">
        <v>1723</v>
      </c>
      <c r="B403" s="125">
        <v>2</v>
      </c>
      <c r="C403" s="129">
        <v>0.006149205064709735</v>
      </c>
      <c r="D403" s="125" t="s">
        <v>1237</v>
      </c>
      <c r="E403" s="125" t="b">
        <v>0</v>
      </c>
      <c r="F403" s="125" t="b">
        <v>0</v>
      </c>
      <c r="G403" s="125" t="b">
        <v>0</v>
      </c>
    </row>
    <row r="404" spans="1:7" ht="15">
      <c r="A404" s="127" t="s">
        <v>1730</v>
      </c>
      <c r="B404" s="125">
        <v>2</v>
      </c>
      <c r="C404" s="129">
        <v>0.006149205064709735</v>
      </c>
      <c r="D404" s="125" t="s">
        <v>1237</v>
      </c>
      <c r="E404" s="125" t="b">
        <v>0</v>
      </c>
      <c r="F404" s="125" t="b">
        <v>0</v>
      </c>
      <c r="G404" s="125" t="b">
        <v>0</v>
      </c>
    </row>
    <row r="405" spans="1:7" ht="15">
      <c r="A405" s="127" t="s">
        <v>183</v>
      </c>
      <c r="B405" s="125">
        <v>2</v>
      </c>
      <c r="C405" s="129">
        <v>0.006149205064709735</v>
      </c>
      <c r="D405" s="125" t="s">
        <v>1237</v>
      </c>
      <c r="E405" s="125" t="b">
        <v>0</v>
      </c>
      <c r="F405" s="125" t="b">
        <v>0</v>
      </c>
      <c r="G405" s="125" t="b">
        <v>0</v>
      </c>
    </row>
    <row r="406" spans="1:7" ht="15">
      <c r="A406" s="127" t="s">
        <v>1572</v>
      </c>
      <c r="B406" s="125">
        <v>2</v>
      </c>
      <c r="C406" s="129">
        <v>0.006149205064709735</v>
      </c>
      <c r="D406" s="125" t="s">
        <v>1237</v>
      </c>
      <c r="E406" s="125" t="b">
        <v>0</v>
      </c>
      <c r="F406" s="125" t="b">
        <v>0</v>
      </c>
      <c r="G406" s="125" t="b">
        <v>0</v>
      </c>
    </row>
    <row r="407" spans="1:7" ht="15">
      <c r="A407" s="127" t="s">
        <v>1790</v>
      </c>
      <c r="B407" s="125">
        <v>2</v>
      </c>
      <c r="C407" s="129">
        <v>0.006149205064709735</v>
      </c>
      <c r="D407" s="125" t="s">
        <v>1237</v>
      </c>
      <c r="E407" s="125" t="b">
        <v>0</v>
      </c>
      <c r="F407" s="125" t="b">
        <v>0</v>
      </c>
      <c r="G407" s="125" t="b">
        <v>0</v>
      </c>
    </row>
    <row r="408" spans="1:7" ht="15">
      <c r="A408" s="127" t="s">
        <v>1844</v>
      </c>
      <c r="B408" s="125">
        <v>2</v>
      </c>
      <c r="C408" s="129">
        <v>0.006149205064709735</v>
      </c>
      <c r="D408" s="125" t="s">
        <v>1237</v>
      </c>
      <c r="E408" s="125" t="b">
        <v>0</v>
      </c>
      <c r="F408" s="125" t="b">
        <v>0</v>
      </c>
      <c r="G408" s="125" t="b">
        <v>0</v>
      </c>
    </row>
    <row r="409" spans="1:7" ht="15">
      <c r="A409" s="127" t="s">
        <v>318</v>
      </c>
      <c r="B409" s="125">
        <v>2</v>
      </c>
      <c r="C409" s="129">
        <v>0.006149205064709735</v>
      </c>
      <c r="D409" s="125" t="s">
        <v>1237</v>
      </c>
      <c r="E409" s="125" t="b">
        <v>0</v>
      </c>
      <c r="F409" s="125" t="b">
        <v>0</v>
      </c>
      <c r="G409" s="125" t="b">
        <v>0</v>
      </c>
    </row>
    <row r="410" spans="1:7" ht="15">
      <c r="A410" s="127" t="s">
        <v>1733</v>
      </c>
      <c r="B410" s="125">
        <v>2</v>
      </c>
      <c r="C410" s="129">
        <v>0.006149205064709735</v>
      </c>
      <c r="D410" s="125" t="s">
        <v>1237</v>
      </c>
      <c r="E410" s="125" t="b">
        <v>0</v>
      </c>
      <c r="F410" s="125" t="b">
        <v>0</v>
      </c>
      <c r="G410" s="125" t="b">
        <v>0</v>
      </c>
    </row>
    <row r="411" spans="1:7" ht="15">
      <c r="A411" s="127" t="s">
        <v>1687</v>
      </c>
      <c r="B411" s="125">
        <v>2</v>
      </c>
      <c r="C411" s="129">
        <v>0.006149205064709735</v>
      </c>
      <c r="D411" s="125" t="s">
        <v>1237</v>
      </c>
      <c r="E411" s="125" t="b">
        <v>0</v>
      </c>
      <c r="F411" s="125" t="b">
        <v>0</v>
      </c>
      <c r="G411" s="125" t="b">
        <v>0</v>
      </c>
    </row>
    <row r="412" spans="1:7" ht="15">
      <c r="A412" s="127" t="s">
        <v>1524</v>
      </c>
      <c r="B412" s="125">
        <v>8</v>
      </c>
      <c r="C412" s="129">
        <v>0.07074102276214943</v>
      </c>
      <c r="D412" s="125" t="s">
        <v>1244</v>
      </c>
      <c r="E412" s="125" t="b">
        <v>0</v>
      </c>
      <c r="F412" s="125" t="b">
        <v>0</v>
      </c>
      <c r="G412" s="125" t="b">
        <v>0</v>
      </c>
    </row>
    <row r="413" spans="1:7" ht="15">
      <c r="A413" s="127" t="s">
        <v>1530</v>
      </c>
      <c r="B413" s="125">
        <v>4</v>
      </c>
      <c r="C413" s="129">
        <v>0.021687329759984657</v>
      </c>
      <c r="D413" s="125" t="s">
        <v>1244</v>
      </c>
      <c r="E413" s="125" t="b">
        <v>0</v>
      </c>
      <c r="F413" s="125" t="b">
        <v>0</v>
      </c>
      <c r="G413" s="125" t="b">
        <v>0</v>
      </c>
    </row>
    <row r="414" spans="1:7" ht="15">
      <c r="A414" s="127" t="s">
        <v>1536</v>
      </c>
      <c r="B414" s="125">
        <v>3</v>
      </c>
      <c r="C414" s="129">
        <v>0.02052477243163508</v>
      </c>
      <c r="D414" s="125" t="s">
        <v>1244</v>
      </c>
      <c r="E414" s="125" t="b">
        <v>0</v>
      </c>
      <c r="F414" s="125" t="b">
        <v>0</v>
      </c>
      <c r="G414" s="125" t="b">
        <v>0</v>
      </c>
    </row>
    <row r="415" spans="1:7" ht="15">
      <c r="A415" s="127" t="s">
        <v>1542</v>
      </c>
      <c r="B415" s="125">
        <v>2</v>
      </c>
      <c r="C415" s="129">
        <v>0.017685255690537357</v>
      </c>
      <c r="D415" s="125" t="s">
        <v>1244</v>
      </c>
      <c r="E415" s="125" t="b">
        <v>0</v>
      </c>
      <c r="F415" s="125" t="b">
        <v>0</v>
      </c>
      <c r="G415" s="125" t="b">
        <v>0</v>
      </c>
    </row>
    <row r="416" spans="1:7" ht="15">
      <c r="A416" s="127" t="s">
        <v>1547</v>
      </c>
      <c r="B416" s="125">
        <v>2</v>
      </c>
      <c r="C416" s="129">
        <v>0.017685255690537357</v>
      </c>
      <c r="D416" s="125" t="s">
        <v>1244</v>
      </c>
      <c r="E416" s="125" t="b">
        <v>0</v>
      </c>
      <c r="F416" s="125" t="b">
        <v>0</v>
      </c>
      <c r="G416" s="125" t="b">
        <v>0</v>
      </c>
    </row>
    <row r="417" spans="1:7" ht="15">
      <c r="A417" s="127" t="s">
        <v>1551</v>
      </c>
      <c r="B417" s="125">
        <v>2</v>
      </c>
      <c r="C417" s="129">
        <v>0.017685255690537357</v>
      </c>
      <c r="D417" s="125" t="s">
        <v>1244</v>
      </c>
      <c r="E417" s="125" t="b">
        <v>0</v>
      </c>
      <c r="F417" s="125" t="b">
        <v>0</v>
      </c>
      <c r="G417" s="125" t="b">
        <v>0</v>
      </c>
    </row>
    <row r="418" spans="1:7" ht="15">
      <c r="A418" s="127" t="s">
        <v>1557</v>
      </c>
      <c r="B418" s="125">
        <v>2</v>
      </c>
      <c r="C418" s="129">
        <v>0.017685255690537357</v>
      </c>
      <c r="D418" s="125" t="s">
        <v>1244</v>
      </c>
      <c r="E418" s="125" t="b">
        <v>0</v>
      </c>
      <c r="F418" s="125" t="b">
        <v>0</v>
      </c>
      <c r="G418" s="125" t="b">
        <v>0</v>
      </c>
    </row>
    <row r="419" spans="1:7" ht="15">
      <c r="A419" s="127" t="s">
        <v>1562</v>
      </c>
      <c r="B419" s="125">
        <v>2</v>
      </c>
      <c r="C419" s="129">
        <v>0.017685255690537357</v>
      </c>
      <c r="D419" s="125" t="s">
        <v>1244</v>
      </c>
      <c r="E419" s="125" t="b">
        <v>0</v>
      </c>
      <c r="F419" s="125" t="b">
        <v>0</v>
      </c>
      <c r="G419" s="125" t="b">
        <v>0</v>
      </c>
    </row>
    <row r="420" spans="1:7" ht="15">
      <c r="A420" s="127" t="s">
        <v>1567</v>
      </c>
      <c r="B420" s="125">
        <v>2</v>
      </c>
      <c r="C420" s="129">
        <v>0.017685255690537357</v>
      </c>
      <c r="D420" s="125" t="s">
        <v>1244</v>
      </c>
      <c r="E420" s="125" t="b">
        <v>0</v>
      </c>
      <c r="F420" s="125" t="b">
        <v>0</v>
      </c>
      <c r="G420" s="125" t="b">
        <v>0</v>
      </c>
    </row>
    <row r="421" spans="1:7" ht="15">
      <c r="A421" s="127" t="s">
        <v>1573</v>
      </c>
      <c r="B421" s="125">
        <v>2</v>
      </c>
      <c r="C421" s="129">
        <v>0.017685255690537357</v>
      </c>
      <c r="D421" s="125" t="s">
        <v>1244</v>
      </c>
      <c r="E421" s="125" t="b">
        <v>0</v>
      </c>
      <c r="F421" s="125" t="b">
        <v>0</v>
      </c>
      <c r="G421" s="125" t="b">
        <v>0</v>
      </c>
    </row>
    <row r="422" spans="1:7" ht="15">
      <c r="A422" s="127" t="s">
        <v>1767</v>
      </c>
      <c r="B422" s="125">
        <v>2</v>
      </c>
      <c r="C422" s="129">
        <v>0.017685255690537357</v>
      </c>
      <c r="D422" s="125" t="s">
        <v>1244</v>
      </c>
      <c r="E422" s="125" t="b">
        <v>0</v>
      </c>
      <c r="F422" s="125" t="b">
        <v>0</v>
      </c>
      <c r="G422" s="125" t="b">
        <v>0</v>
      </c>
    </row>
    <row r="423" spans="1:7" ht="15">
      <c r="A423" s="127" t="s">
        <v>1721</v>
      </c>
      <c r="B423" s="125">
        <v>2</v>
      </c>
      <c r="C423" s="129">
        <v>0.017685255690537357</v>
      </c>
      <c r="D423" s="125" t="s">
        <v>1244</v>
      </c>
      <c r="E423" s="125" t="b">
        <v>0</v>
      </c>
      <c r="F423" s="125" t="b">
        <v>0</v>
      </c>
      <c r="G423" s="125" t="b">
        <v>0</v>
      </c>
    </row>
    <row r="424" spans="1:7" ht="15">
      <c r="A424" s="127" t="s">
        <v>1746</v>
      </c>
      <c r="B424" s="125">
        <v>2</v>
      </c>
      <c r="C424" s="129">
        <v>0.017685255690537357</v>
      </c>
      <c r="D424" s="125" t="s">
        <v>1244</v>
      </c>
      <c r="E424" s="125" t="b">
        <v>0</v>
      </c>
      <c r="F424" s="125" t="b">
        <v>0</v>
      </c>
      <c r="G424" s="125" t="b">
        <v>0</v>
      </c>
    </row>
    <row r="425" spans="1:7" ht="15">
      <c r="A425" s="127" t="s">
        <v>1747</v>
      </c>
      <c r="B425" s="125">
        <v>2</v>
      </c>
      <c r="C425" s="129">
        <v>0.017685255690537357</v>
      </c>
      <c r="D425" s="125" t="s">
        <v>1244</v>
      </c>
      <c r="E425" s="125" t="b">
        <v>0</v>
      </c>
      <c r="F425" s="125" t="b">
        <v>0</v>
      </c>
      <c r="G425" s="125" t="b">
        <v>0</v>
      </c>
    </row>
    <row r="426" spans="1:7" ht="15">
      <c r="A426" s="127" t="s">
        <v>1763</v>
      </c>
      <c r="B426" s="125">
        <v>2</v>
      </c>
      <c r="C426" s="129">
        <v>0.017685255690537357</v>
      </c>
      <c r="D426" s="125" t="s">
        <v>1244</v>
      </c>
      <c r="E426" s="125" t="b">
        <v>0</v>
      </c>
      <c r="F426" s="125" t="b">
        <v>0</v>
      </c>
      <c r="G426" s="125" t="b">
        <v>0</v>
      </c>
    </row>
    <row r="427" spans="1:7" ht="15">
      <c r="A427" s="127" t="s">
        <v>1749</v>
      </c>
      <c r="B427" s="125">
        <v>2</v>
      </c>
      <c r="C427" s="129">
        <v>0.017685255690537357</v>
      </c>
      <c r="D427" s="125" t="s">
        <v>1244</v>
      </c>
      <c r="E427" s="125" t="b">
        <v>0</v>
      </c>
      <c r="F427" s="125" t="b">
        <v>0</v>
      </c>
      <c r="G427" s="125" t="b">
        <v>0</v>
      </c>
    </row>
    <row r="428" spans="1:7" ht="15">
      <c r="A428" s="127" t="s">
        <v>1685</v>
      </c>
      <c r="B428" s="125">
        <v>2</v>
      </c>
      <c r="C428" s="129">
        <v>0.017685255690537357</v>
      </c>
      <c r="D428" s="125" t="s">
        <v>1244</v>
      </c>
      <c r="E428" s="125" t="b">
        <v>0</v>
      </c>
      <c r="F428" s="125" t="b">
        <v>0</v>
      </c>
      <c r="G428" s="125" t="b">
        <v>0</v>
      </c>
    </row>
    <row r="429" spans="1:7" ht="15">
      <c r="A429" s="127" t="s">
        <v>1799</v>
      </c>
      <c r="B429" s="125">
        <v>2</v>
      </c>
      <c r="C429" s="129">
        <v>0.017685255690537357</v>
      </c>
      <c r="D429" s="125" t="s">
        <v>1244</v>
      </c>
      <c r="E429" s="125" t="b">
        <v>0</v>
      </c>
      <c r="F429" s="125" t="b">
        <v>0</v>
      </c>
      <c r="G429" s="125" t="b">
        <v>0</v>
      </c>
    </row>
    <row r="430" spans="1:7" ht="15">
      <c r="A430" s="127" t="s">
        <v>1838</v>
      </c>
      <c r="B430" s="125">
        <v>2</v>
      </c>
      <c r="C430" s="129">
        <v>0.017685255690537357</v>
      </c>
      <c r="D430" s="125" t="s">
        <v>1244</v>
      </c>
      <c r="E430" s="125" t="b">
        <v>0</v>
      </c>
      <c r="F430" s="125" t="b">
        <v>0</v>
      </c>
      <c r="G430" s="125" t="b">
        <v>0</v>
      </c>
    </row>
    <row r="431" spans="1:7" ht="15">
      <c r="A431" s="127" t="s">
        <v>1757</v>
      </c>
      <c r="B431" s="125">
        <v>2</v>
      </c>
      <c r="C431" s="129">
        <v>0.017685255690537357</v>
      </c>
      <c r="D431" s="125" t="s">
        <v>1244</v>
      </c>
      <c r="E431" s="125" t="b">
        <v>0</v>
      </c>
      <c r="F431" s="125" t="b">
        <v>0</v>
      </c>
      <c r="G431" s="125" t="b">
        <v>0</v>
      </c>
    </row>
    <row r="432" spans="1:7" ht="15">
      <c r="A432" s="127" t="s">
        <v>1756</v>
      </c>
      <c r="B432" s="125">
        <v>2</v>
      </c>
      <c r="C432" s="129">
        <v>0.017685255690537357</v>
      </c>
      <c r="D432" s="125" t="s">
        <v>1244</v>
      </c>
      <c r="E432" s="125" t="b">
        <v>0</v>
      </c>
      <c r="F432" s="125" t="b">
        <v>0</v>
      </c>
      <c r="G432" s="125" t="b">
        <v>0</v>
      </c>
    </row>
    <row r="433" spans="1:7" ht="15">
      <c r="A433" s="127" t="s">
        <v>1788</v>
      </c>
      <c r="B433" s="125">
        <v>2</v>
      </c>
      <c r="C433" s="129">
        <v>0.017685255690537357</v>
      </c>
      <c r="D433" s="125" t="s">
        <v>1244</v>
      </c>
      <c r="E433" s="125" t="b">
        <v>0</v>
      </c>
      <c r="F433" s="125" t="b">
        <v>0</v>
      </c>
      <c r="G433" s="125" t="b">
        <v>0</v>
      </c>
    </row>
    <row r="434" spans="1:7" ht="15">
      <c r="A434" s="127" t="s">
        <v>1760</v>
      </c>
      <c r="B434" s="125">
        <v>2</v>
      </c>
      <c r="C434" s="129">
        <v>0.017685255690537357</v>
      </c>
      <c r="D434" s="125" t="s">
        <v>1244</v>
      </c>
      <c r="E434" s="125" t="b">
        <v>0</v>
      </c>
      <c r="F434" s="125" t="b">
        <v>0</v>
      </c>
      <c r="G434" s="125" t="b">
        <v>0</v>
      </c>
    </row>
    <row r="435" spans="1:7" ht="15">
      <c r="A435" s="127" t="s">
        <v>1808</v>
      </c>
      <c r="B435" s="125">
        <v>2</v>
      </c>
      <c r="C435" s="129">
        <v>0.017685255690537357</v>
      </c>
      <c r="D435" s="125" t="s">
        <v>1244</v>
      </c>
      <c r="E435" s="125" t="b">
        <v>0</v>
      </c>
      <c r="F435" s="125" t="b">
        <v>0</v>
      </c>
      <c r="G435" s="125" t="b">
        <v>0</v>
      </c>
    </row>
    <row r="436" spans="1:7" ht="15">
      <c r="A436" s="127" t="s">
        <v>1755</v>
      </c>
      <c r="B436" s="125">
        <v>2</v>
      </c>
      <c r="C436" s="129">
        <v>0.017685255690537357</v>
      </c>
      <c r="D436" s="125" t="s">
        <v>1244</v>
      </c>
      <c r="E436" s="125" t="b">
        <v>0</v>
      </c>
      <c r="F436" s="125" t="b">
        <v>0</v>
      </c>
      <c r="G436" s="125" t="b">
        <v>0</v>
      </c>
    </row>
    <row r="437" spans="1:7" ht="15">
      <c r="A437" s="127" t="s">
        <v>387</v>
      </c>
      <c r="B437" s="125">
        <v>2</v>
      </c>
      <c r="C437" s="129">
        <v>0.017685255690537357</v>
      </c>
      <c r="D437" s="125" t="s">
        <v>1244</v>
      </c>
      <c r="E437" s="125" t="b">
        <v>0</v>
      </c>
      <c r="F437" s="125" t="b">
        <v>0</v>
      </c>
      <c r="G437" s="125" t="b">
        <v>0</v>
      </c>
    </row>
    <row r="438" spans="1:7" ht="15">
      <c r="A438" s="127" t="s">
        <v>1690</v>
      </c>
      <c r="B438" s="125">
        <v>2</v>
      </c>
      <c r="C438" s="129">
        <v>0.017685255690537357</v>
      </c>
      <c r="D438" s="125" t="s">
        <v>1244</v>
      </c>
      <c r="E438" s="125" t="b">
        <v>0</v>
      </c>
      <c r="F438" s="125" t="b">
        <v>0</v>
      </c>
      <c r="G438" s="125" t="b">
        <v>0</v>
      </c>
    </row>
    <row r="439" spans="1:7" ht="15">
      <c r="A439" s="127" t="s">
        <v>1771</v>
      </c>
      <c r="B439" s="125">
        <v>2</v>
      </c>
      <c r="C439" s="129">
        <v>0.017685255690537357</v>
      </c>
      <c r="D439" s="125" t="s">
        <v>1244</v>
      </c>
      <c r="E439" s="125" t="b">
        <v>0</v>
      </c>
      <c r="F439" s="125" t="b">
        <v>0</v>
      </c>
      <c r="G439" s="125" t="b">
        <v>0</v>
      </c>
    </row>
    <row r="440" spans="1:7" ht="15">
      <c r="A440" s="127" t="s">
        <v>1705</v>
      </c>
      <c r="B440" s="125">
        <v>2</v>
      </c>
      <c r="C440" s="129">
        <v>0.017685255690537357</v>
      </c>
      <c r="D440" s="125" t="s">
        <v>1244</v>
      </c>
      <c r="E440" s="125" t="b">
        <v>0</v>
      </c>
      <c r="F440" s="125" t="b">
        <v>0</v>
      </c>
      <c r="G440" s="125" t="b">
        <v>0</v>
      </c>
    </row>
    <row r="441" spans="1:7" ht="15">
      <c r="A441" s="127" t="s">
        <v>1710</v>
      </c>
      <c r="B441" s="125">
        <v>2</v>
      </c>
      <c r="C441" s="129">
        <v>0.017685255690537357</v>
      </c>
      <c r="D441" s="125" t="s">
        <v>1244</v>
      </c>
      <c r="E441" s="125" t="b">
        <v>0</v>
      </c>
      <c r="F441" s="125" t="b">
        <v>0</v>
      </c>
      <c r="G441" s="125" t="b">
        <v>0</v>
      </c>
    </row>
    <row r="442" spans="1:7" ht="15">
      <c r="A442" s="127" t="s">
        <v>1769</v>
      </c>
      <c r="B442" s="125">
        <v>2</v>
      </c>
      <c r="C442" s="129">
        <v>0.017685255690537357</v>
      </c>
      <c r="D442" s="125" t="s">
        <v>1244</v>
      </c>
      <c r="E442" s="125" t="b">
        <v>0</v>
      </c>
      <c r="F442" s="125" t="b">
        <v>0</v>
      </c>
      <c r="G442" s="125" t="b">
        <v>0</v>
      </c>
    </row>
    <row r="443" spans="1:7" ht="15">
      <c r="A443" s="127" t="s">
        <v>1525</v>
      </c>
      <c r="B443" s="125">
        <v>4</v>
      </c>
      <c r="C443" s="129">
        <v>0.0400196048375267</v>
      </c>
      <c r="D443" s="125" t="s">
        <v>1251</v>
      </c>
      <c r="E443" s="125" t="b">
        <v>0</v>
      </c>
      <c r="F443" s="125" t="b">
        <v>0</v>
      </c>
      <c r="G443" s="125" t="b">
        <v>0</v>
      </c>
    </row>
    <row r="444" spans="1:7" ht="15">
      <c r="A444" s="127" t="s">
        <v>1531</v>
      </c>
      <c r="B444" s="125">
        <v>4</v>
      </c>
      <c r="C444" s="129">
        <v>0.0400196048375267</v>
      </c>
      <c r="D444" s="125" t="s">
        <v>1251</v>
      </c>
      <c r="E444" s="125" t="b">
        <v>0</v>
      </c>
      <c r="F444" s="125" t="b">
        <v>0</v>
      </c>
      <c r="G444" s="125" t="b">
        <v>0</v>
      </c>
    </row>
    <row r="445" spans="1:7" ht="15">
      <c r="A445" s="127" t="s">
        <v>1537</v>
      </c>
      <c r="B445" s="125">
        <v>3</v>
      </c>
      <c r="C445" s="129">
        <v>0.022875868801563348</v>
      </c>
      <c r="D445" s="125" t="s">
        <v>1251</v>
      </c>
      <c r="E445" s="125" t="b">
        <v>0</v>
      </c>
      <c r="F445" s="125" t="b">
        <v>0</v>
      </c>
      <c r="G445" s="125" t="b">
        <v>0</v>
      </c>
    </row>
    <row r="446" spans="1:7" ht="15">
      <c r="A446" s="127" t="s">
        <v>285</v>
      </c>
      <c r="B446" s="125">
        <v>3</v>
      </c>
      <c r="C446" s="129">
        <v>0.022875868801563348</v>
      </c>
      <c r="D446" s="125" t="s">
        <v>1251</v>
      </c>
      <c r="E446" s="125" t="b">
        <v>0</v>
      </c>
      <c r="F446" s="125" t="b">
        <v>0</v>
      </c>
      <c r="G446" s="125" t="b">
        <v>0</v>
      </c>
    </row>
    <row r="447" spans="1:7" ht="15">
      <c r="A447" s="127" t="s">
        <v>274</v>
      </c>
      <c r="B447" s="125">
        <v>3</v>
      </c>
      <c r="C447" s="129">
        <v>0.022875868801563348</v>
      </c>
      <c r="D447" s="125" t="s">
        <v>1251</v>
      </c>
      <c r="E447" s="125" t="b">
        <v>0</v>
      </c>
      <c r="F447" s="125" t="b">
        <v>0</v>
      </c>
      <c r="G447" s="125" t="b">
        <v>0</v>
      </c>
    </row>
    <row r="448" spans="1:7" ht="15">
      <c r="A448" s="127" t="s">
        <v>1552</v>
      </c>
      <c r="B448" s="125">
        <v>2</v>
      </c>
      <c r="C448" s="129">
        <v>0.02000980241876335</v>
      </c>
      <c r="D448" s="125" t="s">
        <v>1251</v>
      </c>
      <c r="E448" s="125" t="b">
        <v>0</v>
      </c>
      <c r="F448" s="125" t="b">
        <v>0</v>
      </c>
      <c r="G448" s="125" t="b">
        <v>0</v>
      </c>
    </row>
    <row r="449" spans="1:7" ht="15">
      <c r="A449" s="127" t="s">
        <v>1558</v>
      </c>
      <c r="B449" s="125">
        <v>2</v>
      </c>
      <c r="C449" s="129">
        <v>0.02000980241876335</v>
      </c>
      <c r="D449" s="125" t="s">
        <v>1251</v>
      </c>
      <c r="E449" s="125" t="b">
        <v>0</v>
      </c>
      <c r="F449" s="125" t="b">
        <v>0</v>
      </c>
      <c r="G449" s="125" t="b">
        <v>0</v>
      </c>
    </row>
    <row r="450" spans="1:7" ht="15">
      <c r="A450" s="127" t="s">
        <v>1563</v>
      </c>
      <c r="B450" s="125">
        <v>2</v>
      </c>
      <c r="C450" s="129">
        <v>0.02000980241876335</v>
      </c>
      <c r="D450" s="125" t="s">
        <v>1251</v>
      </c>
      <c r="E450" s="125" t="b">
        <v>0</v>
      </c>
      <c r="F450" s="125" t="b">
        <v>0</v>
      </c>
      <c r="G450" s="125" t="b">
        <v>0</v>
      </c>
    </row>
    <row r="451" spans="1:7" ht="15">
      <c r="A451" s="127" t="s">
        <v>1568</v>
      </c>
      <c r="B451" s="125">
        <v>2</v>
      </c>
      <c r="C451" s="129">
        <v>0.02000980241876335</v>
      </c>
      <c r="D451" s="125" t="s">
        <v>1251</v>
      </c>
      <c r="E451" s="125" t="b">
        <v>0</v>
      </c>
      <c r="F451" s="125" t="b">
        <v>0</v>
      </c>
      <c r="G451" s="125" t="b">
        <v>0</v>
      </c>
    </row>
    <row r="452" spans="1:7" ht="15">
      <c r="A452" s="127" t="s">
        <v>1574</v>
      </c>
      <c r="B452" s="125">
        <v>2</v>
      </c>
      <c r="C452" s="129">
        <v>0.02000980241876335</v>
      </c>
      <c r="D452" s="125" t="s">
        <v>1251</v>
      </c>
      <c r="E452" s="125" t="b">
        <v>0</v>
      </c>
      <c r="F452" s="125" t="b">
        <v>0</v>
      </c>
      <c r="G452" s="125" t="b">
        <v>0</v>
      </c>
    </row>
    <row r="453" spans="1:7" ht="15">
      <c r="A453" s="127" t="s">
        <v>1842</v>
      </c>
      <c r="B453" s="125">
        <v>2</v>
      </c>
      <c r="C453" s="129">
        <v>0.02000980241876335</v>
      </c>
      <c r="D453" s="125" t="s">
        <v>1251</v>
      </c>
      <c r="E453" s="125" t="b">
        <v>0</v>
      </c>
      <c r="F453" s="125" t="b">
        <v>0</v>
      </c>
      <c r="G453" s="125" t="b">
        <v>0</v>
      </c>
    </row>
    <row r="454" spans="1:7" ht="15">
      <c r="A454" s="127" t="s">
        <v>1693</v>
      </c>
      <c r="B454" s="125">
        <v>2</v>
      </c>
      <c r="C454" s="129">
        <v>0.02000980241876335</v>
      </c>
      <c r="D454" s="125" t="s">
        <v>1251</v>
      </c>
      <c r="E454" s="125" t="b">
        <v>0</v>
      </c>
      <c r="F454" s="125" t="b">
        <v>0</v>
      </c>
      <c r="G454" s="125" t="b">
        <v>0</v>
      </c>
    </row>
    <row r="455" spans="1:7" ht="15">
      <c r="A455" s="127" t="s">
        <v>1750</v>
      </c>
      <c r="B455" s="125">
        <v>2</v>
      </c>
      <c r="C455" s="129">
        <v>0.02000980241876335</v>
      </c>
      <c r="D455" s="125" t="s">
        <v>1251</v>
      </c>
      <c r="E455" s="125" t="b">
        <v>0</v>
      </c>
      <c r="F455" s="125" t="b">
        <v>0</v>
      </c>
      <c r="G455" s="125" t="b">
        <v>0</v>
      </c>
    </row>
    <row r="456" spans="1:7" ht="15">
      <c r="A456" s="127" t="s">
        <v>1845</v>
      </c>
      <c r="B456" s="125">
        <v>2</v>
      </c>
      <c r="C456" s="129">
        <v>0.02000980241876335</v>
      </c>
      <c r="D456" s="125" t="s">
        <v>1251</v>
      </c>
      <c r="E456" s="125" t="b">
        <v>0</v>
      </c>
      <c r="F456" s="125" t="b">
        <v>0</v>
      </c>
      <c r="G456" s="125" t="b">
        <v>0</v>
      </c>
    </row>
    <row r="457" spans="1:7" ht="15">
      <c r="A457" s="127" t="s">
        <v>1694</v>
      </c>
      <c r="B457" s="125">
        <v>2</v>
      </c>
      <c r="C457" s="129">
        <v>0.02000980241876335</v>
      </c>
      <c r="D457" s="125" t="s">
        <v>1251</v>
      </c>
      <c r="E457" s="125" t="b">
        <v>0</v>
      </c>
      <c r="F457" s="125" t="b">
        <v>0</v>
      </c>
      <c r="G457" s="125" t="b">
        <v>0</v>
      </c>
    </row>
    <row r="458" spans="1:7" ht="15">
      <c r="A458" s="127" t="s">
        <v>1847</v>
      </c>
      <c r="B458" s="125">
        <v>2</v>
      </c>
      <c r="C458" s="129">
        <v>0.02000980241876335</v>
      </c>
      <c r="D458" s="125" t="s">
        <v>1251</v>
      </c>
      <c r="E458" s="125" t="b">
        <v>0</v>
      </c>
      <c r="F458" s="125" t="b">
        <v>0</v>
      </c>
      <c r="G458" s="125" t="b">
        <v>0</v>
      </c>
    </row>
    <row r="459" spans="1:7" ht="15">
      <c r="A459" s="127" t="s">
        <v>263</v>
      </c>
      <c r="B459" s="125">
        <v>2</v>
      </c>
      <c r="C459" s="129">
        <v>0.02000980241876335</v>
      </c>
      <c r="D459" s="125" t="s">
        <v>1251</v>
      </c>
      <c r="E459" s="125" t="b">
        <v>0</v>
      </c>
      <c r="F459" s="125" t="b">
        <v>0</v>
      </c>
      <c r="G459" s="125" t="b">
        <v>0</v>
      </c>
    </row>
    <row r="460" spans="1:7" ht="15">
      <c r="A460" s="127" t="s">
        <v>1738</v>
      </c>
      <c r="B460" s="125">
        <v>2</v>
      </c>
      <c r="C460" s="129">
        <v>0.02000980241876335</v>
      </c>
      <c r="D460" s="125" t="s">
        <v>1251</v>
      </c>
      <c r="E460" s="125" t="b">
        <v>0</v>
      </c>
      <c r="F460" s="125" t="b">
        <v>0</v>
      </c>
      <c r="G460" s="125" t="b">
        <v>0</v>
      </c>
    </row>
    <row r="461" spans="1:7" ht="15">
      <c r="A461" s="127" t="s">
        <v>1859</v>
      </c>
      <c r="B461" s="125">
        <v>2</v>
      </c>
      <c r="C461" s="129">
        <v>0.02000980241876335</v>
      </c>
      <c r="D461" s="125" t="s">
        <v>1251</v>
      </c>
      <c r="E461" s="125" t="b">
        <v>0</v>
      </c>
      <c r="F461" s="125" t="b">
        <v>0</v>
      </c>
      <c r="G461" s="125" t="b">
        <v>0</v>
      </c>
    </row>
    <row r="462" spans="1:7" ht="15">
      <c r="A462" s="127" t="s">
        <v>1753</v>
      </c>
      <c r="B462" s="125">
        <v>2</v>
      </c>
      <c r="C462" s="129">
        <v>0.02000980241876335</v>
      </c>
      <c r="D462" s="125" t="s">
        <v>1251</v>
      </c>
      <c r="E462" s="125" t="b">
        <v>0</v>
      </c>
      <c r="F462" s="125" t="b">
        <v>0</v>
      </c>
      <c r="G462" s="125" t="b">
        <v>0</v>
      </c>
    </row>
    <row r="463" spans="1:7" ht="15">
      <c r="A463" s="127" t="s">
        <v>181</v>
      </c>
      <c r="B463" s="125">
        <v>2</v>
      </c>
      <c r="C463" s="129">
        <v>0</v>
      </c>
      <c r="D463" s="125" t="s">
        <v>1263</v>
      </c>
      <c r="E463" s="125" t="b">
        <v>0</v>
      </c>
      <c r="F463" s="125" t="b">
        <v>0</v>
      </c>
      <c r="G463" s="125" t="b">
        <v>0</v>
      </c>
    </row>
    <row r="464" spans="1:7" ht="15">
      <c r="A464" s="127" t="s">
        <v>183</v>
      </c>
      <c r="B464" s="125">
        <v>2</v>
      </c>
      <c r="C464" s="129">
        <v>0</v>
      </c>
      <c r="D464" s="125" t="s">
        <v>1263</v>
      </c>
      <c r="E464" s="125" t="b">
        <v>0</v>
      </c>
      <c r="F464" s="125" t="b">
        <v>0</v>
      </c>
      <c r="G464" s="125" t="b">
        <v>0</v>
      </c>
    </row>
    <row r="465" spans="1:7" ht="15">
      <c r="A465" s="127" t="s">
        <v>1538</v>
      </c>
      <c r="B465" s="125">
        <v>2</v>
      </c>
      <c r="C465" s="129">
        <v>0</v>
      </c>
      <c r="D465" s="125" t="s">
        <v>1263</v>
      </c>
      <c r="E465" s="125" t="b">
        <v>0</v>
      </c>
      <c r="F465" s="125" t="b">
        <v>0</v>
      </c>
      <c r="G465" s="125" t="b">
        <v>0</v>
      </c>
    </row>
    <row r="466" spans="1:7" ht="15">
      <c r="A466" s="127" t="s">
        <v>179</v>
      </c>
      <c r="B466" s="125">
        <v>2</v>
      </c>
      <c r="C466" s="129">
        <v>0</v>
      </c>
      <c r="D466" s="125" t="s">
        <v>1263</v>
      </c>
      <c r="E466" s="125" t="b">
        <v>0</v>
      </c>
      <c r="F466" s="125" t="b">
        <v>0</v>
      </c>
      <c r="G466" s="125" t="b">
        <v>0</v>
      </c>
    </row>
    <row r="467" spans="1:7" ht="15">
      <c r="A467" s="127" t="s">
        <v>182</v>
      </c>
      <c r="B467" s="125">
        <v>2</v>
      </c>
      <c r="C467" s="129">
        <v>0</v>
      </c>
      <c r="D467" s="125" t="s">
        <v>1263</v>
      </c>
      <c r="E467" s="125" t="b">
        <v>0</v>
      </c>
      <c r="F467" s="125" t="b">
        <v>0</v>
      </c>
      <c r="G467" s="125" t="b">
        <v>0</v>
      </c>
    </row>
    <row r="468" spans="1:7" ht="15">
      <c r="A468" s="127" t="s">
        <v>163</v>
      </c>
      <c r="B468" s="125">
        <v>2</v>
      </c>
      <c r="C468" s="129">
        <v>0</v>
      </c>
      <c r="D468" s="125" t="s">
        <v>1263</v>
      </c>
      <c r="E468" s="125" t="b">
        <v>0</v>
      </c>
      <c r="F468" s="125" t="b">
        <v>0</v>
      </c>
      <c r="G468" s="125" t="b">
        <v>0</v>
      </c>
    </row>
    <row r="469" spans="1:7" ht="15">
      <c r="A469" s="127" t="s">
        <v>1526</v>
      </c>
      <c r="B469" s="125">
        <v>3</v>
      </c>
      <c r="C469" s="129">
        <v>0.013632035849133212</v>
      </c>
      <c r="D469" s="125" t="s">
        <v>1271</v>
      </c>
      <c r="E469" s="125" t="b">
        <v>0</v>
      </c>
      <c r="F469" s="125" t="b">
        <v>0</v>
      </c>
      <c r="G469" s="125" t="b">
        <v>0</v>
      </c>
    </row>
    <row r="470" spans="1:7" ht="15">
      <c r="A470" s="127" t="s">
        <v>1532</v>
      </c>
      <c r="B470" s="125">
        <v>3</v>
      </c>
      <c r="C470" s="129">
        <v>0.013632035849133212</v>
      </c>
      <c r="D470" s="125" t="s">
        <v>1271</v>
      </c>
      <c r="E470" s="125" t="b">
        <v>0</v>
      </c>
      <c r="F470" s="125" t="b">
        <v>0</v>
      </c>
      <c r="G470" s="125" t="b">
        <v>0</v>
      </c>
    </row>
    <row r="471" spans="1:7" ht="15">
      <c r="A471" s="127" t="s">
        <v>1539</v>
      </c>
      <c r="B471" s="125">
        <v>3</v>
      </c>
      <c r="C471" s="129">
        <v>0.013632035849133212</v>
      </c>
      <c r="D471" s="125" t="s">
        <v>1271</v>
      </c>
      <c r="E471" s="125" t="b">
        <v>0</v>
      </c>
      <c r="F471" s="125" t="b">
        <v>0</v>
      </c>
      <c r="G471" s="125" t="b">
        <v>0</v>
      </c>
    </row>
    <row r="472" spans="1:7" ht="15">
      <c r="A472" s="127" t="s">
        <v>1543</v>
      </c>
      <c r="B472" s="125">
        <v>2</v>
      </c>
      <c r="C472" s="129">
        <v>0.009088023899422143</v>
      </c>
      <c r="D472" s="125" t="s">
        <v>1271</v>
      </c>
      <c r="E472" s="125" t="b">
        <v>0</v>
      </c>
      <c r="F472" s="125" t="b">
        <v>0</v>
      </c>
      <c r="G472" s="125" t="b">
        <v>0</v>
      </c>
    </row>
    <row r="473" spans="1:7" ht="15">
      <c r="A473" s="127" t="s">
        <v>1548</v>
      </c>
      <c r="B473" s="125">
        <v>2</v>
      </c>
      <c r="C473" s="129">
        <v>0.009088023899422143</v>
      </c>
      <c r="D473" s="125" t="s">
        <v>1271</v>
      </c>
      <c r="E473" s="125" t="b">
        <v>0</v>
      </c>
      <c r="F473" s="125" t="b">
        <v>0</v>
      </c>
      <c r="G473" s="125" t="b">
        <v>0</v>
      </c>
    </row>
    <row r="474" spans="1:7" ht="15">
      <c r="A474" s="127" t="s">
        <v>1553</v>
      </c>
      <c r="B474" s="125">
        <v>2</v>
      </c>
      <c r="C474" s="129">
        <v>0.009088023899422143</v>
      </c>
      <c r="D474" s="125" t="s">
        <v>1271</v>
      </c>
      <c r="E474" s="125" t="b">
        <v>0</v>
      </c>
      <c r="F474" s="125" t="b">
        <v>0</v>
      </c>
      <c r="G474" s="125" t="b">
        <v>0</v>
      </c>
    </row>
    <row r="475" spans="1:7" ht="15">
      <c r="A475" s="127" t="s">
        <v>1559</v>
      </c>
      <c r="B475" s="125">
        <v>2</v>
      </c>
      <c r="C475" s="129">
        <v>0.009088023899422143</v>
      </c>
      <c r="D475" s="125" t="s">
        <v>1271</v>
      </c>
      <c r="E475" s="125" t="b">
        <v>0</v>
      </c>
      <c r="F475" s="125" t="b">
        <v>0</v>
      </c>
      <c r="G475" s="125" t="b">
        <v>0</v>
      </c>
    </row>
    <row r="476" spans="1:7" ht="15">
      <c r="A476" s="127" t="s">
        <v>1564</v>
      </c>
      <c r="B476" s="125">
        <v>2</v>
      </c>
      <c r="C476" s="129">
        <v>0.009088023899422143</v>
      </c>
      <c r="D476" s="125" t="s">
        <v>1271</v>
      </c>
      <c r="E476" s="125" t="b">
        <v>0</v>
      </c>
      <c r="F476" s="125" t="b">
        <v>0</v>
      </c>
      <c r="G476" s="125" t="b">
        <v>0</v>
      </c>
    </row>
    <row r="477" spans="1:7" ht="15">
      <c r="A477" s="127" t="s">
        <v>1569</v>
      </c>
      <c r="B477" s="125">
        <v>2</v>
      </c>
      <c r="C477" s="129">
        <v>0.009088023899422143</v>
      </c>
      <c r="D477" s="125" t="s">
        <v>1271</v>
      </c>
      <c r="E477" s="125" t="b">
        <v>0</v>
      </c>
      <c r="F477" s="125" t="b">
        <v>0</v>
      </c>
      <c r="G477" s="125" t="b">
        <v>0</v>
      </c>
    </row>
    <row r="478" spans="1:7" ht="15">
      <c r="A478" s="127" t="s">
        <v>1575</v>
      </c>
      <c r="B478" s="125">
        <v>2</v>
      </c>
      <c r="C478" s="129">
        <v>0.009088023899422143</v>
      </c>
      <c r="D478" s="125" t="s">
        <v>1271</v>
      </c>
      <c r="E478" s="125" t="b">
        <v>0</v>
      </c>
      <c r="F478" s="125" t="b">
        <v>0</v>
      </c>
      <c r="G478" s="125" t="b">
        <v>0</v>
      </c>
    </row>
    <row r="479" spans="1:7" ht="15">
      <c r="A479" s="127" t="s">
        <v>1815</v>
      </c>
      <c r="B479" s="125">
        <v>2</v>
      </c>
      <c r="C479" s="129">
        <v>0.009088023899422143</v>
      </c>
      <c r="D479" s="125" t="s">
        <v>1271</v>
      </c>
      <c r="E479" s="125" t="b">
        <v>0</v>
      </c>
      <c r="F479" s="125" t="b">
        <v>0</v>
      </c>
      <c r="G479" s="125" t="b">
        <v>0</v>
      </c>
    </row>
    <row r="480" spans="1:7" ht="15">
      <c r="A480" s="127" t="s">
        <v>1858</v>
      </c>
      <c r="B480" s="125">
        <v>2</v>
      </c>
      <c r="C480" s="129">
        <v>0.009088023899422143</v>
      </c>
      <c r="D480" s="125" t="s">
        <v>1271</v>
      </c>
      <c r="E480" s="125" t="b">
        <v>0</v>
      </c>
      <c r="F480" s="125" t="b">
        <v>0</v>
      </c>
      <c r="G480" s="125" t="b">
        <v>0</v>
      </c>
    </row>
    <row r="481" spans="1:7" ht="15">
      <c r="A481" s="127" t="s">
        <v>1703</v>
      </c>
      <c r="B481" s="125">
        <v>2</v>
      </c>
      <c r="C481" s="129">
        <v>0.009088023899422143</v>
      </c>
      <c r="D481" s="125" t="s">
        <v>1271</v>
      </c>
      <c r="E481" s="125" t="b">
        <v>0</v>
      </c>
      <c r="F481" s="125" t="b">
        <v>0</v>
      </c>
      <c r="G481" s="125" t="b">
        <v>0</v>
      </c>
    </row>
    <row r="482" spans="1:7" ht="15">
      <c r="A482" s="127" t="s">
        <v>1708</v>
      </c>
      <c r="B482" s="125">
        <v>2</v>
      </c>
      <c r="C482" s="129">
        <v>0.009088023899422143</v>
      </c>
      <c r="D482" s="125" t="s">
        <v>1271</v>
      </c>
      <c r="E482" s="125" t="b">
        <v>0</v>
      </c>
      <c r="F482" s="125" t="b">
        <v>0</v>
      </c>
      <c r="G482" s="125" t="b">
        <v>0</v>
      </c>
    </row>
    <row r="483" spans="1:7" ht="15">
      <c r="A483" s="127" t="s">
        <v>1772</v>
      </c>
      <c r="B483" s="125">
        <v>2</v>
      </c>
      <c r="C483" s="129">
        <v>0.009088023899422143</v>
      </c>
      <c r="D483" s="125" t="s">
        <v>1271</v>
      </c>
      <c r="E483" s="125" t="b">
        <v>0</v>
      </c>
      <c r="F483" s="125" t="b">
        <v>0</v>
      </c>
      <c r="G483" s="125" t="b">
        <v>0</v>
      </c>
    </row>
    <row r="484" spans="1:7" ht="15">
      <c r="A484" s="127" t="s">
        <v>1713</v>
      </c>
      <c r="B484" s="125">
        <v>2</v>
      </c>
      <c r="C484" s="129">
        <v>0.009088023899422143</v>
      </c>
      <c r="D484" s="125" t="s">
        <v>1271</v>
      </c>
      <c r="E484" s="125" t="b">
        <v>0</v>
      </c>
      <c r="F484" s="125" t="b">
        <v>0</v>
      </c>
      <c r="G484" s="125" t="b">
        <v>0</v>
      </c>
    </row>
    <row r="485" spans="1:7" ht="15">
      <c r="A485" s="127" t="s">
        <v>1689</v>
      </c>
      <c r="B485" s="125">
        <v>2</v>
      </c>
      <c r="C485" s="129">
        <v>0.009088023899422143</v>
      </c>
      <c r="D485" s="125" t="s">
        <v>1271</v>
      </c>
      <c r="E485" s="125" t="b">
        <v>0</v>
      </c>
      <c r="F485" s="125" t="b">
        <v>0</v>
      </c>
      <c r="G485" s="125" t="b">
        <v>0</v>
      </c>
    </row>
    <row r="486" spans="1:7" ht="15">
      <c r="A486" s="127" t="s">
        <v>1731</v>
      </c>
      <c r="B486" s="125">
        <v>2</v>
      </c>
      <c r="C486" s="129">
        <v>0.009088023899422143</v>
      </c>
      <c r="D486" s="125" t="s">
        <v>1271</v>
      </c>
      <c r="E486" s="125" t="b">
        <v>0</v>
      </c>
      <c r="F486" s="125" t="b">
        <v>0</v>
      </c>
      <c r="G486" s="125" t="b">
        <v>0</v>
      </c>
    </row>
    <row r="487" spans="1:7" ht="15">
      <c r="A487" s="127" t="s">
        <v>1683</v>
      </c>
      <c r="B487" s="125">
        <v>2</v>
      </c>
      <c r="C487" s="129">
        <v>0.009088023899422143</v>
      </c>
      <c r="D487" s="125" t="s">
        <v>1271</v>
      </c>
      <c r="E487" s="125" t="b">
        <v>0</v>
      </c>
      <c r="F487" s="125" t="b">
        <v>0</v>
      </c>
      <c r="G487" s="125" t="b">
        <v>0</v>
      </c>
    </row>
    <row r="488" spans="1:7" ht="15">
      <c r="A488" s="127" t="s">
        <v>1701</v>
      </c>
      <c r="B488" s="125">
        <v>2</v>
      </c>
      <c r="C488" s="129">
        <v>0.009088023899422143</v>
      </c>
      <c r="D488" s="125" t="s">
        <v>1271</v>
      </c>
      <c r="E488" s="125" t="b">
        <v>0</v>
      </c>
      <c r="F488" s="125" t="b">
        <v>0</v>
      </c>
      <c r="G488" s="125" t="b">
        <v>0</v>
      </c>
    </row>
    <row r="489" spans="1:7" ht="15">
      <c r="A489" s="127" t="s">
        <v>1727</v>
      </c>
      <c r="B489" s="125">
        <v>2</v>
      </c>
      <c r="C489" s="129">
        <v>0.009088023899422143</v>
      </c>
      <c r="D489" s="125" t="s">
        <v>1271</v>
      </c>
      <c r="E489" s="125" t="b">
        <v>0</v>
      </c>
      <c r="F489" s="125" t="b">
        <v>0</v>
      </c>
      <c r="G489" s="125" t="b">
        <v>0</v>
      </c>
    </row>
    <row r="490" spans="1:7" ht="15">
      <c r="A490" s="127" t="s">
        <v>1704</v>
      </c>
      <c r="B490" s="125">
        <v>2</v>
      </c>
      <c r="C490" s="129">
        <v>0.009088023899422143</v>
      </c>
      <c r="D490" s="125" t="s">
        <v>1271</v>
      </c>
      <c r="E490" s="125" t="b">
        <v>0</v>
      </c>
      <c r="F490" s="125" t="b">
        <v>0</v>
      </c>
      <c r="G490" s="125" t="b">
        <v>0</v>
      </c>
    </row>
    <row r="491" spans="1:7" ht="15">
      <c r="A491" s="127" t="s">
        <v>1801</v>
      </c>
      <c r="B491" s="125">
        <v>2</v>
      </c>
      <c r="C491" s="129">
        <v>0.009088023899422143</v>
      </c>
      <c r="D491" s="125" t="s">
        <v>1271</v>
      </c>
      <c r="E491" s="125" t="b">
        <v>0</v>
      </c>
      <c r="F491" s="125" t="b">
        <v>0</v>
      </c>
      <c r="G491" s="125" t="b">
        <v>0</v>
      </c>
    </row>
    <row r="492" spans="1:7" ht="15">
      <c r="A492" s="127" t="s">
        <v>1711</v>
      </c>
      <c r="B492" s="125">
        <v>2</v>
      </c>
      <c r="C492" s="129">
        <v>0.009088023899422143</v>
      </c>
      <c r="D492" s="125" t="s">
        <v>1271</v>
      </c>
      <c r="E492" s="125" t="b">
        <v>0</v>
      </c>
      <c r="F492" s="125" t="b">
        <v>0</v>
      </c>
      <c r="G492" s="125" t="b">
        <v>0</v>
      </c>
    </row>
    <row r="493" spans="1:7" ht="15">
      <c r="A493" s="127" t="s">
        <v>1787</v>
      </c>
      <c r="B493" s="125">
        <v>2</v>
      </c>
      <c r="C493" s="129">
        <v>0.009088023899422143</v>
      </c>
      <c r="D493" s="125" t="s">
        <v>1271</v>
      </c>
      <c r="E493" s="125" t="b">
        <v>0</v>
      </c>
      <c r="F493" s="125" t="b">
        <v>0</v>
      </c>
      <c r="G493" s="125" t="b">
        <v>0</v>
      </c>
    </row>
    <row r="494" spans="1:7" ht="15">
      <c r="A494" s="127" t="s">
        <v>1568</v>
      </c>
      <c r="B494" s="125">
        <v>2</v>
      </c>
      <c r="C494" s="129">
        <v>0.009088023899422143</v>
      </c>
      <c r="D494" s="125" t="s">
        <v>1271</v>
      </c>
      <c r="E494" s="125" t="b">
        <v>0</v>
      </c>
      <c r="F494" s="125" t="b">
        <v>0</v>
      </c>
      <c r="G494" s="125" t="b">
        <v>0</v>
      </c>
    </row>
    <row r="495" spans="1:7" ht="15">
      <c r="A495" s="127" t="s">
        <v>1766</v>
      </c>
      <c r="B495" s="125">
        <v>2</v>
      </c>
      <c r="C495" s="129">
        <v>0.009088023899422143</v>
      </c>
      <c r="D495" s="125" t="s">
        <v>1271</v>
      </c>
      <c r="E495" s="125" t="b">
        <v>0</v>
      </c>
      <c r="F495" s="125" t="b">
        <v>0</v>
      </c>
      <c r="G495" s="125" t="b">
        <v>0</v>
      </c>
    </row>
    <row r="496" spans="1:7" ht="15">
      <c r="A496" s="127" t="s">
        <v>1776</v>
      </c>
      <c r="B496" s="125">
        <v>2</v>
      </c>
      <c r="C496" s="129">
        <v>0.009088023899422143</v>
      </c>
      <c r="D496" s="125" t="s">
        <v>1271</v>
      </c>
      <c r="E496" s="125" t="b">
        <v>0</v>
      </c>
      <c r="F496" s="125" t="b">
        <v>0</v>
      </c>
      <c r="G496" s="125" t="b">
        <v>0</v>
      </c>
    </row>
    <row r="497" spans="1:7" ht="15">
      <c r="A497" s="127" t="s">
        <v>1832</v>
      </c>
      <c r="B497" s="125">
        <v>2</v>
      </c>
      <c r="C497" s="129">
        <v>0.009088023899422143</v>
      </c>
      <c r="D497" s="125" t="s">
        <v>1271</v>
      </c>
      <c r="E497" s="125" t="b">
        <v>0</v>
      </c>
      <c r="F497" s="125" t="b">
        <v>0</v>
      </c>
      <c r="G497" s="125" t="b">
        <v>0</v>
      </c>
    </row>
    <row r="498" spans="1:7" ht="15">
      <c r="A498" s="127" t="s">
        <v>1714</v>
      </c>
      <c r="B498" s="125">
        <v>2</v>
      </c>
      <c r="C498" s="129">
        <v>0.009088023899422143</v>
      </c>
      <c r="D498" s="125" t="s">
        <v>1271</v>
      </c>
      <c r="E498" s="125" t="b">
        <v>0</v>
      </c>
      <c r="F498" s="125" t="b">
        <v>0</v>
      </c>
      <c r="G498" s="125" t="b">
        <v>0</v>
      </c>
    </row>
    <row r="499" spans="1:7" ht="15">
      <c r="A499" s="127" t="s">
        <v>1831</v>
      </c>
      <c r="B499" s="125">
        <v>2</v>
      </c>
      <c r="C499" s="129">
        <v>0.009088023899422143</v>
      </c>
      <c r="D499" s="125" t="s">
        <v>1271</v>
      </c>
      <c r="E499" s="125" t="b">
        <v>0</v>
      </c>
      <c r="F499" s="125" t="b">
        <v>0</v>
      </c>
      <c r="G499" s="125" t="b">
        <v>0</v>
      </c>
    </row>
    <row r="500" spans="1:7" ht="15">
      <c r="A500" s="127" t="s">
        <v>1691</v>
      </c>
      <c r="B500" s="125">
        <v>2</v>
      </c>
      <c r="C500" s="129">
        <v>0.009088023899422143</v>
      </c>
      <c r="D500" s="125" t="s">
        <v>1271</v>
      </c>
      <c r="E500" s="125" t="b">
        <v>0</v>
      </c>
      <c r="F500" s="125" t="b">
        <v>0</v>
      </c>
      <c r="G500" s="125" t="b">
        <v>0</v>
      </c>
    </row>
    <row r="501" spans="1:7" ht="15">
      <c r="A501" s="127" t="s">
        <v>1718</v>
      </c>
      <c r="B501" s="125">
        <v>2</v>
      </c>
      <c r="C501" s="129">
        <v>0.009088023899422143</v>
      </c>
      <c r="D501" s="125" t="s">
        <v>1271</v>
      </c>
      <c r="E501" s="125" t="b">
        <v>0</v>
      </c>
      <c r="F501" s="125" t="b">
        <v>0</v>
      </c>
      <c r="G501" s="125" t="b">
        <v>0</v>
      </c>
    </row>
    <row r="502" spans="1:7" ht="15">
      <c r="A502" s="127" t="s">
        <v>1697</v>
      </c>
      <c r="B502" s="125">
        <v>2</v>
      </c>
      <c r="C502" s="129">
        <v>0.009088023899422143</v>
      </c>
      <c r="D502" s="125" t="s">
        <v>1271</v>
      </c>
      <c r="E502" s="125" t="b">
        <v>0</v>
      </c>
      <c r="F502" s="125" t="b">
        <v>0</v>
      </c>
      <c r="G502" s="125" t="b">
        <v>0</v>
      </c>
    </row>
    <row r="503" spans="1:7" ht="15">
      <c r="A503" s="127" t="s">
        <v>1827</v>
      </c>
      <c r="B503" s="125">
        <v>2</v>
      </c>
      <c r="C503" s="129">
        <v>0.009088023899422143</v>
      </c>
      <c r="D503" s="125" t="s">
        <v>1271</v>
      </c>
      <c r="E503" s="125" t="b">
        <v>0</v>
      </c>
      <c r="F503" s="125" t="b">
        <v>0</v>
      </c>
      <c r="G503" s="125" t="b">
        <v>0</v>
      </c>
    </row>
    <row r="504" spans="1:7" ht="15">
      <c r="A504" s="127" t="s">
        <v>1707</v>
      </c>
      <c r="B504" s="125">
        <v>2</v>
      </c>
      <c r="C504" s="129">
        <v>0.009088023899422143</v>
      </c>
      <c r="D504" s="125" t="s">
        <v>1271</v>
      </c>
      <c r="E504" s="125" t="b">
        <v>0</v>
      </c>
      <c r="F504" s="125" t="b">
        <v>0</v>
      </c>
      <c r="G504" s="125" t="b">
        <v>0</v>
      </c>
    </row>
    <row r="505" spans="1:7" ht="15">
      <c r="A505" s="127" t="s">
        <v>1717</v>
      </c>
      <c r="B505" s="125">
        <v>2</v>
      </c>
      <c r="C505" s="129">
        <v>0.009088023899422143</v>
      </c>
      <c r="D505" s="125" t="s">
        <v>1271</v>
      </c>
      <c r="E505" s="125" t="b">
        <v>0</v>
      </c>
      <c r="F505" s="125" t="b">
        <v>0</v>
      </c>
      <c r="G505" s="125" t="b">
        <v>0</v>
      </c>
    </row>
    <row r="506" spans="1:7" ht="15">
      <c r="A506" s="127" t="s">
        <v>1793</v>
      </c>
      <c r="B506" s="125">
        <v>2</v>
      </c>
      <c r="C506" s="129">
        <v>0.009088023899422143</v>
      </c>
      <c r="D506" s="125" t="s">
        <v>1271</v>
      </c>
      <c r="E506" s="125" t="b">
        <v>0</v>
      </c>
      <c r="F506" s="125" t="b">
        <v>0</v>
      </c>
      <c r="G506" s="125" t="b">
        <v>0</v>
      </c>
    </row>
    <row r="507" spans="1:7" ht="15">
      <c r="A507" s="127" t="s">
        <v>1712</v>
      </c>
      <c r="B507" s="125">
        <v>2</v>
      </c>
      <c r="C507" s="129">
        <v>0.009088023899422143</v>
      </c>
      <c r="D507" s="125" t="s">
        <v>1271</v>
      </c>
      <c r="E507" s="125" t="b">
        <v>0</v>
      </c>
      <c r="F507" s="125" t="b">
        <v>0</v>
      </c>
      <c r="G507" s="125" t="b">
        <v>0</v>
      </c>
    </row>
    <row r="508" spans="1:7" ht="15">
      <c r="A508" s="127" t="s">
        <v>1527</v>
      </c>
      <c r="B508" s="125">
        <v>2</v>
      </c>
      <c r="C508" s="129">
        <v>0</v>
      </c>
      <c r="D508" s="125" t="s">
        <v>1278</v>
      </c>
      <c r="E508" s="125" t="b">
        <v>0</v>
      </c>
      <c r="F508" s="125" t="b">
        <v>0</v>
      </c>
      <c r="G508" s="125" t="b">
        <v>0</v>
      </c>
    </row>
    <row r="509" spans="1:7" ht="15">
      <c r="A509" s="127" t="s">
        <v>1533</v>
      </c>
      <c r="B509" s="125">
        <v>2</v>
      </c>
      <c r="C509" s="129">
        <v>0</v>
      </c>
      <c r="D509" s="125" t="s">
        <v>1278</v>
      </c>
      <c r="E509" s="125" t="b">
        <v>0</v>
      </c>
      <c r="F509" s="125" t="b">
        <v>0</v>
      </c>
      <c r="G509" s="125" t="b">
        <v>0</v>
      </c>
    </row>
    <row r="510" spans="1:7" ht="15">
      <c r="A510" s="127" t="s">
        <v>1540</v>
      </c>
      <c r="B510" s="125">
        <v>2</v>
      </c>
      <c r="C510" s="129">
        <v>0</v>
      </c>
      <c r="D510" s="125" t="s">
        <v>1278</v>
      </c>
      <c r="E510" s="125" t="b">
        <v>0</v>
      </c>
      <c r="F510" s="125" t="b">
        <v>0</v>
      </c>
      <c r="G510" s="125" t="b">
        <v>0</v>
      </c>
    </row>
    <row r="511" spans="1:7" ht="15">
      <c r="A511" s="127" t="s">
        <v>1544</v>
      </c>
      <c r="B511" s="125">
        <v>2</v>
      </c>
      <c r="C511" s="129">
        <v>0</v>
      </c>
      <c r="D511" s="125" t="s">
        <v>1278</v>
      </c>
      <c r="E511" s="125" t="b">
        <v>0</v>
      </c>
      <c r="F511" s="125" t="b">
        <v>0</v>
      </c>
      <c r="G511" s="125" t="b">
        <v>0</v>
      </c>
    </row>
    <row r="512" spans="1:7" ht="15">
      <c r="A512" s="127" t="s">
        <v>1549</v>
      </c>
      <c r="B512" s="125">
        <v>2</v>
      </c>
      <c r="C512" s="129">
        <v>0</v>
      </c>
      <c r="D512" s="125" t="s">
        <v>1278</v>
      </c>
      <c r="E512" s="125" t="b">
        <v>0</v>
      </c>
      <c r="F512" s="125" t="b">
        <v>0</v>
      </c>
      <c r="G512" s="125" t="b">
        <v>0</v>
      </c>
    </row>
    <row r="513" spans="1:7" ht="15">
      <c r="A513" s="127" t="s">
        <v>1554</v>
      </c>
      <c r="B513" s="125">
        <v>2</v>
      </c>
      <c r="C513" s="129">
        <v>0</v>
      </c>
      <c r="D513" s="125" t="s">
        <v>1278</v>
      </c>
      <c r="E513" s="125" t="b">
        <v>0</v>
      </c>
      <c r="F513" s="125" t="b">
        <v>0</v>
      </c>
      <c r="G513" s="125" t="b">
        <v>0</v>
      </c>
    </row>
    <row r="514" spans="1:7" ht="15">
      <c r="A514" s="127" t="s">
        <v>1507</v>
      </c>
      <c r="B514" s="125">
        <v>2</v>
      </c>
      <c r="C514" s="129">
        <v>0</v>
      </c>
      <c r="D514" s="125" t="s">
        <v>1278</v>
      </c>
      <c r="E514" s="125" t="b">
        <v>0</v>
      </c>
      <c r="F514" s="125" t="b">
        <v>0</v>
      </c>
      <c r="G514" s="125" t="b">
        <v>0</v>
      </c>
    </row>
    <row r="515" spans="1:7" ht="15">
      <c r="A515" s="127" t="s">
        <v>1556</v>
      </c>
      <c r="B515" s="125">
        <v>2</v>
      </c>
      <c r="C515" s="129">
        <v>0</v>
      </c>
      <c r="D515" s="125" t="s">
        <v>1278</v>
      </c>
      <c r="E515" s="125" t="b">
        <v>0</v>
      </c>
      <c r="F515" s="125" t="b">
        <v>0</v>
      </c>
      <c r="G515" s="125" t="b">
        <v>0</v>
      </c>
    </row>
    <row r="516" spans="1:7" ht="15">
      <c r="A516" s="127" t="s">
        <v>1570</v>
      </c>
      <c r="B516" s="125">
        <v>2</v>
      </c>
      <c r="C516" s="129">
        <v>0</v>
      </c>
      <c r="D516" s="125" t="s">
        <v>1278</v>
      </c>
      <c r="E516" s="125" t="b">
        <v>0</v>
      </c>
      <c r="F516" s="125" t="b">
        <v>0</v>
      </c>
      <c r="G516" s="125" t="b">
        <v>0</v>
      </c>
    </row>
    <row r="517" spans="1:7" ht="15">
      <c r="A517" s="127" t="s">
        <v>1576</v>
      </c>
      <c r="B517" s="125">
        <v>2</v>
      </c>
      <c r="C517" s="129">
        <v>0</v>
      </c>
      <c r="D517" s="125" t="s">
        <v>1278</v>
      </c>
      <c r="E517" s="125" t="b">
        <v>0</v>
      </c>
      <c r="F517" s="125" t="b">
        <v>0</v>
      </c>
      <c r="G517" s="125" t="b">
        <v>0</v>
      </c>
    </row>
    <row r="518" spans="1:7" ht="15">
      <c r="A518" s="127" t="s">
        <v>1855</v>
      </c>
      <c r="B518" s="125">
        <v>2</v>
      </c>
      <c r="C518" s="129">
        <v>0</v>
      </c>
      <c r="D518" s="125" t="s">
        <v>1278</v>
      </c>
      <c r="E518" s="125" t="b">
        <v>0</v>
      </c>
      <c r="F518" s="125" t="b">
        <v>0</v>
      </c>
      <c r="G518" s="125" t="b">
        <v>0</v>
      </c>
    </row>
    <row r="519" spans="1:7" ht="15">
      <c r="A519" s="127" t="s">
        <v>1286</v>
      </c>
      <c r="B519" s="125">
        <v>2</v>
      </c>
      <c r="C519" s="129">
        <v>0</v>
      </c>
      <c r="D519" s="125" t="s">
        <v>1283</v>
      </c>
      <c r="E519" s="125" t="b">
        <v>0</v>
      </c>
      <c r="F519" s="125" t="b">
        <v>0</v>
      </c>
      <c r="G519" s="125" t="b">
        <v>0</v>
      </c>
    </row>
    <row r="520" spans="1:7" ht="15">
      <c r="A520" s="127" t="s">
        <v>1735</v>
      </c>
      <c r="B520" s="125">
        <v>2</v>
      </c>
      <c r="C520" s="129">
        <v>0</v>
      </c>
      <c r="D520" s="125" t="s">
        <v>1294</v>
      </c>
      <c r="E520" s="125" t="b">
        <v>0</v>
      </c>
      <c r="F520" s="125" t="b">
        <v>0</v>
      </c>
      <c r="G520" s="125" t="b">
        <v>0</v>
      </c>
    </row>
    <row r="521" spans="1:7" ht="15">
      <c r="A521" s="127" t="s">
        <v>1800</v>
      </c>
      <c r="B521" s="125">
        <v>2</v>
      </c>
      <c r="C521" s="129">
        <v>0</v>
      </c>
      <c r="D521" s="125" t="s">
        <v>1294</v>
      </c>
      <c r="E521" s="125" t="b">
        <v>0</v>
      </c>
      <c r="F521" s="125" t="b">
        <v>0</v>
      </c>
      <c r="G521" s="125" t="b">
        <v>0</v>
      </c>
    </row>
    <row r="522" spans="1:7" ht="15">
      <c r="A522" s="127" t="s">
        <v>1722</v>
      </c>
      <c r="B522" s="125">
        <v>2</v>
      </c>
      <c r="C522" s="129">
        <v>0</v>
      </c>
      <c r="D522" s="125" t="s">
        <v>1294</v>
      </c>
      <c r="E522" s="125" t="b">
        <v>0</v>
      </c>
      <c r="F522" s="125" t="b">
        <v>0</v>
      </c>
      <c r="G522" s="125" t="b">
        <v>0</v>
      </c>
    </row>
    <row r="523" spans="1:7" ht="15">
      <c r="A523" s="127" t="s">
        <v>1758</v>
      </c>
      <c r="B523" s="125">
        <v>2</v>
      </c>
      <c r="C523" s="129">
        <v>0</v>
      </c>
      <c r="D523" s="125" t="s">
        <v>1294</v>
      </c>
      <c r="E523" s="125" t="b">
        <v>0</v>
      </c>
      <c r="F523" s="125" t="b">
        <v>0</v>
      </c>
      <c r="G523" s="125" t="b">
        <v>0</v>
      </c>
    </row>
    <row r="524" spans="1:7" ht="15">
      <c r="A524" s="127" t="s">
        <v>1301</v>
      </c>
      <c r="B524" s="125">
        <v>2</v>
      </c>
      <c r="C524" s="129">
        <v>0.021502142547427227</v>
      </c>
      <c r="D524" s="125" t="s">
        <v>1298</v>
      </c>
      <c r="E524" s="125" t="b">
        <v>0</v>
      </c>
      <c r="F524" s="125" t="b">
        <v>0</v>
      </c>
      <c r="G524" s="12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1862</v>
      </c>
      <c r="B1" s="7" t="s">
        <v>1863</v>
      </c>
      <c r="C1" s="7" t="s">
        <v>1666</v>
      </c>
      <c r="D1" s="7" t="s">
        <v>1667</v>
      </c>
      <c r="E1" s="7" t="s">
        <v>1864</v>
      </c>
      <c r="F1" s="7" t="s">
        <v>1199</v>
      </c>
      <c r="G1" s="7" t="s">
        <v>1865</v>
      </c>
      <c r="H1" s="7" t="s">
        <v>1866</v>
      </c>
      <c r="I1" s="7" t="s">
        <v>1867</v>
      </c>
      <c r="J1" s="7" t="s">
        <v>1868</v>
      </c>
      <c r="K1" s="7" t="s">
        <v>1869</v>
      </c>
      <c r="L1" s="7" t="s">
        <v>1870</v>
      </c>
    </row>
    <row r="2" spans="1:12" ht="15">
      <c r="A2" s="126" t="s">
        <v>504</v>
      </c>
      <c r="B2" s="126" t="s">
        <v>1534</v>
      </c>
      <c r="C2" s="126">
        <v>14</v>
      </c>
      <c r="D2" s="130">
        <v>0.011779124248491828</v>
      </c>
      <c r="E2" s="130">
        <v>1.8171874757078732</v>
      </c>
      <c r="F2" s="126" t="s">
        <v>1682</v>
      </c>
      <c r="G2" s="126" t="b">
        <v>0</v>
      </c>
      <c r="H2" s="126" t="b">
        <v>0</v>
      </c>
      <c r="I2" s="126" t="b">
        <v>0</v>
      </c>
      <c r="J2" s="126" t="b">
        <v>0</v>
      </c>
      <c r="K2" s="126" t="b">
        <v>0</v>
      </c>
      <c r="L2" s="126" t="b">
        <v>0</v>
      </c>
    </row>
    <row r="3" spans="1:12" ht="15">
      <c r="A3" s="127" t="s">
        <v>1534</v>
      </c>
      <c r="B3" s="126" t="s">
        <v>1528</v>
      </c>
      <c r="C3" s="125">
        <v>14</v>
      </c>
      <c r="D3" s="129">
        <v>0.011779124248491828</v>
      </c>
      <c r="E3" s="129">
        <v>1.8171874757078732</v>
      </c>
      <c r="F3" s="125" t="s">
        <v>1682</v>
      </c>
      <c r="G3" s="125" t="b">
        <v>0</v>
      </c>
      <c r="H3" s="125" t="b">
        <v>0</v>
      </c>
      <c r="I3" s="125" t="b">
        <v>0</v>
      </c>
      <c r="J3" s="125" t="b">
        <v>0</v>
      </c>
      <c r="K3" s="125" t="b">
        <v>0</v>
      </c>
      <c r="L3" s="125" t="b">
        <v>0</v>
      </c>
    </row>
    <row r="4" spans="1:12" ht="15">
      <c r="A4" s="127" t="s">
        <v>1541</v>
      </c>
      <c r="B4" s="126" t="s">
        <v>1545</v>
      </c>
      <c r="C4" s="125">
        <v>6</v>
      </c>
      <c r="D4" s="129">
        <v>0.007212765431758817</v>
      </c>
      <c r="E4" s="129">
        <v>2.0602255243941676</v>
      </c>
      <c r="F4" s="125" t="s">
        <v>1682</v>
      </c>
      <c r="G4" s="125" t="b">
        <v>0</v>
      </c>
      <c r="H4" s="125" t="b">
        <v>0</v>
      </c>
      <c r="I4" s="125" t="b">
        <v>0</v>
      </c>
      <c r="J4" s="125" t="b">
        <v>0</v>
      </c>
      <c r="K4" s="125" t="b">
        <v>0</v>
      </c>
      <c r="L4" s="125" t="b">
        <v>0</v>
      </c>
    </row>
    <row r="5" spans="1:12" ht="15">
      <c r="A5" s="127" t="s">
        <v>1545</v>
      </c>
      <c r="B5" s="126" t="s">
        <v>1555</v>
      </c>
      <c r="C5" s="125">
        <v>6</v>
      </c>
      <c r="D5" s="129">
        <v>0.007212765431758817</v>
      </c>
      <c r="E5" s="129">
        <v>2.0602255243941676</v>
      </c>
      <c r="F5" s="125" t="s">
        <v>1682</v>
      </c>
      <c r="G5" s="125" t="b">
        <v>0</v>
      </c>
      <c r="H5" s="125" t="b">
        <v>0</v>
      </c>
      <c r="I5" s="125" t="b">
        <v>0</v>
      </c>
      <c r="J5" s="125" t="b">
        <v>0</v>
      </c>
      <c r="K5" s="125" t="b">
        <v>0</v>
      </c>
      <c r="L5" s="125" t="b">
        <v>0</v>
      </c>
    </row>
    <row r="6" spans="1:12" ht="15">
      <c r="A6" s="127" t="s">
        <v>1524</v>
      </c>
      <c r="B6" s="126" t="s">
        <v>1524</v>
      </c>
      <c r="C6" s="125">
        <v>6</v>
      </c>
      <c r="D6" s="129">
        <v>0.01001936104775683</v>
      </c>
      <c r="E6" s="129">
        <v>1.8329817428911053</v>
      </c>
      <c r="F6" s="125" t="s">
        <v>1682</v>
      </c>
      <c r="G6" s="125" t="b">
        <v>0</v>
      </c>
      <c r="H6" s="125" t="b">
        <v>0</v>
      </c>
      <c r="I6" s="125" t="b">
        <v>0</v>
      </c>
      <c r="J6" s="125" t="b">
        <v>0</v>
      </c>
      <c r="K6" s="125" t="b">
        <v>0</v>
      </c>
      <c r="L6" s="125" t="b">
        <v>0</v>
      </c>
    </row>
    <row r="7" spans="1:12" ht="15">
      <c r="A7" s="127" t="s">
        <v>1529</v>
      </c>
      <c r="B7" s="126" t="s">
        <v>1535</v>
      </c>
      <c r="C7" s="125">
        <v>5</v>
      </c>
      <c r="D7" s="129">
        <v>0.006398781222777567</v>
      </c>
      <c r="E7" s="129">
        <v>2.1851642610024675</v>
      </c>
      <c r="F7" s="125" t="s">
        <v>1682</v>
      </c>
      <c r="G7" s="125" t="b">
        <v>0</v>
      </c>
      <c r="H7" s="125" t="b">
        <v>0</v>
      </c>
      <c r="I7" s="125" t="b">
        <v>0</v>
      </c>
      <c r="J7" s="125" t="b">
        <v>0</v>
      </c>
      <c r="K7" s="125" t="b">
        <v>0</v>
      </c>
      <c r="L7" s="125" t="b">
        <v>0</v>
      </c>
    </row>
    <row r="8" spans="1:12" ht="15">
      <c r="A8" s="127" t="s">
        <v>1531</v>
      </c>
      <c r="B8" s="126" t="s">
        <v>1525</v>
      </c>
      <c r="C8" s="125">
        <v>4</v>
      </c>
      <c r="D8" s="129">
        <v>0.006679574031837888</v>
      </c>
      <c r="E8" s="129">
        <v>2.361255520058149</v>
      </c>
      <c r="F8" s="125" t="s">
        <v>1682</v>
      </c>
      <c r="G8" s="125" t="b">
        <v>0</v>
      </c>
      <c r="H8" s="125" t="b">
        <v>0</v>
      </c>
      <c r="I8" s="125" t="b">
        <v>0</v>
      </c>
      <c r="J8" s="125" t="b">
        <v>0</v>
      </c>
      <c r="K8" s="125" t="b">
        <v>0</v>
      </c>
      <c r="L8" s="125" t="b">
        <v>0</v>
      </c>
    </row>
    <row r="9" spans="1:12" ht="15">
      <c r="A9" s="127" t="s">
        <v>1565</v>
      </c>
      <c r="B9" s="126" t="s">
        <v>1541</v>
      </c>
      <c r="C9" s="125">
        <v>4</v>
      </c>
      <c r="D9" s="129">
        <v>0.005499064244920314</v>
      </c>
      <c r="E9" s="129">
        <v>2.0602255243941676</v>
      </c>
      <c r="F9" s="125" t="s">
        <v>1682</v>
      </c>
      <c r="G9" s="125" t="b">
        <v>0</v>
      </c>
      <c r="H9" s="125" t="b">
        <v>0</v>
      </c>
      <c r="I9" s="125" t="b">
        <v>0</v>
      </c>
      <c r="J9" s="125" t="b">
        <v>0</v>
      </c>
      <c r="K9" s="125" t="b">
        <v>0</v>
      </c>
      <c r="L9" s="125" t="b">
        <v>0</v>
      </c>
    </row>
    <row r="10" spans="1:12" ht="15">
      <c r="A10" s="127" t="s">
        <v>623</v>
      </c>
      <c r="B10" s="126" t="s">
        <v>1529</v>
      </c>
      <c r="C10" s="125">
        <v>3</v>
      </c>
      <c r="D10" s="129">
        <v>0.004491765056067588</v>
      </c>
      <c r="E10" s="129">
        <v>1.5831042696745052</v>
      </c>
      <c r="F10" s="125" t="s">
        <v>1682</v>
      </c>
      <c r="G10" s="125" t="b">
        <v>0</v>
      </c>
      <c r="H10" s="125" t="b">
        <v>0</v>
      </c>
      <c r="I10" s="125" t="b">
        <v>0</v>
      </c>
      <c r="J10" s="125" t="b">
        <v>0</v>
      </c>
      <c r="K10" s="125" t="b">
        <v>0</v>
      </c>
      <c r="L10" s="125" t="b">
        <v>0</v>
      </c>
    </row>
    <row r="11" spans="1:12" ht="15">
      <c r="A11" s="127" t="s">
        <v>530</v>
      </c>
      <c r="B11" s="126" t="s">
        <v>504</v>
      </c>
      <c r="C11" s="125">
        <v>3</v>
      </c>
      <c r="D11" s="129">
        <v>0.004491765056067588</v>
      </c>
      <c r="E11" s="129">
        <v>1.516157480043892</v>
      </c>
      <c r="F11" s="125" t="s">
        <v>1682</v>
      </c>
      <c r="G11" s="125" t="b">
        <v>0</v>
      </c>
      <c r="H11" s="125" t="b">
        <v>0</v>
      </c>
      <c r="I11" s="125" t="b">
        <v>0</v>
      </c>
      <c r="J11" s="125" t="b">
        <v>0</v>
      </c>
      <c r="K11" s="125" t="b">
        <v>0</v>
      </c>
      <c r="L11" s="125" t="b">
        <v>0</v>
      </c>
    </row>
    <row r="12" spans="1:12" ht="15">
      <c r="A12" s="127" t="s">
        <v>1546</v>
      </c>
      <c r="B12" s="126" t="s">
        <v>1550</v>
      </c>
      <c r="C12" s="125">
        <v>3</v>
      </c>
      <c r="D12" s="129">
        <v>0.004491765056067588</v>
      </c>
      <c r="E12" s="129">
        <v>2.361255520058149</v>
      </c>
      <c r="F12" s="125" t="s">
        <v>1682</v>
      </c>
      <c r="G12" s="125" t="b">
        <v>0</v>
      </c>
      <c r="H12" s="125" t="b">
        <v>0</v>
      </c>
      <c r="I12" s="125" t="b">
        <v>0</v>
      </c>
      <c r="J12" s="125" t="b">
        <v>0</v>
      </c>
      <c r="K12" s="125" t="b">
        <v>0</v>
      </c>
      <c r="L12" s="125" t="b">
        <v>0</v>
      </c>
    </row>
    <row r="13" spans="1:12" ht="15">
      <c r="A13" s="127" t="s">
        <v>1571</v>
      </c>
      <c r="B13" s="126" t="s">
        <v>1812</v>
      </c>
      <c r="C13" s="125">
        <v>2</v>
      </c>
      <c r="D13" s="129">
        <v>0.003339787015918944</v>
      </c>
      <c r="E13" s="129">
        <v>2.361255520058149</v>
      </c>
      <c r="F13" s="125" t="s">
        <v>1682</v>
      </c>
      <c r="G13" s="125" t="b">
        <v>0</v>
      </c>
      <c r="H13" s="125" t="b">
        <v>0</v>
      </c>
      <c r="I13" s="125" t="b">
        <v>0</v>
      </c>
      <c r="J13" s="125" t="b">
        <v>0</v>
      </c>
      <c r="K13" s="125" t="b">
        <v>0</v>
      </c>
      <c r="L13" s="125" t="b">
        <v>0</v>
      </c>
    </row>
    <row r="14" spans="1:12" ht="15">
      <c r="A14" s="127" t="s">
        <v>1562</v>
      </c>
      <c r="B14" s="126" t="s">
        <v>1685</v>
      </c>
      <c r="C14" s="125">
        <v>2</v>
      </c>
      <c r="D14" s="129">
        <v>0.003339787015918944</v>
      </c>
      <c r="E14" s="129">
        <v>2.4861942566664488</v>
      </c>
      <c r="F14" s="125" t="s">
        <v>1682</v>
      </c>
      <c r="G14" s="125" t="b">
        <v>0</v>
      </c>
      <c r="H14" s="125" t="b">
        <v>0</v>
      </c>
      <c r="I14" s="125" t="b">
        <v>0</v>
      </c>
      <c r="J14" s="125" t="b">
        <v>0</v>
      </c>
      <c r="K14" s="125" t="b">
        <v>0</v>
      </c>
      <c r="L14" s="125" t="b">
        <v>0</v>
      </c>
    </row>
    <row r="15" spans="1:12" ht="15">
      <c r="A15" s="127" t="s">
        <v>1814</v>
      </c>
      <c r="B15" s="126" t="s">
        <v>1716</v>
      </c>
      <c r="C15" s="125">
        <v>2</v>
      </c>
      <c r="D15" s="129">
        <v>0.003339787015918944</v>
      </c>
      <c r="E15" s="129">
        <v>2.66228551572213</v>
      </c>
      <c r="F15" s="125" t="s">
        <v>1682</v>
      </c>
      <c r="G15" s="125" t="b">
        <v>0</v>
      </c>
      <c r="H15" s="125" t="b">
        <v>0</v>
      </c>
      <c r="I15" s="125" t="b">
        <v>0</v>
      </c>
      <c r="J15" s="125" t="b">
        <v>0</v>
      </c>
      <c r="K15" s="125" t="b">
        <v>0</v>
      </c>
      <c r="L15" s="125" t="b">
        <v>0</v>
      </c>
    </row>
    <row r="16" spans="1:12" ht="15">
      <c r="A16" s="127" t="s">
        <v>1765</v>
      </c>
      <c r="B16" s="126" t="s">
        <v>1824</v>
      </c>
      <c r="C16" s="125">
        <v>2</v>
      </c>
      <c r="D16" s="129">
        <v>0.003339787015918944</v>
      </c>
      <c r="E16" s="129">
        <v>2.66228551572213</v>
      </c>
      <c r="F16" s="125" t="s">
        <v>1682</v>
      </c>
      <c r="G16" s="125" t="b">
        <v>0</v>
      </c>
      <c r="H16" s="125" t="b">
        <v>0</v>
      </c>
      <c r="I16" s="125" t="b">
        <v>0</v>
      </c>
      <c r="J16" s="125" t="b">
        <v>0</v>
      </c>
      <c r="K16" s="125" t="b">
        <v>0</v>
      </c>
      <c r="L16" s="125" t="b">
        <v>0</v>
      </c>
    </row>
    <row r="17" spans="1:12" ht="15">
      <c r="A17" s="127" t="s">
        <v>1738</v>
      </c>
      <c r="B17" s="126" t="s">
        <v>1753</v>
      </c>
      <c r="C17" s="125">
        <v>2</v>
      </c>
      <c r="D17" s="129">
        <v>0.003339787015918944</v>
      </c>
      <c r="E17" s="129">
        <v>2.66228551572213</v>
      </c>
      <c r="F17" s="125" t="s">
        <v>1682</v>
      </c>
      <c r="G17" s="125" t="b">
        <v>0</v>
      </c>
      <c r="H17" s="125" t="b">
        <v>0</v>
      </c>
      <c r="I17" s="125" t="b">
        <v>0</v>
      </c>
      <c r="J17" s="125" t="b">
        <v>0</v>
      </c>
      <c r="K17" s="125" t="b">
        <v>0</v>
      </c>
      <c r="L17" s="125" t="b">
        <v>0</v>
      </c>
    </row>
    <row r="18" spans="1:12" ht="15">
      <c r="A18" s="127" t="s">
        <v>1835</v>
      </c>
      <c r="B18" s="126" t="s">
        <v>1779</v>
      </c>
      <c r="C18" s="125">
        <v>2</v>
      </c>
      <c r="D18" s="129">
        <v>0.003339787015918944</v>
      </c>
      <c r="E18" s="129">
        <v>2.66228551572213</v>
      </c>
      <c r="F18" s="125" t="s">
        <v>1682</v>
      </c>
      <c r="G18" s="125" t="b">
        <v>0</v>
      </c>
      <c r="H18" s="125" t="b">
        <v>0</v>
      </c>
      <c r="I18" s="125" t="b">
        <v>0</v>
      </c>
      <c r="J18" s="125" t="b">
        <v>0</v>
      </c>
      <c r="K18" s="125" t="b">
        <v>0</v>
      </c>
      <c r="L18" s="125" t="b">
        <v>0</v>
      </c>
    </row>
    <row r="19" spans="1:12" ht="15">
      <c r="A19" s="127" t="s">
        <v>1695</v>
      </c>
      <c r="B19" s="126" t="s">
        <v>1725</v>
      </c>
      <c r="C19" s="125">
        <v>2</v>
      </c>
      <c r="D19" s="129">
        <v>0.003339787015918944</v>
      </c>
      <c r="E19" s="129">
        <v>2.66228551572213</v>
      </c>
      <c r="F19" s="125" t="s">
        <v>1682</v>
      </c>
      <c r="G19" s="125" t="b">
        <v>0</v>
      </c>
      <c r="H19" s="125" t="b">
        <v>0</v>
      </c>
      <c r="I19" s="125" t="b">
        <v>0</v>
      </c>
      <c r="J19" s="125" t="b">
        <v>0</v>
      </c>
      <c r="K19" s="125" t="b">
        <v>0</v>
      </c>
      <c r="L19" s="125" t="b">
        <v>0</v>
      </c>
    </row>
    <row r="20" spans="1:12" ht="15">
      <c r="A20" s="127" t="s">
        <v>1713</v>
      </c>
      <c r="B20" s="126" t="s">
        <v>1712</v>
      </c>
      <c r="C20" s="125">
        <v>2</v>
      </c>
      <c r="D20" s="129">
        <v>0.003339787015918944</v>
      </c>
      <c r="E20" s="129">
        <v>2.66228551572213</v>
      </c>
      <c r="F20" s="125" t="s">
        <v>1682</v>
      </c>
      <c r="G20" s="125" t="b">
        <v>0</v>
      </c>
      <c r="H20" s="125" t="b">
        <v>0</v>
      </c>
      <c r="I20" s="125" t="b">
        <v>0</v>
      </c>
      <c r="J20" s="125" t="b">
        <v>0</v>
      </c>
      <c r="K20" s="125" t="b">
        <v>0</v>
      </c>
      <c r="L20" s="125" t="b">
        <v>0</v>
      </c>
    </row>
    <row r="21" spans="1:12" ht="15">
      <c r="A21" s="127" t="s">
        <v>1771</v>
      </c>
      <c r="B21" s="126" t="s">
        <v>1767</v>
      </c>
      <c r="C21" s="125">
        <v>2</v>
      </c>
      <c r="D21" s="129">
        <v>0.003339787015918944</v>
      </c>
      <c r="E21" s="129">
        <v>2.66228551572213</v>
      </c>
      <c r="F21" s="125" t="s">
        <v>1682</v>
      </c>
      <c r="G21" s="125" t="b">
        <v>0</v>
      </c>
      <c r="H21" s="125" t="b">
        <v>0</v>
      </c>
      <c r="I21" s="125" t="b">
        <v>0</v>
      </c>
      <c r="J21" s="125" t="b">
        <v>0</v>
      </c>
      <c r="K21" s="125" t="b">
        <v>0</v>
      </c>
      <c r="L21" s="125" t="b">
        <v>0</v>
      </c>
    </row>
    <row r="22" spans="1:12" ht="15">
      <c r="A22" s="127" t="s">
        <v>1754</v>
      </c>
      <c r="B22" s="126" t="s">
        <v>1860</v>
      </c>
      <c r="C22" s="125">
        <v>2</v>
      </c>
      <c r="D22" s="129">
        <v>0.003339787015918944</v>
      </c>
      <c r="E22" s="129">
        <v>2.66228551572213</v>
      </c>
      <c r="F22" s="125" t="s">
        <v>1682</v>
      </c>
      <c r="G22" s="125" t="b">
        <v>0</v>
      </c>
      <c r="H22" s="125" t="b">
        <v>0</v>
      </c>
      <c r="I22" s="125" t="b">
        <v>0</v>
      </c>
      <c r="J22" s="125" t="b">
        <v>0</v>
      </c>
      <c r="K22" s="125" t="b">
        <v>0</v>
      </c>
      <c r="L22" s="125" t="b">
        <v>0</v>
      </c>
    </row>
    <row r="23" spans="1:12" ht="15">
      <c r="A23" s="127" t="s">
        <v>1692</v>
      </c>
      <c r="B23" s="126" t="s">
        <v>1802</v>
      </c>
      <c r="C23" s="125">
        <v>2</v>
      </c>
      <c r="D23" s="129">
        <v>0.003339787015918944</v>
      </c>
      <c r="E23" s="129">
        <v>2.4861942566664488</v>
      </c>
      <c r="F23" s="125" t="s">
        <v>1682</v>
      </c>
      <c r="G23" s="125" t="b">
        <v>0</v>
      </c>
      <c r="H23" s="125" t="b">
        <v>0</v>
      </c>
      <c r="I23" s="125" t="b">
        <v>0</v>
      </c>
      <c r="J23" s="125" t="b">
        <v>0</v>
      </c>
      <c r="K23" s="125" t="b">
        <v>0</v>
      </c>
      <c r="L23" s="125" t="b">
        <v>0</v>
      </c>
    </row>
    <row r="24" spans="1:12" ht="15">
      <c r="A24" s="127" t="s">
        <v>1834</v>
      </c>
      <c r="B24" s="126" t="s">
        <v>1748</v>
      </c>
      <c r="C24" s="125">
        <v>2</v>
      </c>
      <c r="D24" s="129">
        <v>0.003339787015918944</v>
      </c>
      <c r="E24" s="129">
        <v>2.66228551572213</v>
      </c>
      <c r="F24" s="125" t="s">
        <v>1682</v>
      </c>
      <c r="G24" s="125" t="b">
        <v>0</v>
      </c>
      <c r="H24" s="125" t="b">
        <v>0</v>
      </c>
      <c r="I24" s="125" t="b">
        <v>0</v>
      </c>
      <c r="J24" s="125" t="b">
        <v>0</v>
      </c>
      <c r="K24" s="125" t="b">
        <v>0</v>
      </c>
      <c r="L24" s="125" t="b">
        <v>0</v>
      </c>
    </row>
    <row r="25" spans="1:12" ht="15">
      <c r="A25" s="127" t="s">
        <v>1741</v>
      </c>
      <c r="B25" s="126" t="s">
        <v>1745</v>
      </c>
      <c r="C25" s="125">
        <v>2</v>
      </c>
      <c r="D25" s="129">
        <v>0.003339787015918944</v>
      </c>
      <c r="E25" s="129">
        <v>2.66228551572213</v>
      </c>
      <c r="F25" s="125" t="s">
        <v>1682</v>
      </c>
      <c r="G25" s="125" t="b">
        <v>0</v>
      </c>
      <c r="H25" s="125" t="b">
        <v>0</v>
      </c>
      <c r="I25" s="125" t="b">
        <v>0</v>
      </c>
      <c r="J25" s="125" t="b">
        <v>0</v>
      </c>
      <c r="K25" s="125" t="b">
        <v>0</v>
      </c>
      <c r="L25" s="125" t="b">
        <v>0</v>
      </c>
    </row>
    <row r="26" spans="1:12" ht="15">
      <c r="A26" s="127" t="s">
        <v>1687</v>
      </c>
      <c r="B26" s="126" t="s">
        <v>1545</v>
      </c>
      <c r="C26" s="125">
        <v>2</v>
      </c>
      <c r="D26" s="129">
        <v>0.003339787015918944</v>
      </c>
      <c r="E26" s="129">
        <v>1.8841342653384865</v>
      </c>
      <c r="F26" s="125" t="s">
        <v>1682</v>
      </c>
      <c r="G26" s="125" t="b">
        <v>0</v>
      </c>
      <c r="H26" s="125" t="b">
        <v>0</v>
      </c>
      <c r="I26" s="125" t="b">
        <v>0</v>
      </c>
      <c r="J26" s="125" t="b">
        <v>0</v>
      </c>
      <c r="K26" s="125" t="b">
        <v>0</v>
      </c>
      <c r="L26" s="125" t="b">
        <v>0</v>
      </c>
    </row>
    <row r="27" spans="1:12" ht="15">
      <c r="A27" s="127" t="s">
        <v>1777</v>
      </c>
      <c r="B27" s="126" t="s">
        <v>1816</v>
      </c>
      <c r="C27" s="125">
        <v>2</v>
      </c>
      <c r="D27" s="129">
        <v>0.003339787015918944</v>
      </c>
      <c r="E27" s="129">
        <v>2.66228551572213</v>
      </c>
      <c r="F27" s="125" t="s">
        <v>1682</v>
      </c>
      <c r="G27" s="125" t="b">
        <v>0</v>
      </c>
      <c r="H27" s="125" t="b">
        <v>0</v>
      </c>
      <c r="I27" s="125" t="b">
        <v>0</v>
      </c>
      <c r="J27" s="125" t="b">
        <v>0</v>
      </c>
      <c r="K27" s="125" t="b">
        <v>0</v>
      </c>
      <c r="L27" s="125" t="b">
        <v>0</v>
      </c>
    </row>
    <row r="28" spans="1:12" ht="15">
      <c r="A28" s="127" t="s">
        <v>1827</v>
      </c>
      <c r="B28" s="126" t="s">
        <v>1697</v>
      </c>
      <c r="C28" s="125">
        <v>2</v>
      </c>
      <c r="D28" s="129">
        <v>0.003339787015918944</v>
      </c>
      <c r="E28" s="129">
        <v>2.66228551572213</v>
      </c>
      <c r="F28" s="125" t="s">
        <v>1682</v>
      </c>
      <c r="G28" s="125" t="b">
        <v>0</v>
      </c>
      <c r="H28" s="125" t="b">
        <v>0</v>
      </c>
      <c r="I28" s="125" t="b">
        <v>0</v>
      </c>
      <c r="J28" s="125" t="b">
        <v>0</v>
      </c>
      <c r="K28" s="125" t="b">
        <v>0</v>
      </c>
      <c r="L28" s="125" t="b">
        <v>0</v>
      </c>
    </row>
    <row r="29" spans="1:12" ht="15">
      <c r="A29" s="127" t="s">
        <v>1725</v>
      </c>
      <c r="B29" s="126" t="s">
        <v>1846</v>
      </c>
      <c r="C29" s="125">
        <v>2</v>
      </c>
      <c r="D29" s="129">
        <v>0.003339787015918944</v>
      </c>
      <c r="E29" s="129">
        <v>2.66228551572213</v>
      </c>
      <c r="F29" s="125" t="s">
        <v>1682</v>
      </c>
      <c r="G29" s="125" t="b">
        <v>0</v>
      </c>
      <c r="H29" s="125" t="b">
        <v>0</v>
      </c>
      <c r="I29" s="125" t="b">
        <v>0</v>
      </c>
      <c r="J29" s="125" t="b">
        <v>0</v>
      </c>
      <c r="K29" s="125" t="b">
        <v>0</v>
      </c>
      <c r="L29" s="125" t="b">
        <v>0</v>
      </c>
    </row>
    <row r="30" spans="1:12" ht="15">
      <c r="A30" s="127" t="s">
        <v>1555</v>
      </c>
      <c r="B30" s="126" t="s">
        <v>1780</v>
      </c>
      <c r="C30" s="125">
        <v>2</v>
      </c>
      <c r="D30" s="129">
        <v>0.003339787015918944</v>
      </c>
      <c r="E30" s="129">
        <v>2.1851642610024675</v>
      </c>
      <c r="F30" s="125" t="s">
        <v>1682</v>
      </c>
      <c r="G30" s="125" t="b">
        <v>0</v>
      </c>
      <c r="H30" s="125" t="b">
        <v>0</v>
      </c>
      <c r="I30" s="125" t="b">
        <v>0</v>
      </c>
      <c r="J30" s="125" t="b">
        <v>0</v>
      </c>
      <c r="K30" s="125" t="b">
        <v>0</v>
      </c>
      <c r="L30" s="125" t="b">
        <v>0</v>
      </c>
    </row>
    <row r="31" spans="1:12" ht="15">
      <c r="A31" s="127" t="s">
        <v>1732</v>
      </c>
      <c r="B31" s="126" t="s">
        <v>1795</v>
      </c>
      <c r="C31" s="125">
        <v>2</v>
      </c>
      <c r="D31" s="129">
        <v>0.003339787015918944</v>
      </c>
      <c r="E31" s="129">
        <v>2.66228551572213</v>
      </c>
      <c r="F31" s="125" t="s">
        <v>1682</v>
      </c>
      <c r="G31" s="125" t="b">
        <v>0</v>
      </c>
      <c r="H31" s="125" t="b">
        <v>0</v>
      </c>
      <c r="I31" s="125" t="b">
        <v>0</v>
      </c>
      <c r="J31" s="125" t="b">
        <v>0</v>
      </c>
      <c r="K31" s="125" t="b">
        <v>0</v>
      </c>
      <c r="L31" s="125" t="b">
        <v>0</v>
      </c>
    </row>
    <row r="32" spans="1:12" ht="15">
      <c r="A32" s="127" t="s">
        <v>1852</v>
      </c>
      <c r="B32" s="126" t="s">
        <v>1843</v>
      </c>
      <c r="C32" s="125">
        <v>2</v>
      </c>
      <c r="D32" s="129">
        <v>0.003339787015918944</v>
      </c>
      <c r="E32" s="129">
        <v>2.66228551572213</v>
      </c>
      <c r="F32" s="125" t="s">
        <v>1682</v>
      </c>
      <c r="G32" s="125" t="b">
        <v>0</v>
      </c>
      <c r="H32" s="125" t="b">
        <v>0</v>
      </c>
      <c r="I32" s="125" t="b">
        <v>0</v>
      </c>
      <c r="J32" s="125" t="b">
        <v>0</v>
      </c>
      <c r="K32" s="125" t="b">
        <v>0</v>
      </c>
      <c r="L32" s="125" t="b">
        <v>0</v>
      </c>
    </row>
    <row r="33" spans="1:12" ht="15">
      <c r="A33" s="127" t="s">
        <v>1744</v>
      </c>
      <c r="B33" s="126" t="s">
        <v>1781</v>
      </c>
      <c r="C33" s="125">
        <v>2</v>
      </c>
      <c r="D33" s="129">
        <v>0.003339787015918944</v>
      </c>
      <c r="E33" s="129">
        <v>2.66228551572213</v>
      </c>
      <c r="F33" s="125" t="s">
        <v>1682</v>
      </c>
      <c r="G33" s="125" t="b">
        <v>0</v>
      </c>
      <c r="H33" s="125" t="b">
        <v>0</v>
      </c>
      <c r="I33" s="125" t="b">
        <v>0</v>
      </c>
      <c r="J33" s="125" t="b">
        <v>0</v>
      </c>
      <c r="K33" s="125" t="b">
        <v>0</v>
      </c>
      <c r="L33" s="125" t="b">
        <v>0</v>
      </c>
    </row>
    <row r="34" spans="1:12" ht="15">
      <c r="A34" s="127" t="s">
        <v>1824</v>
      </c>
      <c r="B34" s="126" t="s">
        <v>1565</v>
      </c>
      <c r="C34" s="125">
        <v>2</v>
      </c>
      <c r="D34" s="129">
        <v>0.003339787015918944</v>
      </c>
      <c r="E34" s="129">
        <v>2.361255520058149</v>
      </c>
      <c r="F34" s="125" t="s">
        <v>1682</v>
      </c>
      <c r="G34" s="125" t="b">
        <v>0</v>
      </c>
      <c r="H34" s="125" t="b">
        <v>0</v>
      </c>
      <c r="I34" s="125" t="b">
        <v>0</v>
      </c>
      <c r="J34" s="125" t="b">
        <v>0</v>
      </c>
      <c r="K34" s="125" t="b">
        <v>0</v>
      </c>
      <c r="L34" s="125" t="b">
        <v>0</v>
      </c>
    </row>
    <row r="35" spans="1:12" ht="15">
      <c r="A35" s="127" t="s">
        <v>1729</v>
      </c>
      <c r="B35" s="126" t="s">
        <v>1724</v>
      </c>
      <c r="C35" s="125">
        <v>2</v>
      </c>
      <c r="D35" s="129">
        <v>0.003339787015918944</v>
      </c>
      <c r="E35" s="129">
        <v>2.66228551572213</v>
      </c>
      <c r="F35" s="125" t="s">
        <v>1682</v>
      </c>
      <c r="G35" s="125" t="b">
        <v>0</v>
      </c>
      <c r="H35" s="125" t="b">
        <v>0</v>
      </c>
      <c r="I35" s="125" t="b">
        <v>0</v>
      </c>
      <c r="J35" s="125" t="b">
        <v>0</v>
      </c>
      <c r="K35" s="125" t="b">
        <v>0</v>
      </c>
      <c r="L35" s="125" t="b">
        <v>0</v>
      </c>
    </row>
    <row r="36" spans="1:12" ht="15">
      <c r="A36" s="127" t="s">
        <v>1568</v>
      </c>
      <c r="B36" s="126" t="s">
        <v>1539</v>
      </c>
      <c r="C36" s="125">
        <v>2</v>
      </c>
      <c r="D36" s="129">
        <v>0.003339787015918944</v>
      </c>
      <c r="E36" s="129">
        <v>1.9633155113861114</v>
      </c>
      <c r="F36" s="125" t="s">
        <v>1682</v>
      </c>
      <c r="G36" s="125" t="b">
        <v>0</v>
      </c>
      <c r="H36" s="125" t="b">
        <v>0</v>
      </c>
      <c r="I36" s="125" t="b">
        <v>0</v>
      </c>
      <c r="J36" s="125" t="b">
        <v>0</v>
      </c>
      <c r="K36" s="125" t="b">
        <v>0</v>
      </c>
      <c r="L36" s="125" t="b">
        <v>0</v>
      </c>
    </row>
    <row r="37" spans="1:12" ht="15">
      <c r="A37" s="127" t="s">
        <v>1829</v>
      </c>
      <c r="B37" s="126" t="s">
        <v>1823</v>
      </c>
      <c r="C37" s="125">
        <v>2</v>
      </c>
      <c r="D37" s="129">
        <v>0.003339787015918944</v>
      </c>
      <c r="E37" s="129">
        <v>2.66228551572213</v>
      </c>
      <c r="F37" s="125" t="s">
        <v>1682</v>
      </c>
      <c r="G37" s="125" t="b">
        <v>0</v>
      </c>
      <c r="H37" s="125" t="b">
        <v>0</v>
      </c>
      <c r="I37" s="125" t="b">
        <v>0</v>
      </c>
      <c r="J37" s="125" t="b">
        <v>0</v>
      </c>
      <c r="K37" s="125" t="b">
        <v>0</v>
      </c>
      <c r="L37" s="125" t="b">
        <v>0</v>
      </c>
    </row>
    <row r="38" spans="1:12" ht="15">
      <c r="A38" s="127" t="s">
        <v>1700</v>
      </c>
      <c r="B38" s="126" t="s">
        <v>1775</v>
      </c>
      <c r="C38" s="125">
        <v>2</v>
      </c>
      <c r="D38" s="129">
        <v>0.003339787015918944</v>
      </c>
      <c r="E38" s="129">
        <v>2.66228551572213</v>
      </c>
      <c r="F38" s="125" t="s">
        <v>1682</v>
      </c>
      <c r="G38" s="125" t="b">
        <v>0</v>
      </c>
      <c r="H38" s="125" t="b">
        <v>0</v>
      </c>
      <c r="I38" s="125" t="b">
        <v>0</v>
      </c>
      <c r="J38" s="125" t="b">
        <v>0</v>
      </c>
      <c r="K38" s="125" t="b">
        <v>0</v>
      </c>
      <c r="L38" s="125" t="b">
        <v>0</v>
      </c>
    </row>
    <row r="39" spans="1:12" ht="15">
      <c r="A39" s="127" t="s">
        <v>1525</v>
      </c>
      <c r="B39" s="126" t="s">
        <v>274</v>
      </c>
      <c r="C39" s="125">
        <v>2</v>
      </c>
      <c r="D39" s="129">
        <v>0.003339787015918944</v>
      </c>
      <c r="E39" s="129">
        <v>2.66228551572213</v>
      </c>
      <c r="F39" s="125" t="s">
        <v>1682</v>
      </c>
      <c r="G39" s="125" t="b">
        <v>0</v>
      </c>
      <c r="H39" s="125" t="b">
        <v>0</v>
      </c>
      <c r="I39" s="125" t="b">
        <v>0</v>
      </c>
      <c r="J39" s="125" t="b">
        <v>0</v>
      </c>
      <c r="K39" s="125" t="b">
        <v>0</v>
      </c>
      <c r="L39" s="125" t="b">
        <v>0</v>
      </c>
    </row>
    <row r="40" spans="1:12" ht="15">
      <c r="A40" s="127" t="s">
        <v>1838</v>
      </c>
      <c r="B40" s="126" t="s">
        <v>1557</v>
      </c>
      <c r="C40" s="125">
        <v>2</v>
      </c>
      <c r="D40" s="129">
        <v>0.003339787015918944</v>
      </c>
      <c r="E40" s="129">
        <v>2.66228551572213</v>
      </c>
      <c r="F40" s="125" t="s">
        <v>1682</v>
      </c>
      <c r="G40" s="125" t="b">
        <v>0</v>
      </c>
      <c r="H40" s="125" t="b">
        <v>0</v>
      </c>
      <c r="I40" s="125" t="b">
        <v>0</v>
      </c>
      <c r="J40" s="125" t="b">
        <v>0</v>
      </c>
      <c r="K40" s="125" t="b">
        <v>0</v>
      </c>
      <c r="L40" s="125" t="b">
        <v>0</v>
      </c>
    </row>
    <row r="41" spans="1:12" ht="15">
      <c r="A41" s="127" t="s">
        <v>1843</v>
      </c>
      <c r="B41" s="126" t="s">
        <v>1861</v>
      </c>
      <c r="C41" s="125">
        <v>2</v>
      </c>
      <c r="D41" s="129">
        <v>0.003339787015918944</v>
      </c>
      <c r="E41" s="129">
        <v>2.66228551572213</v>
      </c>
      <c r="F41" s="125" t="s">
        <v>1682</v>
      </c>
      <c r="G41" s="125" t="b">
        <v>0</v>
      </c>
      <c r="H41" s="125" t="b">
        <v>0</v>
      </c>
      <c r="I41" s="125" t="b">
        <v>0</v>
      </c>
      <c r="J41" s="125" t="b">
        <v>0</v>
      </c>
      <c r="K41" s="125" t="b">
        <v>0</v>
      </c>
      <c r="L41" s="125" t="b">
        <v>0</v>
      </c>
    </row>
    <row r="42" spans="1:12" ht="15">
      <c r="A42" s="127" t="s">
        <v>1701</v>
      </c>
      <c r="B42" s="126" t="s">
        <v>1526</v>
      </c>
      <c r="C42" s="125">
        <v>2</v>
      </c>
      <c r="D42" s="129">
        <v>0.003339787015918944</v>
      </c>
      <c r="E42" s="129">
        <v>2.4861942566664488</v>
      </c>
      <c r="F42" s="125" t="s">
        <v>1682</v>
      </c>
      <c r="G42" s="125" t="b">
        <v>0</v>
      </c>
      <c r="H42" s="125" t="b">
        <v>0</v>
      </c>
      <c r="I42" s="125" t="b">
        <v>0</v>
      </c>
      <c r="J42" s="125" t="b">
        <v>0</v>
      </c>
      <c r="K42" s="125" t="b">
        <v>0</v>
      </c>
      <c r="L42" s="125" t="b">
        <v>0</v>
      </c>
    </row>
    <row r="43" spans="1:12" ht="15">
      <c r="A43" s="127" t="s">
        <v>1858</v>
      </c>
      <c r="B43" s="126" t="s">
        <v>1772</v>
      </c>
      <c r="C43" s="125">
        <v>2</v>
      </c>
      <c r="D43" s="129">
        <v>0.003339787015918944</v>
      </c>
      <c r="E43" s="129">
        <v>2.66228551572213</v>
      </c>
      <c r="F43" s="125" t="s">
        <v>1682</v>
      </c>
      <c r="G43" s="125" t="b">
        <v>0</v>
      </c>
      <c r="H43" s="125" t="b">
        <v>0</v>
      </c>
      <c r="I43" s="125" t="b">
        <v>0</v>
      </c>
      <c r="J43" s="125" t="b">
        <v>0</v>
      </c>
      <c r="K43" s="125" t="b">
        <v>0</v>
      </c>
      <c r="L43" s="125" t="b">
        <v>0</v>
      </c>
    </row>
    <row r="44" spans="1:12" ht="15">
      <c r="A44" s="127" t="s">
        <v>1560</v>
      </c>
      <c r="B44" s="126" t="s">
        <v>1807</v>
      </c>
      <c r="C44" s="125">
        <v>2</v>
      </c>
      <c r="D44" s="129">
        <v>0.003339787015918944</v>
      </c>
      <c r="E44" s="129">
        <v>2.361255520058149</v>
      </c>
      <c r="F44" s="125" t="s">
        <v>1682</v>
      </c>
      <c r="G44" s="125" t="b">
        <v>0</v>
      </c>
      <c r="H44" s="125" t="b">
        <v>0</v>
      </c>
      <c r="I44" s="125" t="b">
        <v>0</v>
      </c>
      <c r="J44" s="125" t="b">
        <v>0</v>
      </c>
      <c r="K44" s="125" t="b">
        <v>0</v>
      </c>
      <c r="L44" s="125" t="b">
        <v>0</v>
      </c>
    </row>
    <row r="45" spans="1:12" ht="15">
      <c r="A45" s="127" t="s">
        <v>1806</v>
      </c>
      <c r="B45" s="126" t="s">
        <v>1774</v>
      </c>
      <c r="C45" s="125">
        <v>2</v>
      </c>
      <c r="D45" s="129">
        <v>0.003339787015918944</v>
      </c>
      <c r="E45" s="129">
        <v>2.66228551572213</v>
      </c>
      <c r="F45" s="125" t="s">
        <v>1682</v>
      </c>
      <c r="G45" s="125" t="b">
        <v>0</v>
      </c>
      <c r="H45" s="125" t="b">
        <v>0</v>
      </c>
      <c r="I45" s="125" t="b">
        <v>0</v>
      </c>
      <c r="J45" s="125" t="b">
        <v>0</v>
      </c>
      <c r="K45" s="125" t="b">
        <v>0</v>
      </c>
      <c r="L45" s="125" t="b">
        <v>0</v>
      </c>
    </row>
    <row r="46" spans="1:12" ht="15">
      <c r="A46" s="127" t="s">
        <v>1846</v>
      </c>
      <c r="B46" s="126" t="s">
        <v>1741</v>
      </c>
      <c r="C46" s="125">
        <v>2</v>
      </c>
      <c r="D46" s="129">
        <v>0.003339787015918944</v>
      </c>
      <c r="E46" s="129">
        <v>2.66228551572213</v>
      </c>
      <c r="F46" s="125" t="s">
        <v>1682</v>
      </c>
      <c r="G46" s="125" t="b">
        <v>0</v>
      </c>
      <c r="H46" s="125" t="b">
        <v>0</v>
      </c>
      <c r="I46" s="125" t="b">
        <v>0</v>
      </c>
      <c r="J46" s="125" t="b">
        <v>0</v>
      </c>
      <c r="K46" s="125" t="b">
        <v>0</v>
      </c>
      <c r="L46" s="125" t="b">
        <v>0</v>
      </c>
    </row>
    <row r="47" spans="1:12" ht="15">
      <c r="A47" s="127" t="s">
        <v>1575</v>
      </c>
      <c r="B47" s="126" t="s">
        <v>1711</v>
      </c>
      <c r="C47" s="125">
        <v>2</v>
      </c>
      <c r="D47" s="129">
        <v>0.003339787015918944</v>
      </c>
      <c r="E47" s="129">
        <v>2.66228551572213</v>
      </c>
      <c r="F47" s="125" t="s">
        <v>1682</v>
      </c>
      <c r="G47" s="125" t="b">
        <v>0</v>
      </c>
      <c r="H47" s="125" t="b">
        <v>0</v>
      </c>
      <c r="I47" s="125" t="b">
        <v>0</v>
      </c>
      <c r="J47" s="125" t="b">
        <v>0</v>
      </c>
      <c r="K47" s="125" t="b">
        <v>0</v>
      </c>
      <c r="L47" s="125" t="b">
        <v>0</v>
      </c>
    </row>
    <row r="48" spans="1:12" ht="15">
      <c r="A48" s="127" t="s">
        <v>1720</v>
      </c>
      <c r="B48" s="126" t="s">
        <v>1853</v>
      </c>
      <c r="C48" s="125">
        <v>2</v>
      </c>
      <c r="D48" s="129">
        <v>0.003339787015918944</v>
      </c>
      <c r="E48" s="129">
        <v>2.66228551572213</v>
      </c>
      <c r="F48" s="125" t="s">
        <v>1682</v>
      </c>
      <c r="G48" s="125" t="b">
        <v>0</v>
      </c>
      <c r="H48" s="125" t="b">
        <v>0</v>
      </c>
      <c r="I48" s="125" t="b">
        <v>0</v>
      </c>
      <c r="J48" s="125" t="b">
        <v>0</v>
      </c>
      <c r="K48" s="125" t="b">
        <v>0</v>
      </c>
      <c r="L48" s="125" t="b">
        <v>0</v>
      </c>
    </row>
    <row r="49" spans="1:12" ht="15">
      <c r="A49" s="127" t="s">
        <v>1746</v>
      </c>
      <c r="B49" s="126" t="s">
        <v>1562</v>
      </c>
      <c r="C49" s="125">
        <v>2</v>
      </c>
      <c r="D49" s="129">
        <v>0.003339787015918944</v>
      </c>
      <c r="E49" s="129">
        <v>2.66228551572213</v>
      </c>
      <c r="F49" s="125" t="s">
        <v>1682</v>
      </c>
      <c r="G49" s="125" t="b">
        <v>0</v>
      </c>
      <c r="H49" s="125" t="b">
        <v>0</v>
      </c>
      <c r="I49" s="125" t="b">
        <v>0</v>
      </c>
      <c r="J49" s="125" t="b">
        <v>0</v>
      </c>
      <c r="K49" s="125" t="b">
        <v>0</v>
      </c>
      <c r="L49" s="125" t="b">
        <v>0</v>
      </c>
    </row>
    <row r="50" spans="1:12" ht="15">
      <c r="A50" s="127" t="s">
        <v>1786</v>
      </c>
      <c r="B50" s="126" t="s">
        <v>1737</v>
      </c>
      <c r="C50" s="125">
        <v>2</v>
      </c>
      <c r="D50" s="129">
        <v>0.003339787015918944</v>
      </c>
      <c r="E50" s="129">
        <v>2.66228551572213</v>
      </c>
      <c r="F50" s="125" t="s">
        <v>1682</v>
      </c>
      <c r="G50" s="125" t="b">
        <v>0</v>
      </c>
      <c r="H50" s="125" t="b">
        <v>0</v>
      </c>
      <c r="I50" s="125" t="b">
        <v>0</v>
      </c>
      <c r="J50" s="125" t="b">
        <v>0</v>
      </c>
      <c r="K50" s="125" t="b">
        <v>0</v>
      </c>
      <c r="L50" s="125" t="b">
        <v>0</v>
      </c>
    </row>
    <row r="51" spans="1:12" ht="15">
      <c r="A51" s="127" t="s">
        <v>1789</v>
      </c>
      <c r="B51" s="126" t="s">
        <v>1822</v>
      </c>
      <c r="C51" s="125">
        <v>2</v>
      </c>
      <c r="D51" s="129">
        <v>0.003339787015918944</v>
      </c>
      <c r="E51" s="129">
        <v>2.66228551572213</v>
      </c>
      <c r="F51" s="125" t="s">
        <v>1682</v>
      </c>
      <c r="G51" s="125" t="b">
        <v>0</v>
      </c>
      <c r="H51" s="125" t="b">
        <v>0</v>
      </c>
      <c r="I51" s="125" t="b">
        <v>0</v>
      </c>
      <c r="J51" s="125" t="b">
        <v>0</v>
      </c>
      <c r="K51" s="125" t="b">
        <v>0</v>
      </c>
      <c r="L51" s="125" t="b">
        <v>0</v>
      </c>
    </row>
    <row r="52" spans="1:12" ht="15">
      <c r="A52" s="127" t="s">
        <v>1830</v>
      </c>
      <c r="B52" s="126" t="s">
        <v>1817</v>
      </c>
      <c r="C52" s="125">
        <v>2</v>
      </c>
      <c r="D52" s="129">
        <v>0.003339787015918944</v>
      </c>
      <c r="E52" s="129">
        <v>2.66228551572213</v>
      </c>
      <c r="F52" s="125" t="s">
        <v>1682</v>
      </c>
      <c r="G52" s="125" t="b">
        <v>0</v>
      </c>
      <c r="H52" s="125" t="b">
        <v>0</v>
      </c>
      <c r="I52" s="125" t="b">
        <v>0</v>
      </c>
      <c r="J52" s="125" t="b">
        <v>0</v>
      </c>
      <c r="K52" s="125" t="b">
        <v>0</v>
      </c>
      <c r="L52" s="125" t="b">
        <v>0</v>
      </c>
    </row>
    <row r="53" spans="1:12" ht="15">
      <c r="A53" s="127" t="s">
        <v>1568</v>
      </c>
      <c r="B53" s="126" t="s">
        <v>1558</v>
      </c>
      <c r="C53" s="125">
        <v>2</v>
      </c>
      <c r="D53" s="129">
        <v>0.003339787015918944</v>
      </c>
      <c r="E53" s="129">
        <v>2.361255520058149</v>
      </c>
      <c r="F53" s="125" t="s">
        <v>1682</v>
      </c>
      <c r="G53" s="125" t="b">
        <v>0</v>
      </c>
      <c r="H53" s="125" t="b">
        <v>0</v>
      </c>
      <c r="I53" s="125" t="b">
        <v>0</v>
      </c>
      <c r="J53" s="125" t="b">
        <v>0</v>
      </c>
      <c r="K53" s="125" t="b">
        <v>0</v>
      </c>
      <c r="L53" s="125" t="b">
        <v>0</v>
      </c>
    </row>
    <row r="54" spans="1:12" ht="15">
      <c r="A54" s="127" t="s">
        <v>1823</v>
      </c>
      <c r="B54" s="126" t="s">
        <v>1698</v>
      </c>
      <c r="C54" s="125">
        <v>2</v>
      </c>
      <c r="D54" s="129">
        <v>0.003339787015918944</v>
      </c>
      <c r="E54" s="129">
        <v>2.66228551572213</v>
      </c>
      <c r="F54" s="125" t="s">
        <v>1682</v>
      </c>
      <c r="G54" s="125" t="b">
        <v>0</v>
      </c>
      <c r="H54" s="125" t="b">
        <v>0</v>
      </c>
      <c r="I54" s="125" t="b">
        <v>0</v>
      </c>
      <c r="J54" s="125" t="b">
        <v>0</v>
      </c>
      <c r="K54" s="125" t="b">
        <v>0</v>
      </c>
      <c r="L54" s="125" t="b">
        <v>0</v>
      </c>
    </row>
    <row r="55" spans="1:12" ht="15">
      <c r="A55" s="127" t="s">
        <v>1727</v>
      </c>
      <c r="B55" s="126" t="s">
        <v>1766</v>
      </c>
      <c r="C55" s="125">
        <v>2</v>
      </c>
      <c r="D55" s="129">
        <v>0.003339787015918944</v>
      </c>
      <c r="E55" s="129">
        <v>2.66228551572213</v>
      </c>
      <c r="F55" s="125" t="s">
        <v>1682</v>
      </c>
      <c r="G55" s="125" t="b">
        <v>0</v>
      </c>
      <c r="H55" s="125" t="b">
        <v>0</v>
      </c>
      <c r="I55" s="125" t="b">
        <v>0</v>
      </c>
      <c r="J55" s="125" t="b">
        <v>0</v>
      </c>
      <c r="K55" s="125" t="b">
        <v>0</v>
      </c>
      <c r="L55" s="125" t="b">
        <v>0</v>
      </c>
    </row>
    <row r="56" spans="1:12" ht="15">
      <c r="A56" s="127" t="s">
        <v>1747</v>
      </c>
      <c r="B56" s="126" t="s">
        <v>1710</v>
      </c>
      <c r="C56" s="125">
        <v>2</v>
      </c>
      <c r="D56" s="129">
        <v>0.003339787015918944</v>
      </c>
      <c r="E56" s="129">
        <v>2.66228551572213</v>
      </c>
      <c r="F56" s="125" t="s">
        <v>1682</v>
      </c>
      <c r="G56" s="125" t="b">
        <v>0</v>
      </c>
      <c r="H56" s="125" t="b">
        <v>0</v>
      </c>
      <c r="I56" s="125" t="b">
        <v>0</v>
      </c>
      <c r="J56" s="125" t="b">
        <v>0</v>
      </c>
      <c r="K56" s="125" t="b">
        <v>0</v>
      </c>
      <c r="L56" s="125" t="b">
        <v>0</v>
      </c>
    </row>
    <row r="57" spans="1:12" ht="15">
      <c r="A57" s="127" t="s">
        <v>1547</v>
      </c>
      <c r="B57" s="126" t="s">
        <v>1757</v>
      </c>
      <c r="C57" s="125">
        <v>2</v>
      </c>
      <c r="D57" s="129">
        <v>0.003339787015918944</v>
      </c>
      <c r="E57" s="129">
        <v>2.66228551572213</v>
      </c>
      <c r="F57" s="125" t="s">
        <v>1682</v>
      </c>
      <c r="G57" s="125" t="b">
        <v>0</v>
      </c>
      <c r="H57" s="125" t="b">
        <v>0</v>
      </c>
      <c r="I57" s="125" t="b">
        <v>0</v>
      </c>
      <c r="J57" s="125" t="b">
        <v>0</v>
      </c>
      <c r="K57" s="125" t="b">
        <v>0</v>
      </c>
      <c r="L57" s="125" t="b">
        <v>0</v>
      </c>
    </row>
    <row r="58" spans="1:12" ht="15">
      <c r="A58" s="127" t="s">
        <v>1742</v>
      </c>
      <c r="B58" s="126" t="s">
        <v>1834</v>
      </c>
      <c r="C58" s="125">
        <v>2</v>
      </c>
      <c r="D58" s="129">
        <v>0.003339787015918944</v>
      </c>
      <c r="E58" s="129">
        <v>2.66228551572213</v>
      </c>
      <c r="F58" s="125" t="s">
        <v>1682</v>
      </c>
      <c r="G58" s="125" t="b">
        <v>0</v>
      </c>
      <c r="H58" s="125" t="b">
        <v>0</v>
      </c>
      <c r="I58" s="125" t="b">
        <v>0</v>
      </c>
      <c r="J58" s="125" t="b">
        <v>0</v>
      </c>
      <c r="K58" s="125" t="b">
        <v>0</v>
      </c>
      <c r="L58" s="125" t="b">
        <v>0</v>
      </c>
    </row>
    <row r="59" spans="1:12" ht="15">
      <c r="A59" s="127" t="s">
        <v>1691</v>
      </c>
      <c r="B59" s="126" t="s">
        <v>1776</v>
      </c>
      <c r="C59" s="125">
        <v>2</v>
      </c>
      <c r="D59" s="129">
        <v>0.003339787015918944</v>
      </c>
      <c r="E59" s="129">
        <v>2.4861942566664488</v>
      </c>
      <c r="F59" s="125" t="s">
        <v>1682</v>
      </c>
      <c r="G59" s="125" t="b">
        <v>0</v>
      </c>
      <c r="H59" s="125" t="b">
        <v>0</v>
      </c>
      <c r="I59" s="125" t="b">
        <v>0</v>
      </c>
      <c r="J59" s="125" t="b">
        <v>0</v>
      </c>
      <c r="K59" s="125" t="b">
        <v>0</v>
      </c>
      <c r="L59" s="125" t="b">
        <v>0</v>
      </c>
    </row>
    <row r="60" spans="1:12" ht="15">
      <c r="A60" s="127" t="s">
        <v>1751</v>
      </c>
      <c r="B60" s="126" t="s">
        <v>1818</v>
      </c>
      <c r="C60" s="125">
        <v>2</v>
      </c>
      <c r="D60" s="129">
        <v>0.003339787015918944</v>
      </c>
      <c r="E60" s="129">
        <v>2.66228551572213</v>
      </c>
      <c r="F60" s="125" t="s">
        <v>1682</v>
      </c>
      <c r="G60" s="125" t="b">
        <v>0</v>
      </c>
      <c r="H60" s="125" t="b">
        <v>0</v>
      </c>
      <c r="I60" s="125" t="b">
        <v>0</v>
      </c>
      <c r="J60" s="125" t="b">
        <v>0</v>
      </c>
      <c r="K60" s="125" t="b">
        <v>0</v>
      </c>
      <c r="L60" s="125" t="b">
        <v>0</v>
      </c>
    </row>
    <row r="61" spans="1:12" ht="15">
      <c r="A61" s="127" t="s">
        <v>1760</v>
      </c>
      <c r="B61" s="126" t="s">
        <v>1755</v>
      </c>
      <c r="C61" s="125">
        <v>2</v>
      </c>
      <c r="D61" s="129">
        <v>0.003339787015918944</v>
      </c>
      <c r="E61" s="129">
        <v>2.66228551572213</v>
      </c>
      <c r="F61" s="125" t="s">
        <v>1682</v>
      </c>
      <c r="G61" s="125" t="b">
        <v>0</v>
      </c>
      <c r="H61" s="125" t="b">
        <v>0</v>
      </c>
      <c r="I61" s="125" t="b">
        <v>0</v>
      </c>
      <c r="J61" s="125" t="b">
        <v>0</v>
      </c>
      <c r="K61" s="125" t="b">
        <v>0</v>
      </c>
      <c r="L61" s="125" t="b">
        <v>0</v>
      </c>
    </row>
    <row r="62" spans="1:12" ht="15">
      <c r="A62" s="127" t="s">
        <v>1816</v>
      </c>
      <c r="B62" s="126" t="s">
        <v>1839</v>
      </c>
      <c r="C62" s="125">
        <v>2</v>
      </c>
      <c r="D62" s="129">
        <v>0.003339787015918944</v>
      </c>
      <c r="E62" s="129">
        <v>2.66228551572213</v>
      </c>
      <c r="F62" s="125" t="s">
        <v>1682</v>
      </c>
      <c r="G62" s="125" t="b">
        <v>0</v>
      </c>
      <c r="H62" s="125" t="b">
        <v>0</v>
      </c>
      <c r="I62" s="125" t="b">
        <v>0</v>
      </c>
      <c r="J62" s="125" t="b">
        <v>0</v>
      </c>
      <c r="K62" s="125" t="b">
        <v>0</v>
      </c>
      <c r="L62" s="125" t="b">
        <v>0</v>
      </c>
    </row>
    <row r="63" spans="1:12" ht="15">
      <c r="A63" s="127" t="s">
        <v>1560</v>
      </c>
      <c r="B63" s="126" t="s">
        <v>1784</v>
      </c>
      <c r="C63" s="125">
        <v>2</v>
      </c>
      <c r="D63" s="129">
        <v>0.003339787015918944</v>
      </c>
      <c r="E63" s="129">
        <v>2.361255520058149</v>
      </c>
      <c r="F63" s="125" t="s">
        <v>1682</v>
      </c>
      <c r="G63" s="125" t="b">
        <v>0</v>
      </c>
      <c r="H63" s="125" t="b">
        <v>0</v>
      </c>
      <c r="I63" s="125" t="b">
        <v>0</v>
      </c>
      <c r="J63" s="125" t="b">
        <v>0</v>
      </c>
      <c r="K63" s="125" t="b">
        <v>0</v>
      </c>
      <c r="L63" s="125" t="b">
        <v>0</v>
      </c>
    </row>
    <row r="64" spans="1:12" ht="15">
      <c r="A64" s="127" t="s">
        <v>1717</v>
      </c>
      <c r="B64" s="126" t="s">
        <v>1793</v>
      </c>
      <c r="C64" s="125">
        <v>2</v>
      </c>
      <c r="D64" s="129">
        <v>0.003339787015918944</v>
      </c>
      <c r="E64" s="129">
        <v>2.66228551572213</v>
      </c>
      <c r="F64" s="125" t="s">
        <v>1682</v>
      </c>
      <c r="G64" s="125" t="b">
        <v>0</v>
      </c>
      <c r="H64" s="125" t="b">
        <v>0</v>
      </c>
      <c r="I64" s="125" t="b">
        <v>0</v>
      </c>
      <c r="J64" s="125" t="b">
        <v>0</v>
      </c>
      <c r="K64" s="125" t="b">
        <v>0</v>
      </c>
      <c r="L64" s="125" t="b">
        <v>0</v>
      </c>
    </row>
    <row r="65" spans="1:12" ht="15">
      <c r="A65" s="127" t="s">
        <v>1536</v>
      </c>
      <c r="B65" s="126" t="s">
        <v>1746</v>
      </c>
      <c r="C65" s="125">
        <v>2</v>
      </c>
      <c r="D65" s="129">
        <v>0.003339787015918944</v>
      </c>
      <c r="E65" s="129">
        <v>2.4861942566664488</v>
      </c>
      <c r="F65" s="125" t="s">
        <v>1682</v>
      </c>
      <c r="G65" s="125" t="b">
        <v>0</v>
      </c>
      <c r="H65" s="125" t="b">
        <v>0</v>
      </c>
      <c r="I65" s="125" t="b">
        <v>0</v>
      </c>
      <c r="J65" s="125" t="b">
        <v>0</v>
      </c>
      <c r="K65" s="125" t="b">
        <v>0</v>
      </c>
      <c r="L65" s="125" t="b">
        <v>0</v>
      </c>
    </row>
    <row r="66" spans="1:12" ht="15">
      <c r="A66" s="127" t="s">
        <v>1698</v>
      </c>
      <c r="B66" s="126" t="s">
        <v>1809</v>
      </c>
      <c r="C66" s="125">
        <v>2</v>
      </c>
      <c r="D66" s="129">
        <v>0.003339787015918944</v>
      </c>
      <c r="E66" s="129">
        <v>2.66228551572213</v>
      </c>
      <c r="F66" s="125" t="s">
        <v>1682</v>
      </c>
      <c r="G66" s="125" t="b">
        <v>0</v>
      </c>
      <c r="H66" s="125" t="b">
        <v>0</v>
      </c>
      <c r="I66" s="125" t="b">
        <v>0</v>
      </c>
      <c r="J66" s="125" t="b">
        <v>0</v>
      </c>
      <c r="K66" s="125" t="b">
        <v>0</v>
      </c>
      <c r="L66" s="125" t="b">
        <v>0</v>
      </c>
    </row>
    <row r="67" spans="1:12" ht="15">
      <c r="A67" s="127" t="s">
        <v>1553</v>
      </c>
      <c r="B67" s="126" t="s">
        <v>1840</v>
      </c>
      <c r="C67" s="125">
        <v>2</v>
      </c>
      <c r="D67" s="129">
        <v>0.003339787015918944</v>
      </c>
      <c r="E67" s="129">
        <v>2.361255520058149</v>
      </c>
      <c r="F67" s="125" t="s">
        <v>1682</v>
      </c>
      <c r="G67" s="125" t="b">
        <v>0</v>
      </c>
      <c r="H67" s="125" t="b">
        <v>0</v>
      </c>
      <c r="I67" s="125" t="b">
        <v>0</v>
      </c>
      <c r="J67" s="125" t="b">
        <v>0</v>
      </c>
      <c r="K67" s="125" t="b">
        <v>0</v>
      </c>
      <c r="L67" s="125" t="b">
        <v>0</v>
      </c>
    </row>
    <row r="68" spans="1:12" ht="15">
      <c r="A68" s="127" t="s">
        <v>1850</v>
      </c>
      <c r="B68" s="126" t="s">
        <v>1770</v>
      </c>
      <c r="C68" s="125">
        <v>2</v>
      </c>
      <c r="D68" s="129">
        <v>0.003339787015918944</v>
      </c>
      <c r="E68" s="129">
        <v>2.66228551572213</v>
      </c>
      <c r="F68" s="125" t="s">
        <v>1682</v>
      </c>
      <c r="G68" s="125" t="b">
        <v>0</v>
      </c>
      <c r="H68" s="125" t="b">
        <v>0</v>
      </c>
      <c r="I68" s="125" t="b">
        <v>0</v>
      </c>
      <c r="J68" s="125" t="b">
        <v>0</v>
      </c>
      <c r="K68" s="125" t="b">
        <v>0</v>
      </c>
      <c r="L68" s="125" t="b">
        <v>0</v>
      </c>
    </row>
    <row r="69" spans="1:12" ht="15">
      <c r="A69" s="127" t="s">
        <v>1860</v>
      </c>
      <c r="B69" s="126" t="s">
        <v>1728</v>
      </c>
      <c r="C69" s="125">
        <v>2</v>
      </c>
      <c r="D69" s="129">
        <v>0.003339787015918944</v>
      </c>
      <c r="E69" s="129">
        <v>2.66228551572213</v>
      </c>
      <c r="F69" s="125" t="s">
        <v>1682</v>
      </c>
      <c r="G69" s="125" t="b">
        <v>0</v>
      </c>
      <c r="H69" s="125" t="b">
        <v>0</v>
      </c>
      <c r="I69" s="125" t="b">
        <v>0</v>
      </c>
      <c r="J69" s="125" t="b">
        <v>0</v>
      </c>
      <c r="K69" s="125" t="b">
        <v>0</v>
      </c>
      <c r="L69" s="125" t="b">
        <v>0</v>
      </c>
    </row>
    <row r="70" spans="1:12" ht="15">
      <c r="A70" s="127" t="s">
        <v>1757</v>
      </c>
      <c r="B70" s="126" t="s">
        <v>1690</v>
      </c>
      <c r="C70" s="125">
        <v>2</v>
      </c>
      <c r="D70" s="129">
        <v>0.003339787015918944</v>
      </c>
      <c r="E70" s="129">
        <v>2.4861942566664488</v>
      </c>
      <c r="F70" s="125" t="s">
        <v>1682</v>
      </c>
      <c r="G70" s="125" t="b">
        <v>0</v>
      </c>
      <c r="H70" s="125" t="b">
        <v>0</v>
      </c>
      <c r="I70" s="125" t="b">
        <v>0</v>
      </c>
      <c r="J70" s="125" t="b">
        <v>0</v>
      </c>
      <c r="K70" s="125" t="b">
        <v>0</v>
      </c>
      <c r="L70" s="125" t="b">
        <v>0</v>
      </c>
    </row>
    <row r="71" spans="1:12" ht="15">
      <c r="A71" s="127" t="s">
        <v>1724</v>
      </c>
      <c r="B71" s="126" t="s">
        <v>1791</v>
      </c>
      <c r="C71" s="125">
        <v>2</v>
      </c>
      <c r="D71" s="129">
        <v>0.003339787015918944</v>
      </c>
      <c r="E71" s="129">
        <v>2.66228551572213</v>
      </c>
      <c r="F71" s="125" t="s">
        <v>1682</v>
      </c>
      <c r="G71" s="125" t="b">
        <v>0</v>
      </c>
      <c r="H71" s="125" t="b">
        <v>0</v>
      </c>
      <c r="I71" s="125" t="b">
        <v>0</v>
      </c>
      <c r="J71" s="125" t="b">
        <v>0</v>
      </c>
      <c r="K71" s="125" t="b">
        <v>0</v>
      </c>
      <c r="L71" s="125" t="b">
        <v>0</v>
      </c>
    </row>
    <row r="72" spans="1:12" ht="15">
      <c r="A72" s="127" t="s">
        <v>1781</v>
      </c>
      <c r="B72" s="126" t="s">
        <v>1830</v>
      </c>
      <c r="C72" s="125">
        <v>2</v>
      </c>
      <c r="D72" s="129">
        <v>0.003339787015918944</v>
      </c>
      <c r="E72" s="129">
        <v>2.66228551572213</v>
      </c>
      <c r="F72" s="125" t="s">
        <v>1682</v>
      </c>
      <c r="G72" s="125" t="b">
        <v>0</v>
      </c>
      <c r="H72" s="125" t="b">
        <v>0</v>
      </c>
      <c r="I72" s="125" t="b">
        <v>0</v>
      </c>
      <c r="J72" s="125" t="b">
        <v>0</v>
      </c>
      <c r="K72" s="125" t="b">
        <v>0</v>
      </c>
      <c r="L72" s="125" t="b">
        <v>0</v>
      </c>
    </row>
    <row r="73" spans="1:12" ht="15">
      <c r="A73" s="127" t="s">
        <v>1809</v>
      </c>
      <c r="B73" s="126" t="s">
        <v>1856</v>
      </c>
      <c r="C73" s="125">
        <v>2</v>
      </c>
      <c r="D73" s="129">
        <v>0.003339787015918944</v>
      </c>
      <c r="E73" s="129">
        <v>2.66228551572213</v>
      </c>
      <c r="F73" s="125" t="s">
        <v>1682</v>
      </c>
      <c r="G73" s="125" t="b">
        <v>0</v>
      </c>
      <c r="H73" s="125" t="b">
        <v>0</v>
      </c>
      <c r="I73" s="125" t="b">
        <v>0</v>
      </c>
      <c r="J73" s="125" t="b">
        <v>0</v>
      </c>
      <c r="K73" s="125" t="b">
        <v>0</v>
      </c>
      <c r="L73" s="125" t="b">
        <v>0</v>
      </c>
    </row>
    <row r="74" spans="1:12" ht="15">
      <c r="A74" s="127" t="s">
        <v>1756</v>
      </c>
      <c r="B74" s="126" t="s">
        <v>1763</v>
      </c>
      <c r="C74" s="125">
        <v>2</v>
      </c>
      <c r="D74" s="129">
        <v>0.003339787015918944</v>
      </c>
      <c r="E74" s="129">
        <v>2.66228551572213</v>
      </c>
      <c r="F74" s="125" t="s">
        <v>1682</v>
      </c>
      <c r="G74" s="125" t="b">
        <v>0</v>
      </c>
      <c r="H74" s="125" t="b">
        <v>0</v>
      </c>
      <c r="I74" s="125" t="b">
        <v>0</v>
      </c>
      <c r="J74" s="125" t="b">
        <v>0</v>
      </c>
      <c r="K74" s="125" t="b">
        <v>0</v>
      </c>
      <c r="L74" s="125" t="b">
        <v>0</v>
      </c>
    </row>
    <row r="75" spans="1:12" ht="15">
      <c r="A75" s="127" t="s">
        <v>1718</v>
      </c>
      <c r="B75" s="126" t="s">
        <v>1575</v>
      </c>
      <c r="C75" s="125">
        <v>2</v>
      </c>
      <c r="D75" s="129">
        <v>0.003339787015918944</v>
      </c>
      <c r="E75" s="129">
        <v>2.66228551572213</v>
      </c>
      <c r="F75" s="125" t="s">
        <v>1682</v>
      </c>
      <c r="G75" s="125" t="b">
        <v>0</v>
      </c>
      <c r="H75" s="125" t="b">
        <v>0</v>
      </c>
      <c r="I75" s="125" t="b">
        <v>0</v>
      </c>
      <c r="J75" s="125" t="b">
        <v>0</v>
      </c>
      <c r="K75" s="125" t="b">
        <v>0</v>
      </c>
      <c r="L75" s="125" t="b">
        <v>0</v>
      </c>
    </row>
    <row r="76" spans="1:12" ht="15">
      <c r="A76" s="127" t="s">
        <v>1548</v>
      </c>
      <c r="B76" s="126" t="s">
        <v>1564</v>
      </c>
      <c r="C76" s="125">
        <v>2</v>
      </c>
      <c r="D76" s="129">
        <v>0.003339787015918944</v>
      </c>
      <c r="E76" s="129">
        <v>2.66228551572213</v>
      </c>
      <c r="F76" s="125" t="s">
        <v>1682</v>
      </c>
      <c r="G76" s="125" t="b">
        <v>0</v>
      </c>
      <c r="H76" s="125" t="b">
        <v>0</v>
      </c>
      <c r="I76" s="125" t="b">
        <v>0</v>
      </c>
      <c r="J76" s="125" t="b">
        <v>0</v>
      </c>
      <c r="K76" s="125" t="b">
        <v>0</v>
      </c>
      <c r="L76" s="125" t="b">
        <v>0</v>
      </c>
    </row>
    <row r="77" spans="1:12" ht="15">
      <c r="A77" s="127" t="s">
        <v>1815</v>
      </c>
      <c r="B77" s="126" t="s">
        <v>1858</v>
      </c>
      <c r="C77" s="125">
        <v>2</v>
      </c>
      <c r="D77" s="129">
        <v>0.003339787015918944</v>
      </c>
      <c r="E77" s="129">
        <v>2.66228551572213</v>
      </c>
      <c r="F77" s="125" t="s">
        <v>1682</v>
      </c>
      <c r="G77" s="125" t="b">
        <v>0</v>
      </c>
      <c r="H77" s="125" t="b">
        <v>0</v>
      </c>
      <c r="I77" s="125" t="b">
        <v>0</v>
      </c>
      <c r="J77" s="125" t="b">
        <v>0</v>
      </c>
      <c r="K77" s="125" t="b">
        <v>0</v>
      </c>
      <c r="L77" s="125" t="b">
        <v>0</v>
      </c>
    </row>
    <row r="78" spans="1:12" ht="15">
      <c r="A78" s="127" t="s">
        <v>1752</v>
      </c>
      <c r="B78" s="126" t="s">
        <v>1789</v>
      </c>
      <c r="C78" s="125">
        <v>2</v>
      </c>
      <c r="D78" s="129">
        <v>0.003339787015918944</v>
      </c>
      <c r="E78" s="129">
        <v>2.66228551572213</v>
      </c>
      <c r="F78" s="125" t="s">
        <v>1682</v>
      </c>
      <c r="G78" s="125" t="b">
        <v>0</v>
      </c>
      <c r="H78" s="125" t="b">
        <v>0</v>
      </c>
      <c r="I78" s="125" t="b">
        <v>0</v>
      </c>
      <c r="J78" s="125" t="b">
        <v>0</v>
      </c>
      <c r="K78" s="125" t="b">
        <v>0</v>
      </c>
      <c r="L78" s="125" t="b">
        <v>0</v>
      </c>
    </row>
    <row r="79" spans="1:12" ht="15">
      <c r="A79" s="127" t="s">
        <v>1841</v>
      </c>
      <c r="B79" s="126" t="s">
        <v>1743</v>
      </c>
      <c r="C79" s="125">
        <v>2</v>
      </c>
      <c r="D79" s="129">
        <v>0.003339787015918944</v>
      </c>
      <c r="E79" s="129">
        <v>2.66228551572213</v>
      </c>
      <c r="F79" s="125" t="s">
        <v>1682</v>
      </c>
      <c r="G79" s="125" t="b">
        <v>0</v>
      </c>
      <c r="H79" s="125" t="b">
        <v>0</v>
      </c>
      <c r="I79" s="125" t="b">
        <v>0</v>
      </c>
      <c r="J79" s="125" t="b">
        <v>0</v>
      </c>
      <c r="K79" s="125" t="b">
        <v>0</v>
      </c>
      <c r="L79" s="125" t="b">
        <v>0</v>
      </c>
    </row>
    <row r="80" spans="1:12" ht="15">
      <c r="A80" s="127" t="s">
        <v>1551</v>
      </c>
      <c r="B80" s="126" t="s">
        <v>1524</v>
      </c>
      <c r="C80" s="125">
        <v>2</v>
      </c>
      <c r="D80" s="129">
        <v>0.003339787015918944</v>
      </c>
      <c r="E80" s="129">
        <v>2.0090730019467866</v>
      </c>
      <c r="F80" s="125" t="s">
        <v>1682</v>
      </c>
      <c r="G80" s="125" t="b">
        <v>0</v>
      </c>
      <c r="H80" s="125" t="b">
        <v>0</v>
      </c>
      <c r="I80" s="125" t="b">
        <v>0</v>
      </c>
      <c r="J80" s="125" t="b">
        <v>0</v>
      </c>
      <c r="K80" s="125" t="b">
        <v>0</v>
      </c>
      <c r="L80" s="125" t="b">
        <v>0</v>
      </c>
    </row>
    <row r="81" spans="1:12" ht="15">
      <c r="A81" s="127" t="s">
        <v>1549</v>
      </c>
      <c r="B81" s="126" t="s">
        <v>1527</v>
      </c>
      <c r="C81" s="125">
        <v>2</v>
      </c>
      <c r="D81" s="129">
        <v>0.003339787015918944</v>
      </c>
      <c r="E81" s="129">
        <v>2.66228551572213</v>
      </c>
      <c r="F81" s="125" t="s">
        <v>1682</v>
      </c>
      <c r="G81" s="125" t="b">
        <v>0</v>
      </c>
      <c r="H81" s="125" t="b">
        <v>0</v>
      </c>
      <c r="I81" s="125" t="b">
        <v>0</v>
      </c>
      <c r="J81" s="125" t="b">
        <v>0</v>
      </c>
      <c r="K81" s="125" t="b">
        <v>0</v>
      </c>
      <c r="L81" s="125" t="b">
        <v>0</v>
      </c>
    </row>
    <row r="82" spans="1:12" ht="15">
      <c r="A82" s="127" t="s">
        <v>1773</v>
      </c>
      <c r="B82" s="126" t="s">
        <v>1699</v>
      </c>
      <c r="C82" s="125">
        <v>2</v>
      </c>
      <c r="D82" s="129">
        <v>0.003339787015918944</v>
      </c>
      <c r="E82" s="129">
        <v>2.66228551572213</v>
      </c>
      <c r="F82" s="125" t="s">
        <v>1682</v>
      </c>
      <c r="G82" s="125" t="b">
        <v>0</v>
      </c>
      <c r="H82" s="125" t="b">
        <v>0</v>
      </c>
      <c r="I82" s="125" t="b">
        <v>0</v>
      </c>
      <c r="J82" s="125" t="b">
        <v>0</v>
      </c>
      <c r="K82" s="125" t="b">
        <v>0</v>
      </c>
      <c r="L82" s="125" t="b">
        <v>0</v>
      </c>
    </row>
    <row r="83" spans="1:12" ht="15">
      <c r="A83" s="127" t="s">
        <v>1861</v>
      </c>
      <c r="B83" s="126" t="s">
        <v>1739</v>
      </c>
      <c r="C83" s="125">
        <v>2</v>
      </c>
      <c r="D83" s="129">
        <v>0.003339787015918944</v>
      </c>
      <c r="E83" s="129">
        <v>2.66228551572213</v>
      </c>
      <c r="F83" s="125" t="s">
        <v>1682</v>
      </c>
      <c r="G83" s="125" t="b">
        <v>0</v>
      </c>
      <c r="H83" s="125" t="b">
        <v>0</v>
      </c>
      <c r="I83" s="125" t="b">
        <v>0</v>
      </c>
      <c r="J83" s="125" t="b">
        <v>0</v>
      </c>
      <c r="K83" s="125" t="b">
        <v>0</v>
      </c>
      <c r="L83" s="125" t="b">
        <v>0</v>
      </c>
    </row>
    <row r="84" spans="1:12" ht="15">
      <c r="A84" s="127" t="s">
        <v>1731</v>
      </c>
      <c r="B84" s="126" t="s">
        <v>1714</v>
      </c>
      <c r="C84" s="125">
        <v>2</v>
      </c>
      <c r="D84" s="129">
        <v>0.003339787015918944</v>
      </c>
      <c r="E84" s="129">
        <v>2.66228551572213</v>
      </c>
      <c r="F84" s="125" t="s">
        <v>1682</v>
      </c>
      <c r="G84" s="125" t="b">
        <v>0</v>
      </c>
      <c r="H84" s="125" t="b">
        <v>0</v>
      </c>
      <c r="I84" s="125" t="b">
        <v>0</v>
      </c>
      <c r="J84" s="125" t="b">
        <v>0</v>
      </c>
      <c r="K84" s="125" t="b">
        <v>0</v>
      </c>
      <c r="L84" s="125" t="b">
        <v>0</v>
      </c>
    </row>
    <row r="85" spans="1:12" ht="15">
      <c r="A85" s="127" t="s">
        <v>1748</v>
      </c>
      <c r="B85" s="126" t="s">
        <v>1797</v>
      </c>
      <c r="C85" s="125">
        <v>2</v>
      </c>
      <c r="D85" s="129">
        <v>0.003339787015918944</v>
      </c>
      <c r="E85" s="129">
        <v>2.66228551572213</v>
      </c>
      <c r="F85" s="125" t="s">
        <v>1682</v>
      </c>
      <c r="G85" s="125" t="b">
        <v>0</v>
      </c>
      <c r="H85" s="125" t="b">
        <v>0</v>
      </c>
      <c r="I85" s="125" t="b">
        <v>0</v>
      </c>
      <c r="J85" s="125" t="b">
        <v>0</v>
      </c>
      <c r="K85" s="125" t="b">
        <v>0</v>
      </c>
      <c r="L85" s="125" t="b">
        <v>0</v>
      </c>
    </row>
    <row r="86" spans="1:12" ht="15">
      <c r="A86" s="127" t="s">
        <v>1735</v>
      </c>
      <c r="B86" s="126" t="s">
        <v>1800</v>
      </c>
      <c r="C86" s="125">
        <v>2</v>
      </c>
      <c r="D86" s="129">
        <v>0.003339787015918944</v>
      </c>
      <c r="E86" s="129">
        <v>2.66228551572213</v>
      </c>
      <c r="F86" s="125" t="s">
        <v>1682</v>
      </c>
      <c r="G86" s="125" t="b">
        <v>0</v>
      </c>
      <c r="H86" s="125" t="b">
        <v>0</v>
      </c>
      <c r="I86" s="125" t="b">
        <v>0</v>
      </c>
      <c r="J86" s="125" t="b">
        <v>0</v>
      </c>
      <c r="K86" s="125" t="b">
        <v>0</v>
      </c>
      <c r="L86" s="125" t="b">
        <v>0</v>
      </c>
    </row>
    <row r="87" spans="1:12" ht="15">
      <c r="A87" s="127" t="s">
        <v>1507</v>
      </c>
      <c r="B87" s="126" t="s">
        <v>1549</v>
      </c>
      <c r="C87" s="125">
        <v>2</v>
      </c>
      <c r="D87" s="129">
        <v>0.003339787015918944</v>
      </c>
      <c r="E87" s="129">
        <v>2.4861942566664488</v>
      </c>
      <c r="F87" s="125" t="s">
        <v>1682</v>
      </c>
      <c r="G87" s="125" t="b">
        <v>0</v>
      </c>
      <c r="H87" s="125" t="b">
        <v>0</v>
      </c>
      <c r="I87" s="125" t="b">
        <v>0</v>
      </c>
      <c r="J87" s="125" t="b">
        <v>0</v>
      </c>
      <c r="K87" s="125" t="b">
        <v>0</v>
      </c>
      <c r="L87" s="125" t="b">
        <v>0</v>
      </c>
    </row>
    <row r="88" spans="1:12" ht="15">
      <c r="A88" s="127" t="s">
        <v>1574</v>
      </c>
      <c r="B88" s="126" t="s">
        <v>1859</v>
      </c>
      <c r="C88" s="125">
        <v>2</v>
      </c>
      <c r="D88" s="129">
        <v>0.003339787015918944</v>
      </c>
      <c r="E88" s="129">
        <v>2.66228551572213</v>
      </c>
      <c r="F88" s="125" t="s">
        <v>1682</v>
      </c>
      <c r="G88" s="125" t="b">
        <v>0</v>
      </c>
      <c r="H88" s="125" t="b">
        <v>0</v>
      </c>
      <c r="I88" s="125" t="b">
        <v>0</v>
      </c>
      <c r="J88" s="125" t="b">
        <v>0</v>
      </c>
      <c r="K88" s="125" t="b">
        <v>0</v>
      </c>
      <c r="L88" s="125" t="b">
        <v>0</v>
      </c>
    </row>
    <row r="89" spans="1:12" ht="15">
      <c r="A89" s="127" t="s">
        <v>1559</v>
      </c>
      <c r="B89" s="126" t="s">
        <v>1831</v>
      </c>
      <c r="C89" s="125">
        <v>2</v>
      </c>
      <c r="D89" s="129">
        <v>0.003339787015918944</v>
      </c>
      <c r="E89" s="129">
        <v>2.66228551572213</v>
      </c>
      <c r="F89" s="125" t="s">
        <v>1682</v>
      </c>
      <c r="G89" s="125" t="b">
        <v>0</v>
      </c>
      <c r="H89" s="125" t="b">
        <v>0</v>
      </c>
      <c r="I89" s="125" t="b">
        <v>0</v>
      </c>
      <c r="J89" s="125" t="b">
        <v>0</v>
      </c>
      <c r="K89" s="125" t="b">
        <v>0</v>
      </c>
      <c r="L89" s="125" t="b">
        <v>0</v>
      </c>
    </row>
    <row r="90" spans="1:12" ht="15">
      <c r="A90" s="127" t="s">
        <v>1782</v>
      </c>
      <c r="B90" s="126" t="s">
        <v>1709</v>
      </c>
      <c r="C90" s="125">
        <v>2</v>
      </c>
      <c r="D90" s="129">
        <v>0.003339787015918944</v>
      </c>
      <c r="E90" s="129">
        <v>2.66228551572213</v>
      </c>
      <c r="F90" s="125" t="s">
        <v>1682</v>
      </c>
      <c r="G90" s="125" t="b">
        <v>0</v>
      </c>
      <c r="H90" s="125" t="b">
        <v>0</v>
      </c>
      <c r="I90" s="125" t="b">
        <v>0</v>
      </c>
      <c r="J90" s="125" t="b">
        <v>0</v>
      </c>
      <c r="K90" s="125" t="b">
        <v>0</v>
      </c>
      <c r="L90" s="125" t="b">
        <v>0</v>
      </c>
    </row>
    <row r="91" spans="1:12" ht="15">
      <c r="A91" s="127" t="s">
        <v>1557</v>
      </c>
      <c r="B91" s="126" t="s">
        <v>1769</v>
      </c>
      <c r="C91" s="125">
        <v>2</v>
      </c>
      <c r="D91" s="129">
        <v>0.003339787015918944</v>
      </c>
      <c r="E91" s="129">
        <v>2.66228551572213</v>
      </c>
      <c r="F91" s="125" t="s">
        <v>1682</v>
      </c>
      <c r="G91" s="125" t="b">
        <v>0</v>
      </c>
      <c r="H91" s="125" t="b">
        <v>0</v>
      </c>
      <c r="I91" s="125" t="b">
        <v>0</v>
      </c>
      <c r="J91" s="125" t="b">
        <v>0</v>
      </c>
      <c r="K91" s="125" t="b">
        <v>0</v>
      </c>
      <c r="L91" s="125" t="b">
        <v>0</v>
      </c>
    </row>
    <row r="92" spans="1:12" ht="15">
      <c r="A92" s="127" t="s">
        <v>1740</v>
      </c>
      <c r="B92" s="126" t="s">
        <v>1849</v>
      </c>
      <c r="C92" s="125">
        <v>2</v>
      </c>
      <c r="D92" s="129">
        <v>0.003339787015918944</v>
      </c>
      <c r="E92" s="129">
        <v>2.66228551572213</v>
      </c>
      <c r="F92" s="125" t="s">
        <v>1682</v>
      </c>
      <c r="G92" s="125" t="b">
        <v>0</v>
      </c>
      <c r="H92" s="125" t="b">
        <v>0</v>
      </c>
      <c r="I92" s="125" t="b">
        <v>0</v>
      </c>
      <c r="J92" s="125" t="b">
        <v>0</v>
      </c>
      <c r="K92" s="125" t="b">
        <v>0</v>
      </c>
      <c r="L92" s="125" t="b">
        <v>0</v>
      </c>
    </row>
    <row r="93" spans="1:12" ht="15">
      <c r="A93" s="127" t="s">
        <v>1527</v>
      </c>
      <c r="B93" s="126" t="s">
        <v>1570</v>
      </c>
      <c r="C93" s="125">
        <v>2</v>
      </c>
      <c r="D93" s="129">
        <v>0.003339787015918944</v>
      </c>
      <c r="E93" s="129">
        <v>2.66228551572213</v>
      </c>
      <c r="F93" s="125" t="s">
        <v>1682</v>
      </c>
      <c r="G93" s="125" t="b">
        <v>0</v>
      </c>
      <c r="H93" s="125" t="b">
        <v>0</v>
      </c>
      <c r="I93" s="125" t="b">
        <v>0</v>
      </c>
      <c r="J93" s="125" t="b">
        <v>0</v>
      </c>
      <c r="K93" s="125" t="b">
        <v>0</v>
      </c>
      <c r="L93" s="125" t="b">
        <v>0</v>
      </c>
    </row>
    <row r="94" spans="1:12" ht="15">
      <c r="A94" s="127" t="s">
        <v>1564</v>
      </c>
      <c r="B94" s="126" t="s">
        <v>1553</v>
      </c>
      <c r="C94" s="125">
        <v>2</v>
      </c>
      <c r="D94" s="129">
        <v>0.003339787015918944</v>
      </c>
      <c r="E94" s="129">
        <v>2.361255520058149</v>
      </c>
      <c r="F94" s="125" t="s">
        <v>1682</v>
      </c>
      <c r="G94" s="125" t="b">
        <v>0</v>
      </c>
      <c r="H94" s="125" t="b">
        <v>0</v>
      </c>
      <c r="I94" s="125" t="b">
        <v>0</v>
      </c>
      <c r="J94" s="125" t="b">
        <v>0</v>
      </c>
      <c r="K94" s="125" t="b">
        <v>0</v>
      </c>
      <c r="L94" s="125" t="b">
        <v>0</v>
      </c>
    </row>
    <row r="95" spans="1:12" ht="15">
      <c r="A95" s="127" t="s">
        <v>1719</v>
      </c>
      <c r="B95" s="126" t="s">
        <v>1759</v>
      </c>
      <c r="C95" s="125">
        <v>2</v>
      </c>
      <c r="D95" s="129">
        <v>0.003339787015918944</v>
      </c>
      <c r="E95" s="129">
        <v>2.66228551572213</v>
      </c>
      <c r="F95" s="125" t="s">
        <v>1682</v>
      </c>
      <c r="G95" s="125" t="b">
        <v>0</v>
      </c>
      <c r="H95" s="125" t="b">
        <v>0</v>
      </c>
      <c r="I95" s="125" t="b">
        <v>0</v>
      </c>
      <c r="J95" s="125" t="b">
        <v>0</v>
      </c>
      <c r="K95" s="125" t="b">
        <v>0</v>
      </c>
      <c r="L95" s="125" t="b">
        <v>0</v>
      </c>
    </row>
    <row r="96" spans="1:12" ht="15">
      <c r="A96" s="127" t="s">
        <v>1539</v>
      </c>
      <c r="B96" s="126" t="s">
        <v>1726</v>
      </c>
      <c r="C96" s="125">
        <v>2</v>
      </c>
      <c r="D96" s="129">
        <v>0.003339787015918944</v>
      </c>
      <c r="E96" s="129">
        <v>2.2643455070500926</v>
      </c>
      <c r="F96" s="125" t="s">
        <v>1682</v>
      </c>
      <c r="G96" s="125" t="b">
        <v>0</v>
      </c>
      <c r="H96" s="125" t="b">
        <v>0</v>
      </c>
      <c r="I96" s="125" t="b">
        <v>0</v>
      </c>
      <c r="J96" s="125" t="b">
        <v>0</v>
      </c>
      <c r="K96" s="125" t="b">
        <v>0</v>
      </c>
      <c r="L96" s="125" t="b">
        <v>0</v>
      </c>
    </row>
    <row r="97" spans="1:12" ht="15">
      <c r="A97" s="127" t="s">
        <v>1755</v>
      </c>
      <c r="B97" s="126" t="s">
        <v>1573</v>
      </c>
      <c r="C97" s="125">
        <v>2</v>
      </c>
      <c r="D97" s="129">
        <v>0.003339787015918944</v>
      </c>
      <c r="E97" s="129">
        <v>2.66228551572213</v>
      </c>
      <c r="F97" s="125" t="s">
        <v>1682</v>
      </c>
      <c r="G97" s="125" t="b">
        <v>0</v>
      </c>
      <c r="H97" s="125" t="b">
        <v>0</v>
      </c>
      <c r="I97" s="125" t="b">
        <v>0</v>
      </c>
      <c r="J97" s="125" t="b">
        <v>0</v>
      </c>
      <c r="K97" s="125" t="b">
        <v>0</v>
      </c>
      <c r="L97" s="125" t="b">
        <v>0</v>
      </c>
    </row>
    <row r="98" spans="1:12" ht="15">
      <c r="A98" s="127" t="s">
        <v>1544</v>
      </c>
      <c r="B98" s="126" t="s">
        <v>1556</v>
      </c>
      <c r="C98" s="125">
        <v>2</v>
      </c>
      <c r="D98" s="129">
        <v>0.003339787015918944</v>
      </c>
      <c r="E98" s="129">
        <v>2.2643455070500926</v>
      </c>
      <c r="F98" s="125" t="s">
        <v>1682</v>
      </c>
      <c r="G98" s="125" t="b">
        <v>0</v>
      </c>
      <c r="H98" s="125" t="b">
        <v>0</v>
      </c>
      <c r="I98" s="125" t="b">
        <v>0</v>
      </c>
      <c r="J98" s="125" t="b">
        <v>0</v>
      </c>
      <c r="K98" s="125" t="b">
        <v>0</v>
      </c>
      <c r="L98" s="125" t="b">
        <v>0</v>
      </c>
    </row>
    <row r="99" spans="1:12" ht="15">
      <c r="A99" s="127" t="s">
        <v>1784</v>
      </c>
      <c r="B99" s="126" t="s">
        <v>1761</v>
      </c>
      <c r="C99" s="125">
        <v>2</v>
      </c>
      <c r="D99" s="129">
        <v>0.003339787015918944</v>
      </c>
      <c r="E99" s="129">
        <v>2.66228551572213</v>
      </c>
      <c r="F99" s="125" t="s">
        <v>1682</v>
      </c>
      <c r="G99" s="125" t="b">
        <v>0</v>
      </c>
      <c r="H99" s="125" t="b">
        <v>0</v>
      </c>
      <c r="I99" s="125" t="b">
        <v>0</v>
      </c>
      <c r="J99" s="125" t="b">
        <v>0</v>
      </c>
      <c r="K99" s="125" t="b">
        <v>0</v>
      </c>
      <c r="L99" s="125" t="b">
        <v>0</v>
      </c>
    </row>
    <row r="100" spans="1:12" ht="15">
      <c r="A100" s="127" t="s">
        <v>1685</v>
      </c>
      <c r="B100" s="126" t="s">
        <v>1749</v>
      </c>
      <c r="C100" s="125">
        <v>2</v>
      </c>
      <c r="D100" s="129">
        <v>0.003339787015918944</v>
      </c>
      <c r="E100" s="129">
        <v>2.4861942566664488</v>
      </c>
      <c r="F100" s="125" t="s">
        <v>1682</v>
      </c>
      <c r="G100" s="125" t="b">
        <v>0</v>
      </c>
      <c r="H100" s="125" t="b">
        <v>0</v>
      </c>
      <c r="I100" s="125" t="b">
        <v>0</v>
      </c>
      <c r="J100" s="125" t="b">
        <v>0</v>
      </c>
      <c r="K100" s="125" t="b">
        <v>0</v>
      </c>
      <c r="L100" s="125" t="b">
        <v>0</v>
      </c>
    </row>
    <row r="101" spans="1:12" ht="15">
      <c r="A101" s="127" t="s">
        <v>1537</v>
      </c>
      <c r="B101" s="126" t="s">
        <v>1531</v>
      </c>
      <c r="C101" s="125">
        <v>2</v>
      </c>
      <c r="D101" s="129">
        <v>0.003339787015918944</v>
      </c>
      <c r="E101" s="129">
        <v>2.1851642610024675</v>
      </c>
      <c r="F101" s="125" t="s">
        <v>1682</v>
      </c>
      <c r="G101" s="125" t="b">
        <v>0</v>
      </c>
      <c r="H101" s="125" t="b">
        <v>0</v>
      </c>
      <c r="I101" s="125" t="b">
        <v>0</v>
      </c>
      <c r="J101" s="125" t="b">
        <v>0</v>
      </c>
      <c r="K101" s="125" t="b">
        <v>0</v>
      </c>
      <c r="L101" s="125" t="b">
        <v>0</v>
      </c>
    </row>
    <row r="102" spans="1:12" ht="15">
      <c r="A102" s="127" t="s">
        <v>1571</v>
      </c>
      <c r="B102" s="126" t="s">
        <v>1811</v>
      </c>
      <c r="C102" s="125">
        <v>2</v>
      </c>
      <c r="D102" s="129">
        <v>0.003339787015918944</v>
      </c>
      <c r="E102" s="129">
        <v>2.361255520058149</v>
      </c>
      <c r="F102" s="125" t="s">
        <v>1682</v>
      </c>
      <c r="G102" s="125" t="b">
        <v>0</v>
      </c>
      <c r="H102" s="125" t="b">
        <v>0</v>
      </c>
      <c r="I102" s="125" t="b">
        <v>0</v>
      </c>
      <c r="J102" s="125" t="b">
        <v>0</v>
      </c>
      <c r="K102" s="125" t="b">
        <v>0</v>
      </c>
      <c r="L102" s="125" t="b">
        <v>0</v>
      </c>
    </row>
    <row r="103" spans="1:12" ht="15">
      <c r="A103" s="127" t="s">
        <v>1769</v>
      </c>
      <c r="B103" s="126" t="s">
        <v>1567</v>
      </c>
      <c r="C103" s="125">
        <v>2</v>
      </c>
      <c r="D103" s="129">
        <v>0.003339787015918944</v>
      </c>
      <c r="E103" s="129">
        <v>2.66228551572213</v>
      </c>
      <c r="F103" s="125" t="s">
        <v>1682</v>
      </c>
      <c r="G103" s="125" t="b">
        <v>0</v>
      </c>
      <c r="H103" s="125" t="b">
        <v>0</v>
      </c>
      <c r="I103" s="125" t="b">
        <v>0</v>
      </c>
      <c r="J103" s="125" t="b">
        <v>0</v>
      </c>
      <c r="K103" s="125" t="b">
        <v>0</v>
      </c>
      <c r="L103" s="125" t="b">
        <v>0</v>
      </c>
    </row>
    <row r="104" spans="1:12" ht="15">
      <c r="A104" s="127" t="s">
        <v>1555</v>
      </c>
      <c r="B104" s="126" t="s">
        <v>1804</v>
      </c>
      <c r="C104" s="125">
        <v>2</v>
      </c>
      <c r="D104" s="129">
        <v>0.003339787015918944</v>
      </c>
      <c r="E104" s="129">
        <v>2.1851642610024675</v>
      </c>
      <c r="F104" s="125" t="s">
        <v>1682</v>
      </c>
      <c r="G104" s="125" t="b">
        <v>0</v>
      </c>
      <c r="H104" s="125" t="b">
        <v>0</v>
      </c>
      <c r="I104" s="125" t="b">
        <v>0</v>
      </c>
      <c r="J104" s="125" t="b">
        <v>0</v>
      </c>
      <c r="K104" s="125" t="b">
        <v>0</v>
      </c>
      <c r="L104" s="125" t="b">
        <v>0</v>
      </c>
    </row>
    <row r="105" spans="1:12" ht="15">
      <c r="A105" s="127" t="s">
        <v>1737</v>
      </c>
      <c r="B105" s="126" t="s">
        <v>1821</v>
      </c>
      <c r="C105" s="125">
        <v>2</v>
      </c>
      <c r="D105" s="129">
        <v>0.003339787015918944</v>
      </c>
      <c r="E105" s="129">
        <v>2.66228551572213</v>
      </c>
      <c r="F105" s="125" t="s">
        <v>1682</v>
      </c>
      <c r="G105" s="125" t="b">
        <v>0</v>
      </c>
      <c r="H105" s="125" t="b">
        <v>0</v>
      </c>
      <c r="I105" s="125" t="b">
        <v>0</v>
      </c>
      <c r="J105" s="125" t="b">
        <v>0</v>
      </c>
      <c r="K105" s="125" t="b">
        <v>0</v>
      </c>
      <c r="L105" s="125" t="b">
        <v>0</v>
      </c>
    </row>
    <row r="106" spans="1:12" ht="15">
      <c r="A106" s="127" t="s">
        <v>1556</v>
      </c>
      <c r="B106" s="126" t="s">
        <v>1507</v>
      </c>
      <c r="C106" s="125">
        <v>2</v>
      </c>
      <c r="D106" s="129">
        <v>0.003339787015918944</v>
      </c>
      <c r="E106" s="129">
        <v>2.0882542479944113</v>
      </c>
      <c r="F106" s="125" t="s">
        <v>1682</v>
      </c>
      <c r="G106" s="125" t="b">
        <v>0</v>
      </c>
      <c r="H106" s="125" t="b">
        <v>0</v>
      </c>
      <c r="I106" s="125" t="b">
        <v>0</v>
      </c>
      <c r="J106" s="125" t="b">
        <v>0</v>
      </c>
      <c r="K106" s="125" t="b">
        <v>0</v>
      </c>
      <c r="L106" s="125" t="b">
        <v>0</v>
      </c>
    </row>
    <row r="107" spans="1:12" ht="15">
      <c r="A107" s="127" t="s">
        <v>1728</v>
      </c>
      <c r="B107" s="126" t="s">
        <v>1829</v>
      </c>
      <c r="C107" s="125">
        <v>2</v>
      </c>
      <c r="D107" s="129">
        <v>0.003339787015918944</v>
      </c>
      <c r="E107" s="129">
        <v>2.66228551572213</v>
      </c>
      <c r="F107" s="125" t="s">
        <v>1682</v>
      </c>
      <c r="G107" s="125" t="b">
        <v>0</v>
      </c>
      <c r="H107" s="125" t="b">
        <v>0</v>
      </c>
      <c r="I107" s="125" t="b">
        <v>0</v>
      </c>
      <c r="J107" s="125" t="b">
        <v>0</v>
      </c>
      <c r="K107" s="125" t="b">
        <v>0</v>
      </c>
      <c r="L107" s="125" t="b">
        <v>0</v>
      </c>
    </row>
    <row r="108" spans="1:12" ht="15">
      <c r="A108" s="127" t="s">
        <v>1552</v>
      </c>
      <c r="B108" s="126" t="s">
        <v>1563</v>
      </c>
      <c r="C108" s="125">
        <v>2</v>
      </c>
      <c r="D108" s="129">
        <v>0.003339787015918944</v>
      </c>
      <c r="E108" s="129">
        <v>2.66228551572213</v>
      </c>
      <c r="F108" s="125" t="s">
        <v>1682</v>
      </c>
      <c r="G108" s="125" t="b">
        <v>0</v>
      </c>
      <c r="H108" s="125" t="b">
        <v>0</v>
      </c>
      <c r="I108" s="125" t="b">
        <v>0</v>
      </c>
      <c r="J108" s="125" t="b">
        <v>0</v>
      </c>
      <c r="K108" s="125" t="b">
        <v>0</v>
      </c>
      <c r="L108" s="125" t="b">
        <v>0</v>
      </c>
    </row>
    <row r="109" spans="1:12" ht="15">
      <c r="A109" s="127" t="s">
        <v>1845</v>
      </c>
      <c r="B109" s="126" t="s">
        <v>1537</v>
      </c>
      <c r="C109" s="125">
        <v>2</v>
      </c>
      <c r="D109" s="129">
        <v>0.003339787015918944</v>
      </c>
      <c r="E109" s="129">
        <v>2.361255520058149</v>
      </c>
      <c r="F109" s="125" t="s">
        <v>1682</v>
      </c>
      <c r="G109" s="125" t="b">
        <v>0</v>
      </c>
      <c r="H109" s="125" t="b">
        <v>0</v>
      </c>
      <c r="I109" s="125" t="b">
        <v>0</v>
      </c>
      <c r="J109" s="125" t="b">
        <v>0</v>
      </c>
      <c r="K109" s="125" t="b">
        <v>0</v>
      </c>
      <c r="L109" s="125" t="b">
        <v>0</v>
      </c>
    </row>
    <row r="110" spans="1:12" ht="15">
      <c r="A110" s="127" t="s">
        <v>1712</v>
      </c>
      <c r="B110" s="126" t="s">
        <v>1704</v>
      </c>
      <c r="C110" s="125">
        <v>2</v>
      </c>
      <c r="D110" s="129">
        <v>0.003339787015918944</v>
      </c>
      <c r="E110" s="129">
        <v>2.66228551572213</v>
      </c>
      <c r="F110" s="125" t="s">
        <v>1682</v>
      </c>
      <c r="G110" s="125" t="b">
        <v>0</v>
      </c>
      <c r="H110" s="125" t="b">
        <v>0</v>
      </c>
      <c r="I110" s="125" t="b">
        <v>0</v>
      </c>
      <c r="J110" s="125" t="b">
        <v>0</v>
      </c>
      <c r="K110" s="125" t="b">
        <v>0</v>
      </c>
      <c r="L110" s="125" t="b">
        <v>0</v>
      </c>
    </row>
    <row r="111" spans="1:12" ht="15">
      <c r="A111" s="127" t="s">
        <v>1788</v>
      </c>
      <c r="B111" s="126" t="s">
        <v>1760</v>
      </c>
      <c r="C111" s="125">
        <v>2</v>
      </c>
      <c r="D111" s="129">
        <v>0.003339787015918944</v>
      </c>
      <c r="E111" s="129">
        <v>2.66228551572213</v>
      </c>
      <c r="F111" s="125" t="s">
        <v>1682</v>
      </c>
      <c r="G111" s="125" t="b">
        <v>0</v>
      </c>
      <c r="H111" s="125" t="b">
        <v>0</v>
      </c>
      <c r="I111" s="125" t="b">
        <v>0</v>
      </c>
      <c r="J111" s="125" t="b">
        <v>0</v>
      </c>
      <c r="K111" s="125" t="b">
        <v>0</v>
      </c>
      <c r="L111" s="125" t="b">
        <v>0</v>
      </c>
    </row>
    <row r="112" spans="1:12" ht="15">
      <c r="A112" s="127" t="s">
        <v>1683</v>
      </c>
      <c r="B112" s="126" t="s">
        <v>1568</v>
      </c>
      <c r="C112" s="125">
        <v>2</v>
      </c>
      <c r="D112" s="129">
        <v>0.003339787015918944</v>
      </c>
      <c r="E112" s="129">
        <v>2.0602255243941676</v>
      </c>
      <c r="F112" s="125" t="s">
        <v>1682</v>
      </c>
      <c r="G112" s="125" t="b">
        <v>0</v>
      </c>
      <c r="H112" s="125" t="b">
        <v>0</v>
      </c>
      <c r="I112" s="125" t="b">
        <v>0</v>
      </c>
      <c r="J112" s="125" t="b">
        <v>0</v>
      </c>
      <c r="K112" s="125" t="b">
        <v>0</v>
      </c>
      <c r="L112" s="125" t="b">
        <v>0</v>
      </c>
    </row>
    <row r="113" spans="1:12" ht="15">
      <c r="A113" s="127" t="s">
        <v>1766</v>
      </c>
      <c r="B113" s="126" t="s">
        <v>1801</v>
      </c>
      <c r="C113" s="125">
        <v>2</v>
      </c>
      <c r="D113" s="129">
        <v>0.003339787015918944</v>
      </c>
      <c r="E113" s="129">
        <v>2.66228551572213</v>
      </c>
      <c r="F113" s="125" t="s">
        <v>1682</v>
      </c>
      <c r="G113" s="125" t="b">
        <v>0</v>
      </c>
      <c r="H113" s="125" t="b">
        <v>0</v>
      </c>
      <c r="I113" s="125" t="b">
        <v>0</v>
      </c>
      <c r="J113" s="125" t="b">
        <v>0</v>
      </c>
      <c r="K113" s="125" t="b">
        <v>0</v>
      </c>
      <c r="L113" s="125" t="b">
        <v>0</v>
      </c>
    </row>
    <row r="114" spans="1:12" ht="15">
      <c r="A114" s="127" t="s">
        <v>1710</v>
      </c>
      <c r="B114" s="126" t="s">
        <v>1551</v>
      </c>
      <c r="C114" s="125">
        <v>2</v>
      </c>
      <c r="D114" s="129">
        <v>0.003339787015918944</v>
      </c>
      <c r="E114" s="129">
        <v>2.66228551572213</v>
      </c>
      <c r="F114" s="125" t="s">
        <v>1682</v>
      </c>
      <c r="G114" s="125" t="b">
        <v>0</v>
      </c>
      <c r="H114" s="125" t="b">
        <v>0</v>
      </c>
      <c r="I114" s="125" t="b">
        <v>0</v>
      </c>
      <c r="J114" s="125" t="b">
        <v>0</v>
      </c>
      <c r="K114" s="125" t="b">
        <v>0</v>
      </c>
      <c r="L114" s="125" t="b">
        <v>0</v>
      </c>
    </row>
    <row r="115" spans="1:12" ht="15">
      <c r="A115" s="127" t="s">
        <v>1705</v>
      </c>
      <c r="B115" s="126" t="s">
        <v>1536</v>
      </c>
      <c r="C115" s="125">
        <v>2</v>
      </c>
      <c r="D115" s="129">
        <v>0.003339787015918944</v>
      </c>
      <c r="E115" s="129">
        <v>2.4861942566664488</v>
      </c>
      <c r="F115" s="125" t="s">
        <v>1682</v>
      </c>
      <c r="G115" s="125" t="b">
        <v>0</v>
      </c>
      <c r="H115" s="125" t="b">
        <v>0</v>
      </c>
      <c r="I115" s="125" t="b">
        <v>0</v>
      </c>
      <c r="J115" s="125" t="b">
        <v>0</v>
      </c>
      <c r="K115" s="125" t="b">
        <v>0</v>
      </c>
      <c r="L115" s="125" t="b">
        <v>0</v>
      </c>
    </row>
    <row r="116" spans="1:12" ht="15">
      <c r="A116" s="127" t="s">
        <v>1694</v>
      </c>
      <c r="B116" s="126" t="s">
        <v>1568</v>
      </c>
      <c r="C116" s="125">
        <v>2</v>
      </c>
      <c r="D116" s="129">
        <v>0.003339787015918944</v>
      </c>
      <c r="E116" s="129">
        <v>2.361255520058149</v>
      </c>
      <c r="F116" s="125" t="s">
        <v>1682</v>
      </c>
      <c r="G116" s="125" t="b">
        <v>0</v>
      </c>
      <c r="H116" s="125" t="b">
        <v>0</v>
      </c>
      <c r="I116" s="125" t="b">
        <v>0</v>
      </c>
      <c r="J116" s="125" t="b">
        <v>0</v>
      </c>
      <c r="K116" s="125" t="b">
        <v>0</v>
      </c>
      <c r="L116" s="125" t="b">
        <v>0</v>
      </c>
    </row>
    <row r="117" spans="1:12" ht="15">
      <c r="A117" s="127" t="s">
        <v>1696</v>
      </c>
      <c r="B117" s="126" t="s">
        <v>1773</v>
      </c>
      <c r="C117" s="125">
        <v>2</v>
      </c>
      <c r="D117" s="129">
        <v>0.003339787015918944</v>
      </c>
      <c r="E117" s="129">
        <v>2.66228551572213</v>
      </c>
      <c r="F117" s="125" t="s">
        <v>1682</v>
      </c>
      <c r="G117" s="125" t="b">
        <v>0</v>
      </c>
      <c r="H117" s="125" t="b">
        <v>0</v>
      </c>
      <c r="I117" s="125" t="b">
        <v>0</v>
      </c>
      <c r="J117" s="125" t="b">
        <v>0</v>
      </c>
      <c r="K117" s="125" t="b">
        <v>0</v>
      </c>
      <c r="L117" s="125" t="b">
        <v>0</v>
      </c>
    </row>
    <row r="118" spans="1:12" ht="15">
      <c r="A118" s="127" t="s">
        <v>1836</v>
      </c>
      <c r="B118" s="126" t="s">
        <v>1765</v>
      </c>
      <c r="C118" s="125">
        <v>2</v>
      </c>
      <c r="D118" s="129">
        <v>0.003339787015918944</v>
      </c>
      <c r="E118" s="129">
        <v>2.66228551572213</v>
      </c>
      <c r="F118" s="125" t="s">
        <v>1682</v>
      </c>
      <c r="G118" s="125" t="b">
        <v>0</v>
      </c>
      <c r="H118" s="125" t="b">
        <v>0</v>
      </c>
      <c r="I118" s="125" t="b">
        <v>0</v>
      </c>
      <c r="J118" s="125" t="b">
        <v>0</v>
      </c>
      <c r="K118" s="125" t="b">
        <v>0</v>
      </c>
      <c r="L118" s="125" t="b">
        <v>0</v>
      </c>
    </row>
    <row r="119" spans="1:12" ht="15">
      <c r="A119" s="127" t="s">
        <v>1839</v>
      </c>
      <c r="B119" s="126" t="s">
        <v>1806</v>
      </c>
      <c r="C119" s="125">
        <v>2</v>
      </c>
      <c r="D119" s="129">
        <v>0.003339787015918944</v>
      </c>
      <c r="E119" s="129">
        <v>2.66228551572213</v>
      </c>
      <c r="F119" s="125" t="s">
        <v>1682</v>
      </c>
      <c r="G119" s="125" t="b">
        <v>0</v>
      </c>
      <c r="H119" s="125" t="b">
        <v>0</v>
      </c>
      <c r="I119" s="125" t="b">
        <v>0</v>
      </c>
      <c r="J119" s="125" t="b">
        <v>0</v>
      </c>
      <c r="K119" s="125" t="b">
        <v>0</v>
      </c>
      <c r="L119" s="125" t="b">
        <v>0</v>
      </c>
    </row>
    <row r="120" spans="1:12" ht="15">
      <c r="A120" s="127" t="s">
        <v>1795</v>
      </c>
      <c r="B120" s="126" t="s">
        <v>1560</v>
      </c>
      <c r="C120" s="125">
        <v>2</v>
      </c>
      <c r="D120" s="129">
        <v>0.003339787015918944</v>
      </c>
      <c r="E120" s="129">
        <v>2.361255520058149</v>
      </c>
      <c r="F120" s="125" t="s">
        <v>1682</v>
      </c>
      <c r="G120" s="125" t="b">
        <v>0</v>
      </c>
      <c r="H120" s="125" t="b">
        <v>0</v>
      </c>
      <c r="I120" s="125" t="b">
        <v>0</v>
      </c>
      <c r="J120" s="125" t="b">
        <v>0</v>
      </c>
      <c r="K120" s="125" t="b">
        <v>0</v>
      </c>
      <c r="L120" s="125" t="b">
        <v>0</v>
      </c>
    </row>
    <row r="121" spans="1:12" ht="15">
      <c r="A121" s="127" t="s">
        <v>1851</v>
      </c>
      <c r="B121" s="126" t="s">
        <v>1744</v>
      </c>
      <c r="C121" s="125">
        <v>2</v>
      </c>
      <c r="D121" s="129">
        <v>0.003339787015918944</v>
      </c>
      <c r="E121" s="129">
        <v>2.66228551572213</v>
      </c>
      <c r="F121" s="125" t="s">
        <v>1682</v>
      </c>
      <c r="G121" s="125" t="b">
        <v>0</v>
      </c>
      <c r="H121" s="125" t="b">
        <v>0</v>
      </c>
      <c r="I121" s="125" t="b">
        <v>0</v>
      </c>
      <c r="J121" s="125" t="b">
        <v>0</v>
      </c>
      <c r="K121" s="125" t="b">
        <v>0</v>
      </c>
      <c r="L121" s="125" t="b">
        <v>0</v>
      </c>
    </row>
    <row r="122" spans="1:12" ht="15">
      <c r="A122" s="127" t="s">
        <v>1714</v>
      </c>
      <c r="B122" s="126" t="s">
        <v>1689</v>
      </c>
      <c r="C122" s="125">
        <v>2</v>
      </c>
      <c r="D122" s="129">
        <v>0.003339787015918944</v>
      </c>
      <c r="E122" s="129">
        <v>2.4861942566664488</v>
      </c>
      <c r="F122" s="125" t="s">
        <v>1682</v>
      </c>
      <c r="G122" s="125" t="b">
        <v>0</v>
      </c>
      <c r="H122" s="125" t="b">
        <v>0</v>
      </c>
      <c r="I122" s="125" t="b">
        <v>0</v>
      </c>
      <c r="J122" s="125" t="b">
        <v>0</v>
      </c>
      <c r="K122" s="125" t="b">
        <v>0</v>
      </c>
      <c r="L122" s="125" t="b">
        <v>0</v>
      </c>
    </row>
    <row r="123" spans="1:12" ht="15">
      <c r="A123" s="127" t="s">
        <v>1723</v>
      </c>
      <c r="B123" s="126" t="s">
        <v>1529</v>
      </c>
      <c r="C123" s="125">
        <v>2</v>
      </c>
      <c r="D123" s="129">
        <v>0.003339787015918944</v>
      </c>
      <c r="E123" s="129">
        <v>2.0602255243941676</v>
      </c>
      <c r="F123" s="125" t="s">
        <v>1682</v>
      </c>
      <c r="G123" s="125" t="b">
        <v>0</v>
      </c>
      <c r="H123" s="125" t="b">
        <v>0</v>
      </c>
      <c r="I123" s="125" t="b">
        <v>0</v>
      </c>
      <c r="J123" s="125" t="b">
        <v>0</v>
      </c>
      <c r="K123" s="125" t="b">
        <v>0</v>
      </c>
      <c r="L123" s="125" t="b">
        <v>0</v>
      </c>
    </row>
    <row r="124" spans="1:12" ht="15">
      <c r="A124" s="127" t="s">
        <v>1818</v>
      </c>
      <c r="B124" s="126" t="s">
        <v>1813</v>
      </c>
      <c r="C124" s="125">
        <v>2</v>
      </c>
      <c r="D124" s="129">
        <v>0.003339787015918944</v>
      </c>
      <c r="E124" s="129">
        <v>2.66228551572213</v>
      </c>
      <c r="F124" s="125" t="s">
        <v>1682</v>
      </c>
      <c r="G124" s="125" t="b">
        <v>0</v>
      </c>
      <c r="H124" s="125" t="b">
        <v>0</v>
      </c>
      <c r="I124" s="125" t="b">
        <v>0</v>
      </c>
      <c r="J124" s="125" t="b">
        <v>0</v>
      </c>
      <c r="K124" s="125" t="b">
        <v>0</v>
      </c>
      <c r="L124" s="125" t="b">
        <v>0</v>
      </c>
    </row>
    <row r="125" spans="1:12" ht="15">
      <c r="A125" s="127" t="s">
        <v>1819</v>
      </c>
      <c r="B125" s="126" t="s">
        <v>1764</v>
      </c>
      <c r="C125" s="125">
        <v>2</v>
      </c>
      <c r="D125" s="129">
        <v>0.003339787015918944</v>
      </c>
      <c r="E125" s="129">
        <v>2.66228551572213</v>
      </c>
      <c r="F125" s="125" t="s">
        <v>1682</v>
      </c>
      <c r="G125" s="125" t="b">
        <v>0</v>
      </c>
      <c r="H125" s="125" t="b">
        <v>0</v>
      </c>
      <c r="I125" s="125" t="b">
        <v>0</v>
      </c>
      <c r="J125" s="125" t="b">
        <v>0</v>
      </c>
      <c r="K125" s="125" t="b">
        <v>0</v>
      </c>
      <c r="L125" s="125" t="b">
        <v>0</v>
      </c>
    </row>
    <row r="126" spans="1:12" ht="15">
      <c r="A126" s="127" t="s">
        <v>1689</v>
      </c>
      <c r="B126" s="126" t="s">
        <v>1827</v>
      </c>
      <c r="C126" s="125">
        <v>2</v>
      </c>
      <c r="D126" s="129">
        <v>0.003339787015918944</v>
      </c>
      <c r="E126" s="129">
        <v>2.4861942566664488</v>
      </c>
      <c r="F126" s="125" t="s">
        <v>1682</v>
      </c>
      <c r="G126" s="125" t="b">
        <v>0</v>
      </c>
      <c r="H126" s="125" t="b">
        <v>0</v>
      </c>
      <c r="I126" s="125" t="b">
        <v>0</v>
      </c>
      <c r="J126" s="125" t="b">
        <v>0</v>
      </c>
      <c r="K126" s="125" t="b">
        <v>0</v>
      </c>
      <c r="L126" s="125" t="b">
        <v>0</v>
      </c>
    </row>
    <row r="127" spans="1:12" ht="15">
      <c r="A127" s="127" t="s">
        <v>1796</v>
      </c>
      <c r="B127" s="126" t="s">
        <v>1565</v>
      </c>
      <c r="C127" s="125">
        <v>2</v>
      </c>
      <c r="D127" s="129">
        <v>0.003339787015918944</v>
      </c>
      <c r="E127" s="129">
        <v>2.361255520058149</v>
      </c>
      <c r="F127" s="125" t="s">
        <v>1682</v>
      </c>
      <c r="G127" s="125" t="b">
        <v>0</v>
      </c>
      <c r="H127" s="125" t="b">
        <v>0</v>
      </c>
      <c r="I127" s="125" t="b">
        <v>0</v>
      </c>
      <c r="J127" s="125" t="b">
        <v>0</v>
      </c>
      <c r="K127" s="125" t="b">
        <v>0</v>
      </c>
      <c r="L127" s="125" t="b">
        <v>0</v>
      </c>
    </row>
    <row r="128" spans="1:12" ht="15">
      <c r="A128" s="127" t="s">
        <v>1828</v>
      </c>
      <c r="B128" s="126" t="s">
        <v>1700</v>
      </c>
      <c r="C128" s="125">
        <v>2</v>
      </c>
      <c r="D128" s="129">
        <v>0.003339787015918944</v>
      </c>
      <c r="E128" s="129">
        <v>2.66228551572213</v>
      </c>
      <c r="F128" s="125" t="s">
        <v>1682</v>
      </c>
      <c r="G128" s="125" t="b">
        <v>0</v>
      </c>
      <c r="H128" s="125" t="b">
        <v>0</v>
      </c>
      <c r="I128" s="125" t="b">
        <v>0</v>
      </c>
      <c r="J128" s="125" t="b">
        <v>0</v>
      </c>
      <c r="K128" s="125" t="b">
        <v>0</v>
      </c>
      <c r="L128" s="125" t="b">
        <v>0</v>
      </c>
    </row>
    <row r="129" spans="1:12" ht="15">
      <c r="A129" s="127" t="s">
        <v>1791</v>
      </c>
      <c r="B129" s="126" t="s">
        <v>1541</v>
      </c>
      <c r="C129" s="125">
        <v>2</v>
      </c>
      <c r="D129" s="129">
        <v>0.003339787015918944</v>
      </c>
      <c r="E129" s="129">
        <v>2.0602255243941676</v>
      </c>
      <c r="F129" s="125" t="s">
        <v>1682</v>
      </c>
      <c r="G129" s="125" t="b">
        <v>0</v>
      </c>
      <c r="H129" s="125" t="b">
        <v>0</v>
      </c>
      <c r="I129" s="125" t="b">
        <v>0</v>
      </c>
      <c r="J129" s="125" t="b">
        <v>0</v>
      </c>
      <c r="K129" s="125" t="b">
        <v>0</v>
      </c>
      <c r="L129" s="125" t="b">
        <v>0</v>
      </c>
    </row>
    <row r="130" spans="1:12" ht="15">
      <c r="A130" s="127" t="s">
        <v>1722</v>
      </c>
      <c r="B130" s="126" t="s">
        <v>1735</v>
      </c>
      <c r="C130" s="125">
        <v>2</v>
      </c>
      <c r="D130" s="129">
        <v>0.003339787015918944</v>
      </c>
      <c r="E130" s="129">
        <v>2.66228551572213</v>
      </c>
      <c r="F130" s="125" t="s">
        <v>1682</v>
      </c>
      <c r="G130" s="125" t="b">
        <v>0</v>
      </c>
      <c r="H130" s="125" t="b">
        <v>0</v>
      </c>
      <c r="I130" s="125" t="b">
        <v>0</v>
      </c>
      <c r="J130" s="125" t="b">
        <v>0</v>
      </c>
      <c r="K130" s="125" t="b">
        <v>0</v>
      </c>
      <c r="L130" s="125" t="b">
        <v>0</v>
      </c>
    </row>
    <row r="131" spans="1:12" ht="15">
      <c r="A131" s="127" t="s">
        <v>1697</v>
      </c>
      <c r="B131" s="126" t="s">
        <v>1569</v>
      </c>
      <c r="C131" s="125">
        <v>2</v>
      </c>
      <c r="D131" s="129">
        <v>0.003339787015918944</v>
      </c>
      <c r="E131" s="129">
        <v>2.66228551572213</v>
      </c>
      <c r="F131" s="125" t="s">
        <v>1682</v>
      </c>
      <c r="G131" s="125" t="b">
        <v>0</v>
      </c>
      <c r="H131" s="125" t="b">
        <v>0</v>
      </c>
      <c r="I131" s="125" t="b">
        <v>0</v>
      </c>
      <c r="J131" s="125" t="b">
        <v>0</v>
      </c>
      <c r="K131" s="125" t="b">
        <v>0</v>
      </c>
      <c r="L131" s="125" t="b">
        <v>0</v>
      </c>
    </row>
    <row r="132" spans="1:12" ht="15">
      <c r="A132" s="127" t="s">
        <v>1805</v>
      </c>
      <c r="B132" s="126" t="s">
        <v>1720</v>
      </c>
      <c r="C132" s="125">
        <v>2</v>
      </c>
      <c r="D132" s="129">
        <v>0.003339787015918944</v>
      </c>
      <c r="E132" s="129">
        <v>2.66228551572213</v>
      </c>
      <c r="F132" s="125" t="s">
        <v>1682</v>
      </c>
      <c r="G132" s="125" t="b">
        <v>0</v>
      </c>
      <c r="H132" s="125" t="b">
        <v>0</v>
      </c>
      <c r="I132" s="125" t="b">
        <v>0</v>
      </c>
      <c r="J132" s="125" t="b">
        <v>0</v>
      </c>
      <c r="K132" s="125" t="b">
        <v>0</v>
      </c>
      <c r="L132" s="125" t="b">
        <v>0</v>
      </c>
    </row>
    <row r="133" spans="1:12" ht="15">
      <c r="A133" s="127" t="s">
        <v>1797</v>
      </c>
      <c r="B133" s="126" t="s">
        <v>1736</v>
      </c>
      <c r="C133" s="125">
        <v>2</v>
      </c>
      <c r="D133" s="129">
        <v>0.003339787015918944</v>
      </c>
      <c r="E133" s="129">
        <v>2.66228551572213</v>
      </c>
      <c r="F133" s="125" t="s">
        <v>1682</v>
      </c>
      <c r="G133" s="125" t="b">
        <v>0</v>
      </c>
      <c r="H133" s="125" t="b">
        <v>0</v>
      </c>
      <c r="I133" s="125" t="b">
        <v>0</v>
      </c>
      <c r="J133" s="125" t="b">
        <v>0</v>
      </c>
      <c r="K133" s="125" t="b">
        <v>0</v>
      </c>
      <c r="L133" s="125" t="b">
        <v>0</v>
      </c>
    </row>
    <row r="134" spans="1:12" ht="15">
      <c r="A134" s="127" t="s">
        <v>1753</v>
      </c>
      <c r="B134" s="126" t="s">
        <v>1694</v>
      </c>
      <c r="C134" s="125">
        <v>2</v>
      </c>
      <c r="D134" s="129">
        <v>0.003339787015918944</v>
      </c>
      <c r="E134" s="129">
        <v>2.66228551572213</v>
      </c>
      <c r="F134" s="125" t="s">
        <v>1682</v>
      </c>
      <c r="G134" s="125" t="b">
        <v>0</v>
      </c>
      <c r="H134" s="125" t="b">
        <v>0</v>
      </c>
      <c r="I134" s="125" t="b">
        <v>0</v>
      </c>
      <c r="J134" s="125" t="b">
        <v>0</v>
      </c>
      <c r="K134" s="125" t="b">
        <v>0</v>
      </c>
      <c r="L134" s="125" t="b">
        <v>0</v>
      </c>
    </row>
    <row r="135" spans="1:12" ht="15">
      <c r="A135" s="127" t="s">
        <v>1761</v>
      </c>
      <c r="B135" s="126" t="s">
        <v>1702</v>
      </c>
      <c r="C135" s="125">
        <v>2</v>
      </c>
      <c r="D135" s="129">
        <v>0.003339787015918944</v>
      </c>
      <c r="E135" s="129">
        <v>2.66228551572213</v>
      </c>
      <c r="F135" s="125" t="s">
        <v>1682</v>
      </c>
      <c r="G135" s="125" t="b">
        <v>0</v>
      </c>
      <c r="H135" s="125" t="b">
        <v>0</v>
      </c>
      <c r="I135" s="125" t="b">
        <v>0</v>
      </c>
      <c r="J135" s="125" t="b">
        <v>0</v>
      </c>
      <c r="K135" s="125" t="b">
        <v>0</v>
      </c>
      <c r="L135" s="125" t="b">
        <v>0</v>
      </c>
    </row>
    <row r="136" spans="1:12" ht="15">
      <c r="A136" s="127" t="s">
        <v>183</v>
      </c>
      <c r="B136" s="126" t="s">
        <v>181</v>
      </c>
      <c r="C136" s="125">
        <v>2</v>
      </c>
      <c r="D136" s="129">
        <v>0.003339787015918944</v>
      </c>
      <c r="E136" s="129">
        <v>2.361255520058149</v>
      </c>
      <c r="F136" s="125" t="s">
        <v>1682</v>
      </c>
      <c r="G136" s="125" t="b">
        <v>0</v>
      </c>
      <c r="H136" s="125" t="b">
        <v>0</v>
      </c>
      <c r="I136" s="125" t="b">
        <v>0</v>
      </c>
      <c r="J136" s="125" t="b">
        <v>0</v>
      </c>
      <c r="K136" s="125" t="b">
        <v>0</v>
      </c>
      <c r="L136" s="125" t="b">
        <v>0</v>
      </c>
    </row>
    <row r="137" spans="1:12" ht="15">
      <c r="A137" s="127" t="s">
        <v>1859</v>
      </c>
      <c r="B137" s="126" t="s">
        <v>1750</v>
      </c>
      <c r="C137" s="125">
        <v>2</v>
      </c>
      <c r="D137" s="129">
        <v>0.003339787015918944</v>
      </c>
      <c r="E137" s="129">
        <v>2.66228551572213</v>
      </c>
      <c r="F137" s="125" t="s">
        <v>1682</v>
      </c>
      <c r="G137" s="125" t="b">
        <v>0</v>
      </c>
      <c r="H137" s="125" t="b">
        <v>0</v>
      </c>
      <c r="I137" s="125" t="b">
        <v>0</v>
      </c>
      <c r="J137" s="125" t="b">
        <v>0</v>
      </c>
      <c r="K137" s="125" t="b">
        <v>0</v>
      </c>
      <c r="L137" s="125" t="b">
        <v>0</v>
      </c>
    </row>
    <row r="138" spans="1:12" ht="15">
      <c r="A138" s="127" t="s">
        <v>1792</v>
      </c>
      <c r="B138" s="126" t="s">
        <v>1715</v>
      </c>
      <c r="C138" s="125">
        <v>2</v>
      </c>
      <c r="D138" s="129">
        <v>0.003339787015918944</v>
      </c>
      <c r="E138" s="129">
        <v>2.66228551572213</v>
      </c>
      <c r="F138" s="125" t="s">
        <v>1682</v>
      </c>
      <c r="G138" s="125" t="b">
        <v>0</v>
      </c>
      <c r="H138" s="125" t="b">
        <v>0</v>
      </c>
      <c r="I138" s="125" t="b">
        <v>0</v>
      </c>
      <c r="J138" s="125" t="b">
        <v>0</v>
      </c>
      <c r="K138" s="125" t="b">
        <v>0</v>
      </c>
      <c r="L138" s="125" t="b">
        <v>0</v>
      </c>
    </row>
    <row r="139" spans="1:12" ht="15">
      <c r="A139" s="127" t="s">
        <v>1739</v>
      </c>
      <c r="B139" s="126" t="s">
        <v>1835</v>
      </c>
      <c r="C139" s="125">
        <v>2</v>
      </c>
      <c r="D139" s="129">
        <v>0.003339787015918944</v>
      </c>
      <c r="E139" s="129">
        <v>2.66228551572213</v>
      </c>
      <c r="F139" s="125" t="s">
        <v>1682</v>
      </c>
      <c r="G139" s="125" t="b">
        <v>0</v>
      </c>
      <c r="H139" s="125" t="b">
        <v>0</v>
      </c>
      <c r="I139" s="125" t="b">
        <v>0</v>
      </c>
      <c r="J139" s="125" t="b">
        <v>0</v>
      </c>
      <c r="K139" s="125" t="b">
        <v>0</v>
      </c>
      <c r="L139" s="125" t="b">
        <v>0</v>
      </c>
    </row>
    <row r="140" spans="1:12" ht="15">
      <c r="A140" s="127" t="s">
        <v>183</v>
      </c>
      <c r="B140" s="126" t="s">
        <v>318</v>
      </c>
      <c r="C140" s="125">
        <v>2</v>
      </c>
      <c r="D140" s="129">
        <v>0.003339787015918944</v>
      </c>
      <c r="E140" s="129">
        <v>2.361255520058149</v>
      </c>
      <c r="F140" s="125" t="s">
        <v>1682</v>
      </c>
      <c r="G140" s="125" t="b">
        <v>0</v>
      </c>
      <c r="H140" s="125" t="b">
        <v>0</v>
      </c>
      <c r="I140" s="125" t="b">
        <v>0</v>
      </c>
      <c r="J140" s="125" t="b">
        <v>0</v>
      </c>
      <c r="K140" s="125" t="b">
        <v>0</v>
      </c>
      <c r="L140" s="125" t="b">
        <v>0</v>
      </c>
    </row>
    <row r="141" spans="1:12" ht="15">
      <c r="A141" s="127" t="s">
        <v>1817</v>
      </c>
      <c r="B141" s="126" t="s">
        <v>1798</v>
      </c>
      <c r="C141" s="125">
        <v>2</v>
      </c>
      <c r="D141" s="129">
        <v>0.003339787015918944</v>
      </c>
      <c r="E141" s="129">
        <v>2.66228551572213</v>
      </c>
      <c r="F141" s="125" t="s">
        <v>1682</v>
      </c>
      <c r="G141" s="125" t="b">
        <v>0</v>
      </c>
      <c r="H141" s="125" t="b">
        <v>0</v>
      </c>
      <c r="I141" s="125" t="b">
        <v>0</v>
      </c>
      <c r="J141" s="125" t="b">
        <v>0</v>
      </c>
      <c r="K141" s="125" t="b">
        <v>0</v>
      </c>
      <c r="L141" s="125" t="b">
        <v>0</v>
      </c>
    </row>
    <row r="142" spans="1:12" ht="15">
      <c r="A142" s="127" t="s">
        <v>1539</v>
      </c>
      <c r="B142" s="126" t="s">
        <v>1703</v>
      </c>
      <c r="C142" s="125">
        <v>2</v>
      </c>
      <c r="D142" s="129">
        <v>0.003339787015918944</v>
      </c>
      <c r="E142" s="129">
        <v>2.2643455070500926</v>
      </c>
      <c r="F142" s="125" t="s">
        <v>1682</v>
      </c>
      <c r="G142" s="125" t="b">
        <v>0</v>
      </c>
      <c r="H142" s="125" t="b">
        <v>0</v>
      </c>
      <c r="I142" s="125" t="b">
        <v>0</v>
      </c>
      <c r="J142" s="125" t="b">
        <v>0</v>
      </c>
      <c r="K142" s="125" t="b">
        <v>0</v>
      </c>
      <c r="L142" s="125" t="b">
        <v>0</v>
      </c>
    </row>
    <row r="143" spans="1:12" ht="15">
      <c r="A143" s="127" t="s">
        <v>1813</v>
      </c>
      <c r="B143" s="126" t="s">
        <v>1792</v>
      </c>
      <c r="C143" s="125">
        <v>2</v>
      </c>
      <c r="D143" s="129">
        <v>0.003339787015918944</v>
      </c>
      <c r="E143" s="129">
        <v>2.66228551572213</v>
      </c>
      <c r="F143" s="125" t="s">
        <v>1682</v>
      </c>
      <c r="G143" s="125" t="b">
        <v>0</v>
      </c>
      <c r="H143" s="125" t="b">
        <v>0</v>
      </c>
      <c r="I143" s="125" t="b">
        <v>0</v>
      </c>
      <c r="J143" s="125" t="b">
        <v>0</v>
      </c>
      <c r="K143" s="125" t="b">
        <v>0</v>
      </c>
      <c r="L143" s="125" t="b">
        <v>0</v>
      </c>
    </row>
    <row r="144" spans="1:12" ht="15">
      <c r="A144" s="127" t="s">
        <v>1800</v>
      </c>
      <c r="B144" s="126" t="s">
        <v>1758</v>
      </c>
      <c r="C144" s="125">
        <v>2</v>
      </c>
      <c r="D144" s="129">
        <v>0.003339787015918944</v>
      </c>
      <c r="E144" s="129">
        <v>2.66228551572213</v>
      </c>
      <c r="F144" s="125" t="s">
        <v>1682</v>
      </c>
      <c r="G144" s="125" t="b">
        <v>0</v>
      </c>
      <c r="H144" s="125" t="b">
        <v>0</v>
      </c>
      <c r="I144" s="125" t="b">
        <v>0</v>
      </c>
      <c r="J144" s="125" t="b">
        <v>0</v>
      </c>
      <c r="K144" s="125" t="b">
        <v>0</v>
      </c>
      <c r="L144" s="125" t="b">
        <v>0</v>
      </c>
    </row>
    <row r="145" spans="1:12" ht="15">
      <c r="A145" s="127" t="s">
        <v>1709</v>
      </c>
      <c r="B145" s="126" t="s">
        <v>1768</v>
      </c>
      <c r="C145" s="125">
        <v>2</v>
      </c>
      <c r="D145" s="129">
        <v>0.003339787015918944</v>
      </c>
      <c r="E145" s="129">
        <v>2.66228551572213</v>
      </c>
      <c r="F145" s="125" t="s">
        <v>1682</v>
      </c>
      <c r="G145" s="125" t="b">
        <v>0</v>
      </c>
      <c r="H145" s="125" t="b">
        <v>0</v>
      </c>
      <c r="I145" s="125" t="b">
        <v>0</v>
      </c>
      <c r="J145" s="125" t="b">
        <v>0</v>
      </c>
      <c r="K145" s="125" t="b">
        <v>0</v>
      </c>
      <c r="L145" s="125" t="b">
        <v>0</v>
      </c>
    </row>
    <row r="146" spans="1:12" ht="15">
      <c r="A146" s="127" t="s">
        <v>1774</v>
      </c>
      <c r="B146" s="126" t="s">
        <v>1782</v>
      </c>
      <c r="C146" s="125">
        <v>2</v>
      </c>
      <c r="D146" s="129">
        <v>0.003339787015918944</v>
      </c>
      <c r="E146" s="129">
        <v>2.66228551572213</v>
      </c>
      <c r="F146" s="125" t="s">
        <v>1682</v>
      </c>
      <c r="G146" s="125" t="b">
        <v>0</v>
      </c>
      <c r="H146" s="125" t="b">
        <v>0</v>
      </c>
      <c r="I146" s="125" t="b">
        <v>0</v>
      </c>
      <c r="J146" s="125" t="b">
        <v>0</v>
      </c>
      <c r="K146" s="125" t="b">
        <v>0</v>
      </c>
      <c r="L146" s="125" t="b">
        <v>0</v>
      </c>
    </row>
    <row r="147" spans="1:12" ht="15">
      <c r="A147" s="127" t="s">
        <v>530</v>
      </c>
      <c r="B147" s="126" t="s">
        <v>1571</v>
      </c>
      <c r="C147" s="125">
        <v>2</v>
      </c>
      <c r="D147" s="129">
        <v>0.003339787015918944</v>
      </c>
      <c r="E147" s="129">
        <v>2.1851642610024675</v>
      </c>
      <c r="F147" s="125" t="s">
        <v>1682</v>
      </c>
      <c r="G147" s="125" t="b">
        <v>0</v>
      </c>
      <c r="H147" s="125" t="b">
        <v>0</v>
      </c>
      <c r="I147" s="125" t="b">
        <v>0</v>
      </c>
      <c r="J147" s="125" t="b">
        <v>0</v>
      </c>
      <c r="K147" s="125" t="b">
        <v>0</v>
      </c>
      <c r="L147" s="125" t="b">
        <v>0</v>
      </c>
    </row>
    <row r="148" spans="1:12" ht="15">
      <c r="A148" s="127" t="s">
        <v>1810</v>
      </c>
      <c r="B148" s="126" t="s">
        <v>1786</v>
      </c>
      <c r="C148" s="125">
        <v>2</v>
      </c>
      <c r="D148" s="129">
        <v>0.003339787015918944</v>
      </c>
      <c r="E148" s="129">
        <v>2.66228551572213</v>
      </c>
      <c r="F148" s="125" t="s">
        <v>1682</v>
      </c>
      <c r="G148" s="125" t="b">
        <v>0</v>
      </c>
      <c r="H148" s="125" t="b">
        <v>0</v>
      </c>
      <c r="I148" s="125" t="b">
        <v>0</v>
      </c>
      <c r="J148" s="125" t="b">
        <v>0</v>
      </c>
      <c r="K148" s="125" t="b">
        <v>0</v>
      </c>
      <c r="L148" s="125" t="b">
        <v>0</v>
      </c>
    </row>
    <row r="149" spans="1:12" ht="15">
      <c r="A149" s="127" t="s">
        <v>1767</v>
      </c>
      <c r="B149" s="126" t="s">
        <v>1721</v>
      </c>
      <c r="C149" s="125">
        <v>2</v>
      </c>
      <c r="D149" s="129">
        <v>0.003339787015918944</v>
      </c>
      <c r="E149" s="129">
        <v>2.66228551572213</v>
      </c>
      <c r="F149" s="125" t="s">
        <v>1682</v>
      </c>
      <c r="G149" s="125" t="b">
        <v>0</v>
      </c>
      <c r="H149" s="125" t="b">
        <v>0</v>
      </c>
      <c r="I149" s="125" t="b">
        <v>0</v>
      </c>
      <c r="J149" s="125" t="b">
        <v>0</v>
      </c>
      <c r="K149" s="125" t="b">
        <v>0</v>
      </c>
      <c r="L149" s="125" t="b">
        <v>0</v>
      </c>
    </row>
    <row r="150" spans="1:12" ht="15">
      <c r="A150" s="127" t="s">
        <v>1570</v>
      </c>
      <c r="B150" s="126" t="s">
        <v>1855</v>
      </c>
      <c r="C150" s="125">
        <v>2</v>
      </c>
      <c r="D150" s="129">
        <v>0.003339787015918944</v>
      </c>
      <c r="E150" s="129">
        <v>2.66228551572213</v>
      </c>
      <c r="F150" s="125" t="s">
        <v>1682</v>
      </c>
      <c r="G150" s="125" t="b">
        <v>0</v>
      </c>
      <c r="H150" s="125" t="b">
        <v>0</v>
      </c>
      <c r="I150" s="125" t="b">
        <v>0</v>
      </c>
      <c r="J150" s="125" t="b">
        <v>0</v>
      </c>
      <c r="K150" s="125" t="b">
        <v>0</v>
      </c>
      <c r="L150" s="125" t="b">
        <v>0</v>
      </c>
    </row>
    <row r="151" spans="1:12" ht="15">
      <c r="A151" s="127" t="s">
        <v>1833</v>
      </c>
      <c r="B151" s="126" t="s">
        <v>1729</v>
      </c>
      <c r="C151" s="125">
        <v>2</v>
      </c>
      <c r="D151" s="129">
        <v>0.003339787015918944</v>
      </c>
      <c r="E151" s="129">
        <v>2.66228551572213</v>
      </c>
      <c r="F151" s="125" t="s">
        <v>1682</v>
      </c>
      <c r="G151" s="125" t="b">
        <v>0</v>
      </c>
      <c r="H151" s="125" t="b">
        <v>0</v>
      </c>
      <c r="I151" s="125" t="b">
        <v>0</v>
      </c>
      <c r="J151" s="125" t="b">
        <v>0</v>
      </c>
      <c r="K151" s="125" t="b">
        <v>0</v>
      </c>
      <c r="L151" s="125" t="b">
        <v>0</v>
      </c>
    </row>
    <row r="152" spans="1:12" ht="15">
      <c r="A152" s="127" t="s">
        <v>1772</v>
      </c>
      <c r="B152" s="126" t="s">
        <v>1548</v>
      </c>
      <c r="C152" s="125">
        <v>2</v>
      </c>
      <c r="D152" s="129">
        <v>0.003339787015918944</v>
      </c>
      <c r="E152" s="129">
        <v>2.66228551572213</v>
      </c>
      <c r="F152" s="125" t="s">
        <v>1682</v>
      </c>
      <c r="G152" s="125" t="b">
        <v>0</v>
      </c>
      <c r="H152" s="125" t="b">
        <v>0</v>
      </c>
      <c r="I152" s="125" t="b">
        <v>0</v>
      </c>
      <c r="J152" s="125" t="b">
        <v>0</v>
      </c>
      <c r="K152" s="125" t="b">
        <v>0</v>
      </c>
      <c r="L152" s="125" t="b">
        <v>0</v>
      </c>
    </row>
    <row r="153" spans="1:12" ht="15">
      <c r="A153" s="127" t="s">
        <v>1554</v>
      </c>
      <c r="B153" s="126" t="s">
        <v>1576</v>
      </c>
      <c r="C153" s="125">
        <v>2</v>
      </c>
      <c r="D153" s="129">
        <v>0.003339787015918944</v>
      </c>
      <c r="E153" s="129">
        <v>2.66228551572213</v>
      </c>
      <c r="F153" s="125" t="s">
        <v>1682</v>
      </c>
      <c r="G153" s="125" t="b">
        <v>0</v>
      </c>
      <c r="H153" s="125" t="b">
        <v>0</v>
      </c>
      <c r="I153" s="125" t="b">
        <v>0</v>
      </c>
      <c r="J153" s="125" t="b">
        <v>0</v>
      </c>
      <c r="K153" s="125" t="b">
        <v>0</v>
      </c>
      <c r="L153" s="125" t="b">
        <v>0</v>
      </c>
    </row>
    <row r="154" spans="1:12" ht="15">
      <c r="A154" s="127" t="s">
        <v>1826</v>
      </c>
      <c r="B154" s="126" t="s">
        <v>1852</v>
      </c>
      <c r="C154" s="125">
        <v>2</v>
      </c>
      <c r="D154" s="129">
        <v>0.003339787015918944</v>
      </c>
      <c r="E154" s="129">
        <v>2.66228551572213</v>
      </c>
      <c r="F154" s="125" t="s">
        <v>1682</v>
      </c>
      <c r="G154" s="125" t="b">
        <v>0</v>
      </c>
      <c r="H154" s="125" t="b">
        <v>0</v>
      </c>
      <c r="I154" s="125" t="b">
        <v>0</v>
      </c>
      <c r="J154" s="125" t="b">
        <v>0</v>
      </c>
      <c r="K154" s="125" t="b">
        <v>0</v>
      </c>
      <c r="L154" s="125" t="b">
        <v>0</v>
      </c>
    </row>
    <row r="155" spans="1:12" ht="15">
      <c r="A155" s="127" t="s">
        <v>1704</v>
      </c>
      <c r="B155" s="126" t="s">
        <v>1717</v>
      </c>
      <c r="C155" s="125">
        <v>2</v>
      </c>
      <c r="D155" s="129">
        <v>0.003339787015918944</v>
      </c>
      <c r="E155" s="129">
        <v>2.66228551572213</v>
      </c>
      <c r="F155" s="125" t="s">
        <v>1682</v>
      </c>
      <c r="G155" s="125" t="b">
        <v>0</v>
      </c>
      <c r="H155" s="125" t="b">
        <v>0</v>
      </c>
      <c r="I155" s="125" t="b">
        <v>0</v>
      </c>
      <c r="J155" s="125" t="b">
        <v>0</v>
      </c>
      <c r="K155" s="125" t="b">
        <v>0</v>
      </c>
      <c r="L155" s="125" t="b">
        <v>0</v>
      </c>
    </row>
    <row r="156" spans="1:12" ht="15">
      <c r="A156" s="127" t="s">
        <v>1558</v>
      </c>
      <c r="B156" s="126" t="s">
        <v>1842</v>
      </c>
      <c r="C156" s="125">
        <v>2</v>
      </c>
      <c r="D156" s="129">
        <v>0.003339787015918944</v>
      </c>
      <c r="E156" s="129">
        <v>2.66228551572213</v>
      </c>
      <c r="F156" s="125" t="s">
        <v>1682</v>
      </c>
      <c r="G156" s="125" t="b">
        <v>0</v>
      </c>
      <c r="H156" s="125" t="b">
        <v>0</v>
      </c>
      <c r="I156" s="125" t="b">
        <v>0</v>
      </c>
      <c r="J156" s="125" t="b">
        <v>0</v>
      </c>
      <c r="K156" s="125" t="b">
        <v>0</v>
      </c>
      <c r="L156" s="125" t="b">
        <v>0</v>
      </c>
    </row>
    <row r="157" spans="1:12" ht="15">
      <c r="A157" s="127" t="s">
        <v>1543</v>
      </c>
      <c r="B157" s="126" t="s">
        <v>1832</v>
      </c>
      <c r="C157" s="125">
        <v>2</v>
      </c>
      <c r="D157" s="129">
        <v>0.003339787015918944</v>
      </c>
      <c r="E157" s="129">
        <v>2.66228551572213</v>
      </c>
      <c r="F157" s="125" t="s">
        <v>1682</v>
      </c>
      <c r="G157" s="125" t="b">
        <v>0</v>
      </c>
      <c r="H157" s="125" t="b">
        <v>0</v>
      </c>
      <c r="I157" s="125" t="b">
        <v>0</v>
      </c>
      <c r="J157" s="125" t="b">
        <v>0</v>
      </c>
      <c r="K157" s="125" t="b">
        <v>0</v>
      </c>
      <c r="L157" s="125" t="b">
        <v>0</v>
      </c>
    </row>
    <row r="158" spans="1:12" ht="15">
      <c r="A158" s="127" t="s">
        <v>1684</v>
      </c>
      <c r="B158" s="126" t="s">
        <v>1796</v>
      </c>
      <c r="C158" s="125">
        <v>2</v>
      </c>
      <c r="D158" s="129">
        <v>0.003339787015918944</v>
      </c>
      <c r="E158" s="129">
        <v>2.4861942566664488</v>
      </c>
      <c r="F158" s="125" t="s">
        <v>1682</v>
      </c>
      <c r="G158" s="125" t="b">
        <v>0</v>
      </c>
      <c r="H158" s="125" t="b">
        <v>0</v>
      </c>
      <c r="I158" s="125" t="b">
        <v>0</v>
      </c>
      <c r="J158" s="125" t="b">
        <v>0</v>
      </c>
      <c r="K158" s="125" t="b">
        <v>0</v>
      </c>
      <c r="L158" s="125" t="b">
        <v>0</v>
      </c>
    </row>
    <row r="159" spans="1:12" ht="15">
      <c r="A159" s="127" t="s">
        <v>1855</v>
      </c>
      <c r="B159" s="126" t="s">
        <v>1540</v>
      </c>
      <c r="C159" s="125">
        <v>2</v>
      </c>
      <c r="D159" s="129">
        <v>0.003339787015918944</v>
      </c>
      <c r="E159" s="129">
        <v>2.66228551572213</v>
      </c>
      <c r="F159" s="125" t="s">
        <v>1682</v>
      </c>
      <c r="G159" s="125" t="b">
        <v>0</v>
      </c>
      <c r="H159" s="125" t="b">
        <v>0</v>
      </c>
      <c r="I159" s="125" t="b">
        <v>0</v>
      </c>
      <c r="J159" s="125" t="b">
        <v>0</v>
      </c>
      <c r="K159" s="125" t="b">
        <v>0</v>
      </c>
      <c r="L159" s="125" t="b">
        <v>0</v>
      </c>
    </row>
    <row r="160" spans="1:12" ht="15">
      <c r="A160" s="127" t="s">
        <v>1793</v>
      </c>
      <c r="B160" s="126" t="s">
        <v>1718</v>
      </c>
      <c r="C160" s="125">
        <v>2</v>
      </c>
      <c r="D160" s="129">
        <v>0.003339787015918944</v>
      </c>
      <c r="E160" s="129">
        <v>2.66228551572213</v>
      </c>
      <c r="F160" s="125" t="s">
        <v>1682</v>
      </c>
      <c r="G160" s="125" t="b">
        <v>0</v>
      </c>
      <c r="H160" s="125" t="b">
        <v>0</v>
      </c>
      <c r="I160" s="125" t="b">
        <v>0</v>
      </c>
      <c r="J160" s="125" t="b">
        <v>0</v>
      </c>
      <c r="K160" s="125" t="b">
        <v>0</v>
      </c>
      <c r="L160" s="125" t="b">
        <v>0</v>
      </c>
    </row>
    <row r="161" spans="1:12" ht="15">
      <c r="A161" s="127" t="s">
        <v>1849</v>
      </c>
      <c r="B161" s="126" t="s">
        <v>1826</v>
      </c>
      <c r="C161" s="125">
        <v>2</v>
      </c>
      <c r="D161" s="129">
        <v>0.003339787015918944</v>
      </c>
      <c r="E161" s="129">
        <v>2.66228551572213</v>
      </c>
      <c r="F161" s="125" t="s">
        <v>1682</v>
      </c>
      <c r="G161" s="125" t="b">
        <v>0</v>
      </c>
      <c r="H161" s="125" t="b">
        <v>0</v>
      </c>
      <c r="I161" s="125" t="b">
        <v>0</v>
      </c>
      <c r="J161" s="125" t="b">
        <v>0</v>
      </c>
      <c r="K161" s="125" t="b">
        <v>0</v>
      </c>
      <c r="L161" s="125" t="b">
        <v>0</v>
      </c>
    </row>
    <row r="162" spans="1:12" ht="15">
      <c r="A162" s="127" t="s">
        <v>1532</v>
      </c>
      <c r="B162" s="126" t="s">
        <v>1543</v>
      </c>
      <c r="C162" s="125">
        <v>2</v>
      </c>
      <c r="D162" s="129">
        <v>0.003339787015918944</v>
      </c>
      <c r="E162" s="129">
        <v>2.66228551572213</v>
      </c>
      <c r="F162" s="125" t="s">
        <v>1682</v>
      </c>
      <c r="G162" s="125" t="b">
        <v>0</v>
      </c>
      <c r="H162" s="125" t="b">
        <v>0</v>
      </c>
      <c r="I162" s="125" t="b">
        <v>0</v>
      </c>
      <c r="J162" s="125" t="b">
        <v>0</v>
      </c>
      <c r="K162" s="125" t="b">
        <v>0</v>
      </c>
      <c r="L162" s="125" t="b">
        <v>0</v>
      </c>
    </row>
    <row r="163" spans="1:12" ht="15">
      <c r="A163" s="127" t="s">
        <v>450</v>
      </c>
      <c r="B163" s="126" t="s">
        <v>504</v>
      </c>
      <c r="C163" s="125">
        <v>2</v>
      </c>
      <c r="D163" s="129">
        <v>0.003339787015918944</v>
      </c>
      <c r="E163" s="129">
        <v>1.641096216652192</v>
      </c>
      <c r="F163" s="125" t="s">
        <v>1682</v>
      </c>
      <c r="G163" s="125" t="b">
        <v>0</v>
      </c>
      <c r="H163" s="125" t="b">
        <v>0</v>
      </c>
      <c r="I163" s="125" t="b">
        <v>0</v>
      </c>
      <c r="J163" s="125" t="b">
        <v>0</v>
      </c>
      <c r="K163" s="125" t="b">
        <v>0</v>
      </c>
      <c r="L163" s="125" t="b">
        <v>0</v>
      </c>
    </row>
    <row r="164" spans="1:12" ht="15">
      <c r="A164" s="127" t="s">
        <v>1707</v>
      </c>
      <c r="B164" s="126" t="s">
        <v>1683</v>
      </c>
      <c r="C164" s="125">
        <v>2</v>
      </c>
      <c r="D164" s="129">
        <v>0.003339787015918944</v>
      </c>
      <c r="E164" s="129">
        <v>2.361255520058149</v>
      </c>
      <c r="F164" s="125" t="s">
        <v>1682</v>
      </c>
      <c r="G164" s="125" t="b">
        <v>0</v>
      </c>
      <c r="H164" s="125" t="b">
        <v>0</v>
      </c>
      <c r="I164" s="125" t="b">
        <v>0</v>
      </c>
      <c r="J164" s="125" t="b">
        <v>0</v>
      </c>
      <c r="K164" s="125" t="b">
        <v>0</v>
      </c>
      <c r="L164" s="125" t="b">
        <v>0</v>
      </c>
    </row>
    <row r="165" spans="1:12" ht="15">
      <c r="A165" s="127" t="s">
        <v>1807</v>
      </c>
      <c r="B165" s="126" t="s">
        <v>1734</v>
      </c>
      <c r="C165" s="125">
        <v>2</v>
      </c>
      <c r="D165" s="129">
        <v>0.003339787015918944</v>
      </c>
      <c r="E165" s="129">
        <v>2.66228551572213</v>
      </c>
      <c r="F165" s="125" t="s">
        <v>1682</v>
      </c>
      <c r="G165" s="125" t="b">
        <v>0</v>
      </c>
      <c r="H165" s="125" t="b">
        <v>0</v>
      </c>
      <c r="I165" s="125" t="b">
        <v>0</v>
      </c>
      <c r="J165" s="125" t="b">
        <v>0</v>
      </c>
      <c r="K165" s="125" t="b">
        <v>0</v>
      </c>
      <c r="L165" s="125" t="b">
        <v>0</v>
      </c>
    </row>
    <row r="166" spans="1:12" ht="15">
      <c r="A166" s="127" t="s">
        <v>1759</v>
      </c>
      <c r="B166" s="126" t="s">
        <v>1696</v>
      </c>
      <c r="C166" s="125">
        <v>2</v>
      </c>
      <c r="D166" s="129">
        <v>0.003339787015918944</v>
      </c>
      <c r="E166" s="129">
        <v>2.66228551572213</v>
      </c>
      <c r="F166" s="125" t="s">
        <v>1682</v>
      </c>
      <c r="G166" s="125" t="b">
        <v>0</v>
      </c>
      <c r="H166" s="125" t="b">
        <v>0</v>
      </c>
      <c r="I166" s="125" t="b">
        <v>0</v>
      </c>
      <c r="J166" s="125" t="b">
        <v>0</v>
      </c>
      <c r="K166" s="125" t="b">
        <v>0</v>
      </c>
      <c r="L166" s="125" t="b">
        <v>0</v>
      </c>
    </row>
    <row r="167" spans="1:12" ht="15">
      <c r="A167" s="127" t="s">
        <v>1854</v>
      </c>
      <c r="B167" s="126" t="s">
        <v>1825</v>
      </c>
      <c r="C167" s="125">
        <v>2</v>
      </c>
      <c r="D167" s="129">
        <v>0.003339787015918944</v>
      </c>
      <c r="E167" s="129">
        <v>2.66228551572213</v>
      </c>
      <c r="F167" s="125" t="s">
        <v>1682</v>
      </c>
      <c r="G167" s="125" t="b">
        <v>0</v>
      </c>
      <c r="H167" s="125" t="b">
        <v>0</v>
      </c>
      <c r="I167" s="125" t="b">
        <v>0</v>
      </c>
      <c r="J167" s="125" t="b">
        <v>0</v>
      </c>
      <c r="K167" s="125" t="b">
        <v>0</v>
      </c>
      <c r="L167" s="125" t="b">
        <v>0</v>
      </c>
    </row>
    <row r="168" spans="1:12" ht="15">
      <c r="A168" s="127" t="s">
        <v>1842</v>
      </c>
      <c r="B168" s="126" t="s">
        <v>1552</v>
      </c>
      <c r="C168" s="125">
        <v>2</v>
      </c>
      <c r="D168" s="129">
        <v>0.003339787015918944</v>
      </c>
      <c r="E168" s="129">
        <v>2.66228551572213</v>
      </c>
      <c r="F168" s="125" t="s">
        <v>1682</v>
      </c>
      <c r="G168" s="125" t="b">
        <v>0</v>
      </c>
      <c r="H168" s="125" t="b">
        <v>0</v>
      </c>
      <c r="I168" s="125" t="b">
        <v>0</v>
      </c>
      <c r="J168" s="125" t="b">
        <v>0</v>
      </c>
      <c r="K168" s="125" t="b">
        <v>0</v>
      </c>
      <c r="L168" s="125" t="b">
        <v>0</v>
      </c>
    </row>
    <row r="169" spans="1:12" ht="15">
      <c r="A169" s="127" t="s">
        <v>1847</v>
      </c>
      <c r="B169" s="126" t="s">
        <v>1738</v>
      </c>
      <c r="C169" s="125">
        <v>2</v>
      </c>
      <c r="D169" s="129">
        <v>0.003339787015918944</v>
      </c>
      <c r="E169" s="129">
        <v>2.66228551572213</v>
      </c>
      <c r="F169" s="125" t="s">
        <v>1682</v>
      </c>
      <c r="G169" s="125" t="b">
        <v>0</v>
      </c>
      <c r="H169" s="125" t="b">
        <v>0</v>
      </c>
      <c r="I169" s="125" t="b">
        <v>0</v>
      </c>
      <c r="J169" s="125" t="b">
        <v>0</v>
      </c>
      <c r="K169" s="125" t="b">
        <v>0</v>
      </c>
      <c r="L169" s="125" t="b">
        <v>0</v>
      </c>
    </row>
    <row r="170" spans="1:12" ht="15">
      <c r="A170" s="127" t="s">
        <v>480</v>
      </c>
      <c r="B170" s="126" t="s">
        <v>504</v>
      </c>
      <c r="C170" s="125">
        <v>2</v>
      </c>
      <c r="D170" s="129">
        <v>0.003339787015918944</v>
      </c>
      <c r="E170" s="129">
        <v>1.8171874757078732</v>
      </c>
      <c r="F170" s="125" t="s">
        <v>1682</v>
      </c>
      <c r="G170" s="125" t="b">
        <v>0</v>
      </c>
      <c r="H170" s="125" t="b">
        <v>0</v>
      </c>
      <c r="I170" s="125" t="b">
        <v>0</v>
      </c>
      <c r="J170" s="125" t="b">
        <v>0</v>
      </c>
      <c r="K170" s="125" t="b">
        <v>0</v>
      </c>
      <c r="L170" s="125" t="b">
        <v>0</v>
      </c>
    </row>
    <row r="171" spans="1:12" ht="15">
      <c r="A171" s="127" t="s">
        <v>1576</v>
      </c>
      <c r="B171" s="126" t="s">
        <v>1544</v>
      </c>
      <c r="C171" s="125">
        <v>2</v>
      </c>
      <c r="D171" s="129">
        <v>0.003339787015918944</v>
      </c>
      <c r="E171" s="129">
        <v>2.66228551572213</v>
      </c>
      <c r="F171" s="125" t="s">
        <v>1682</v>
      </c>
      <c r="G171" s="125" t="b">
        <v>0</v>
      </c>
      <c r="H171" s="125" t="b">
        <v>0</v>
      </c>
      <c r="I171" s="125" t="b">
        <v>0</v>
      </c>
      <c r="J171" s="125" t="b">
        <v>0</v>
      </c>
      <c r="K171" s="125" t="b">
        <v>0</v>
      </c>
      <c r="L171" s="125" t="b">
        <v>0</v>
      </c>
    </row>
    <row r="172" spans="1:12" ht="15">
      <c r="A172" s="127" t="s">
        <v>1808</v>
      </c>
      <c r="B172" s="126" t="s">
        <v>1771</v>
      </c>
      <c r="C172" s="125">
        <v>2</v>
      </c>
      <c r="D172" s="129">
        <v>0.003339787015918944</v>
      </c>
      <c r="E172" s="129">
        <v>2.66228551572213</v>
      </c>
      <c r="F172" s="125" t="s">
        <v>1682</v>
      </c>
      <c r="G172" s="125" t="b">
        <v>0</v>
      </c>
      <c r="H172" s="125" t="b">
        <v>0</v>
      </c>
      <c r="I172" s="125" t="b">
        <v>0</v>
      </c>
      <c r="J172" s="125" t="b">
        <v>0</v>
      </c>
      <c r="K172" s="125" t="b">
        <v>0</v>
      </c>
      <c r="L172" s="125" t="b">
        <v>0</v>
      </c>
    </row>
    <row r="173" spans="1:12" ht="15">
      <c r="A173" s="127" t="s">
        <v>1708</v>
      </c>
      <c r="B173" s="126" t="s">
        <v>1532</v>
      </c>
      <c r="C173" s="125">
        <v>2</v>
      </c>
      <c r="D173" s="129">
        <v>0.003339787015918944</v>
      </c>
      <c r="E173" s="129">
        <v>2.4861942566664488</v>
      </c>
      <c r="F173" s="125" t="s">
        <v>1682</v>
      </c>
      <c r="G173" s="125" t="b">
        <v>0</v>
      </c>
      <c r="H173" s="125" t="b">
        <v>0</v>
      </c>
      <c r="I173" s="125" t="b">
        <v>0</v>
      </c>
      <c r="J173" s="125" t="b">
        <v>0</v>
      </c>
      <c r="K173" s="125" t="b">
        <v>0</v>
      </c>
      <c r="L173" s="125" t="b">
        <v>0</v>
      </c>
    </row>
    <row r="174" spans="1:12" ht="15">
      <c r="A174" s="127" t="s">
        <v>1801</v>
      </c>
      <c r="B174" s="126" t="s">
        <v>1815</v>
      </c>
      <c r="C174" s="125">
        <v>2</v>
      </c>
      <c r="D174" s="129">
        <v>0.003339787015918944</v>
      </c>
      <c r="E174" s="129">
        <v>2.66228551572213</v>
      </c>
      <c r="F174" s="125" t="s">
        <v>1682</v>
      </c>
      <c r="G174" s="125" t="b">
        <v>0</v>
      </c>
      <c r="H174" s="125" t="b">
        <v>0</v>
      </c>
      <c r="I174" s="125" t="b">
        <v>0</v>
      </c>
      <c r="J174" s="125" t="b">
        <v>0</v>
      </c>
      <c r="K174" s="125" t="b">
        <v>0</v>
      </c>
      <c r="L174" s="125" t="b">
        <v>0</v>
      </c>
    </row>
    <row r="175" spans="1:12" ht="15">
      <c r="A175" s="127" t="s">
        <v>1703</v>
      </c>
      <c r="B175" s="126" t="s">
        <v>1731</v>
      </c>
      <c r="C175" s="125">
        <v>2</v>
      </c>
      <c r="D175" s="129">
        <v>0.003339787015918944</v>
      </c>
      <c r="E175" s="129">
        <v>2.66228551572213</v>
      </c>
      <c r="F175" s="125" t="s">
        <v>1682</v>
      </c>
      <c r="G175" s="125" t="b">
        <v>0</v>
      </c>
      <c r="H175" s="125" t="b">
        <v>0</v>
      </c>
      <c r="I175" s="125" t="b">
        <v>0</v>
      </c>
      <c r="J175" s="125" t="b">
        <v>0</v>
      </c>
      <c r="K175" s="125" t="b">
        <v>0</v>
      </c>
      <c r="L175" s="125" t="b">
        <v>0</v>
      </c>
    </row>
    <row r="176" spans="1:12" ht="15">
      <c r="A176" s="127" t="s">
        <v>1822</v>
      </c>
      <c r="B176" s="126" t="s">
        <v>1742</v>
      </c>
      <c r="C176" s="125">
        <v>2</v>
      </c>
      <c r="D176" s="129">
        <v>0.003339787015918944</v>
      </c>
      <c r="E176" s="129">
        <v>2.66228551572213</v>
      </c>
      <c r="F176" s="125" t="s">
        <v>1682</v>
      </c>
      <c r="G176" s="125" t="b">
        <v>0</v>
      </c>
      <c r="H176" s="125" t="b">
        <v>0</v>
      </c>
      <c r="I176" s="125" t="b">
        <v>0</v>
      </c>
      <c r="J176" s="125" t="b">
        <v>0</v>
      </c>
      <c r="K176" s="125" t="b">
        <v>0</v>
      </c>
      <c r="L176" s="125" t="b">
        <v>0</v>
      </c>
    </row>
    <row r="177" spans="1:12" ht="15">
      <c r="A177" s="127" t="s">
        <v>1540</v>
      </c>
      <c r="B177" s="126" t="s">
        <v>1533</v>
      </c>
      <c r="C177" s="125">
        <v>2</v>
      </c>
      <c r="D177" s="129">
        <v>0.003339787015918944</v>
      </c>
      <c r="E177" s="129">
        <v>2.66228551572213</v>
      </c>
      <c r="F177" s="125" t="s">
        <v>1682</v>
      </c>
      <c r="G177" s="125" t="b">
        <v>0</v>
      </c>
      <c r="H177" s="125" t="b">
        <v>0</v>
      </c>
      <c r="I177" s="125" t="b">
        <v>0</v>
      </c>
      <c r="J177" s="125" t="b">
        <v>0</v>
      </c>
      <c r="K177" s="125" t="b">
        <v>0</v>
      </c>
      <c r="L177" s="125" t="b">
        <v>0</v>
      </c>
    </row>
    <row r="178" spans="1:12" ht="15">
      <c r="A178" s="127" t="s">
        <v>1832</v>
      </c>
      <c r="B178" s="126" t="s">
        <v>1707</v>
      </c>
      <c r="C178" s="125">
        <v>2</v>
      </c>
      <c r="D178" s="129">
        <v>0.003339787015918944</v>
      </c>
      <c r="E178" s="129">
        <v>2.66228551572213</v>
      </c>
      <c r="F178" s="125" t="s">
        <v>1682</v>
      </c>
      <c r="G178" s="125" t="b">
        <v>0</v>
      </c>
      <c r="H178" s="125" t="b">
        <v>0</v>
      </c>
      <c r="I178" s="125" t="b">
        <v>0</v>
      </c>
      <c r="J178" s="125" t="b">
        <v>0</v>
      </c>
      <c r="K178" s="125" t="b">
        <v>0</v>
      </c>
      <c r="L178" s="125" t="b">
        <v>0</v>
      </c>
    </row>
    <row r="179" spans="1:12" ht="15">
      <c r="A179" s="127" t="s">
        <v>1567</v>
      </c>
      <c r="B179" s="126" t="s">
        <v>1530</v>
      </c>
      <c r="C179" s="125">
        <v>2</v>
      </c>
      <c r="D179" s="129">
        <v>0.003339787015918944</v>
      </c>
      <c r="E179" s="129">
        <v>2.0602255243941676</v>
      </c>
      <c r="F179" s="125" t="s">
        <v>1682</v>
      </c>
      <c r="G179" s="125" t="b">
        <v>0</v>
      </c>
      <c r="H179" s="125" t="b">
        <v>0</v>
      </c>
      <c r="I179" s="125" t="b">
        <v>0</v>
      </c>
      <c r="J179" s="125" t="b">
        <v>0</v>
      </c>
      <c r="K179" s="125" t="b">
        <v>0</v>
      </c>
      <c r="L179" s="125" t="b">
        <v>0</v>
      </c>
    </row>
    <row r="180" spans="1:12" ht="15">
      <c r="A180" s="127" t="s">
        <v>1821</v>
      </c>
      <c r="B180" s="126" t="s">
        <v>1828</v>
      </c>
      <c r="C180" s="125">
        <v>2</v>
      </c>
      <c r="D180" s="129">
        <v>0.003339787015918944</v>
      </c>
      <c r="E180" s="129">
        <v>2.66228551572213</v>
      </c>
      <c r="F180" s="125" t="s">
        <v>1682</v>
      </c>
      <c r="G180" s="125" t="b">
        <v>0</v>
      </c>
      <c r="H180" s="125" t="b">
        <v>0</v>
      </c>
      <c r="I180" s="125" t="b">
        <v>0</v>
      </c>
      <c r="J180" s="125" t="b">
        <v>0</v>
      </c>
      <c r="K180" s="125" t="b">
        <v>0</v>
      </c>
      <c r="L180" s="125" t="b">
        <v>0</v>
      </c>
    </row>
    <row r="181" spans="1:12" ht="15">
      <c r="A181" s="127" t="s">
        <v>1775</v>
      </c>
      <c r="B181" s="126" t="s">
        <v>1706</v>
      </c>
      <c r="C181" s="125">
        <v>2</v>
      </c>
      <c r="D181" s="129">
        <v>0.003339787015918944</v>
      </c>
      <c r="E181" s="129">
        <v>2.66228551572213</v>
      </c>
      <c r="F181" s="125" t="s">
        <v>1682</v>
      </c>
      <c r="G181" s="125" t="b">
        <v>0</v>
      </c>
      <c r="H181" s="125" t="b">
        <v>0</v>
      </c>
      <c r="I181" s="125" t="b">
        <v>0</v>
      </c>
      <c r="J181" s="125" t="b">
        <v>0</v>
      </c>
      <c r="K181" s="125" t="b">
        <v>0</v>
      </c>
      <c r="L181" s="125" t="b">
        <v>0</v>
      </c>
    </row>
    <row r="182" spans="1:12" ht="15">
      <c r="A182" s="127" t="s">
        <v>1764</v>
      </c>
      <c r="B182" s="126" t="s">
        <v>1778</v>
      </c>
      <c r="C182" s="125">
        <v>2</v>
      </c>
      <c r="D182" s="129">
        <v>0.003339787015918944</v>
      </c>
      <c r="E182" s="129">
        <v>2.66228551572213</v>
      </c>
      <c r="F182" s="125" t="s">
        <v>1682</v>
      </c>
      <c r="G182" s="125" t="b">
        <v>0</v>
      </c>
      <c r="H182" s="125" t="b">
        <v>0</v>
      </c>
      <c r="I182" s="125" t="b">
        <v>0</v>
      </c>
      <c r="J182" s="125" t="b">
        <v>0</v>
      </c>
      <c r="K182" s="125" t="b">
        <v>0</v>
      </c>
      <c r="L182" s="125" t="b">
        <v>0</v>
      </c>
    </row>
    <row r="183" spans="1:12" ht="15">
      <c r="A183" s="127" t="s">
        <v>1848</v>
      </c>
      <c r="B183" s="126" t="s">
        <v>1539</v>
      </c>
      <c r="C183" s="125">
        <v>2</v>
      </c>
      <c r="D183" s="129">
        <v>0.003339787015918944</v>
      </c>
      <c r="E183" s="129">
        <v>2.2643455070500926</v>
      </c>
      <c r="F183" s="125" t="s">
        <v>1682</v>
      </c>
      <c r="G183" s="125" t="b">
        <v>0</v>
      </c>
      <c r="H183" s="125" t="b">
        <v>0</v>
      </c>
      <c r="I183" s="125" t="b">
        <v>0</v>
      </c>
      <c r="J183" s="125" t="b">
        <v>0</v>
      </c>
      <c r="K183" s="125" t="b">
        <v>0</v>
      </c>
      <c r="L183" s="125" t="b">
        <v>0</v>
      </c>
    </row>
    <row r="184" spans="1:12" ht="15">
      <c r="A184" s="127" t="s">
        <v>1555</v>
      </c>
      <c r="B184" s="126" t="s">
        <v>1810</v>
      </c>
      <c r="C184" s="125">
        <v>2</v>
      </c>
      <c r="D184" s="129">
        <v>0.003339787015918944</v>
      </c>
      <c r="E184" s="129">
        <v>2.1851642610024675</v>
      </c>
      <c r="F184" s="125" t="s">
        <v>1682</v>
      </c>
      <c r="G184" s="125" t="b">
        <v>0</v>
      </c>
      <c r="H184" s="125" t="b">
        <v>0</v>
      </c>
      <c r="I184" s="125" t="b">
        <v>0</v>
      </c>
      <c r="J184" s="125" t="b">
        <v>0</v>
      </c>
      <c r="K184" s="125" t="b">
        <v>0</v>
      </c>
      <c r="L184" s="125" t="b">
        <v>0</v>
      </c>
    </row>
    <row r="185" spans="1:12" ht="15">
      <c r="A185" s="127" t="s">
        <v>1825</v>
      </c>
      <c r="B185" s="126" t="s">
        <v>1560</v>
      </c>
      <c r="C185" s="125">
        <v>2</v>
      </c>
      <c r="D185" s="129">
        <v>0.003339787015918944</v>
      </c>
      <c r="E185" s="129">
        <v>2.361255520058149</v>
      </c>
      <c r="F185" s="125" t="s">
        <v>1682</v>
      </c>
      <c r="G185" s="125" t="b">
        <v>0</v>
      </c>
      <c r="H185" s="125" t="b">
        <v>0</v>
      </c>
      <c r="I185" s="125" t="b">
        <v>0</v>
      </c>
      <c r="J185" s="125" t="b">
        <v>0</v>
      </c>
      <c r="K185" s="125" t="b">
        <v>0</v>
      </c>
      <c r="L185" s="125" t="b">
        <v>0</v>
      </c>
    </row>
    <row r="186" spans="1:12" ht="15">
      <c r="A186" s="127" t="s">
        <v>1524</v>
      </c>
      <c r="B186" s="126" t="s">
        <v>1542</v>
      </c>
      <c r="C186" s="125">
        <v>2</v>
      </c>
      <c r="D186" s="129">
        <v>0.003339787015918944</v>
      </c>
      <c r="E186" s="129">
        <v>2.0090730019467866</v>
      </c>
      <c r="F186" s="125" t="s">
        <v>1682</v>
      </c>
      <c r="G186" s="125" t="b">
        <v>0</v>
      </c>
      <c r="H186" s="125" t="b">
        <v>0</v>
      </c>
      <c r="I186" s="125" t="b">
        <v>0</v>
      </c>
      <c r="J186" s="125" t="b">
        <v>0</v>
      </c>
      <c r="K186" s="125" t="b">
        <v>0</v>
      </c>
      <c r="L186" s="125" t="b">
        <v>0</v>
      </c>
    </row>
    <row r="187" spans="1:12" ht="15">
      <c r="A187" s="127" t="s">
        <v>1726</v>
      </c>
      <c r="B187" s="126" t="s">
        <v>1754</v>
      </c>
      <c r="C187" s="125">
        <v>2</v>
      </c>
      <c r="D187" s="129">
        <v>0.003339787015918944</v>
      </c>
      <c r="E187" s="129">
        <v>2.66228551572213</v>
      </c>
      <c r="F187" s="125" t="s">
        <v>1682</v>
      </c>
      <c r="G187" s="125" t="b">
        <v>0</v>
      </c>
      <c r="H187" s="125" t="b">
        <v>0</v>
      </c>
      <c r="I187" s="125" t="b">
        <v>0</v>
      </c>
      <c r="J187" s="125" t="b">
        <v>0</v>
      </c>
      <c r="K187" s="125" t="b">
        <v>0</v>
      </c>
      <c r="L187" s="125" t="b">
        <v>0</v>
      </c>
    </row>
    <row r="188" spans="1:12" ht="15">
      <c r="A188" s="127" t="s">
        <v>1787</v>
      </c>
      <c r="B188" s="126" t="s">
        <v>1727</v>
      </c>
      <c r="C188" s="125">
        <v>2</v>
      </c>
      <c r="D188" s="129">
        <v>0.003339787015918944</v>
      </c>
      <c r="E188" s="129">
        <v>2.66228551572213</v>
      </c>
      <c r="F188" s="125" t="s">
        <v>1682</v>
      </c>
      <c r="G188" s="125" t="b">
        <v>0</v>
      </c>
      <c r="H188" s="125" t="b">
        <v>0</v>
      </c>
      <c r="I188" s="125" t="b">
        <v>0</v>
      </c>
      <c r="J188" s="125" t="b">
        <v>0</v>
      </c>
      <c r="K188" s="125" t="b">
        <v>0</v>
      </c>
      <c r="L188" s="125" t="b">
        <v>0</v>
      </c>
    </row>
    <row r="189" spans="1:12" ht="15">
      <c r="A189" s="127" t="s">
        <v>1743</v>
      </c>
      <c r="B189" s="126" t="s">
        <v>1686</v>
      </c>
      <c r="C189" s="125">
        <v>2</v>
      </c>
      <c r="D189" s="129">
        <v>0.003339787015918944</v>
      </c>
      <c r="E189" s="129">
        <v>2.4861942566664488</v>
      </c>
      <c r="F189" s="125" t="s">
        <v>1682</v>
      </c>
      <c r="G189" s="125" t="b">
        <v>0</v>
      </c>
      <c r="H189" s="125" t="b">
        <v>0</v>
      </c>
      <c r="I189" s="125" t="b">
        <v>0</v>
      </c>
      <c r="J189" s="125" t="b">
        <v>0</v>
      </c>
      <c r="K189" s="125" t="b">
        <v>0</v>
      </c>
      <c r="L189" s="125" t="b">
        <v>0</v>
      </c>
    </row>
    <row r="190" spans="1:12" ht="15">
      <c r="A190" s="127" t="s">
        <v>623</v>
      </c>
      <c r="B190" s="126" t="s">
        <v>1723</v>
      </c>
      <c r="C190" s="125">
        <v>2</v>
      </c>
      <c r="D190" s="129">
        <v>0.003339787015918944</v>
      </c>
      <c r="E190" s="129">
        <v>2.0090730019467866</v>
      </c>
      <c r="F190" s="125" t="s">
        <v>1682</v>
      </c>
      <c r="G190" s="125" t="b">
        <v>0</v>
      </c>
      <c r="H190" s="125" t="b">
        <v>0</v>
      </c>
      <c r="I190" s="125" t="b">
        <v>0</v>
      </c>
      <c r="J190" s="125" t="b">
        <v>0</v>
      </c>
      <c r="K190" s="125" t="b">
        <v>0</v>
      </c>
      <c r="L190" s="125" t="b">
        <v>0</v>
      </c>
    </row>
    <row r="191" spans="1:12" ht="15">
      <c r="A191" s="127" t="s">
        <v>1530</v>
      </c>
      <c r="B191" s="126" t="s">
        <v>1788</v>
      </c>
      <c r="C191" s="125">
        <v>2</v>
      </c>
      <c r="D191" s="129">
        <v>0.003339787015918944</v>
      </c>
      <c r="E191" s="129">
        <v>2.0090730019467866</v>
      </c>
      <c r="F191" s="125" t="s">
        <v>1682</v>
      </c>
      <c r="G191" s="125" t="b">
        <v>0</v>
      </c>
      <c r="H191" s="125" t="b">
        <v>0</v>
      </c>
      <c r="I191" s="125" t="b">
        <v>0</v>
      </c>
      <c r="J191" s="125" t="b">
        <v>0</v>
      </c>
      <c r="K191" s="125" t="b">
        <v>0</v>
      </c>
      <c r="L191" s="125" t="b">
        <v>0</v>
      </c>
    </row>
    <row r="192" spans="1:12" ht="15">
      <c r="A192" s="127" t="s">
        <v>181</v>
      </c>
      <c r="B192" s="126" t="s">
        <v>179</v>
      </c>
      <c r="C192" s="125">
        <v>2</v>
      </c>
      <c r="D192" s="129">
        <v>0.003339787015918944</v>
      </c>
      <c r="E192" s="129">
        <v>2.66228551572213</v>
      </c>
      <c r="F192" s="125" t="s">
        <v>1682</v>
      </c>
      <c r="G192" s="125" t="b">
        <v>0</v>
      </c>
      <c r="H192" s="125" t="b">
        <v>0</v>
      </c>
      <c r="I192" s="125" t="b">
        <v>0</v>
      </c>
      <c r="J192" s="125" t="b">
        <v>0</v>
      </c>
      <c r="K192" s="125" t="b">
        <v>0</v>
      </c>
      <c r="L192" s="125" t="b">
        <v>0</v>
      </c>
    </row>
    <row r="193" spans="1:12" ht="15">
      <c r="A193" s="127" t="s">
        <v>1573</v>
      </c>
      <c r="B193" s="126" t="s">
        <v>1808</v>
      </c>
      <c r="C193" s="125">
        <v>2</v>
      </c>
      <c r="D193" s="129">
        <v>0.003339787015918944</v>
      </c>
      <c r="E193" s="129">
        <v>2.66228551572213</v>
      </c>
      <c r="F193" s="125" t="s">
        <v>1682</v>
      </c>
      <c r="G193" s="125" t="b">
        <v>0</v>
      </c>
      <c r="H193" s="125" t="b">
        <v>0</v>
      </c>
      <c r="I193" s="125" t="b">
        <v>0</v>
      </c>
      <c r="J193" s="125" t="b">
        <v>0</v>
      </c>
      <c r="K193" s="125" t="b">
        <v>0</v>
      </c>
      <c r="L193" s="125" t="b">
        <v>0</v>
      </c>
    </row>
    <row r="194" spans="1:12" ht="15">
      <c r="A194" s="127" t="s">
        <v>1856</v>
      </c>
      <c r="B194" s="126" t="s">
        <v>1820</v>
      </c>
      <c r="C194" s="125">
        <v>2</v>
      </c>
      <c r="D194" s="129">
        <v>0.003339787015918944</v>
      </c>
      <c r="E194" s="129">
        <v>2.66228551572213</v>
      </c>
      <c r="F194" s="125" t="s">
        <v>1682</v>
      </c>
      <c r="G194" s="125" t="b">
        <v>0</v>
      </c>
      <c r="H194" s="125" t="b">
        <v>0</v>
      </c>
      <c r="I194" s="125" t="b">
        <v>0</v>
      </c>
      <c r="J194" s="125" t="b">
        <v>0</v>
      </c>
      <c r="K194" s="125" t="b">
        <v>0</v>
      </c>
      <c r="L194" s="125" t="b">
        <v>0</v>
      </c>
    </row>
    <row r="195" spans="1:12" ht="15">
      <c r="A195" s="127" t="s">
        <v>1776</v>
      </c>
      <c r="B195" s="126" t="s">
        <v>1713</v>
      </c>
      <c r="C195" s="125">
        <v>2</v>
      </c>
      <c r="D195" s="129">
        <v>0.003339787015918944</v>
      </c>
      <c r="E195" s="129">
        <v>2.66228551572213</v>
      </c>
      <c r="F195" s="125" t="s">
        <v>1682</v>
      </c>
      <c r="G195" s="125" t="b">
        <v>0</v>
      </c>
      <c r="H195" s="125" t="b">
        <v>0</v>
      </c>
      <c r="I195" s="125" t="b">
        <v>0</v>
      </c>
      <c r="J195" s="125" t="b">
        <v>0</v>
      </c>
      <c r="K195" s="125" t="b">
        <v>0</v>
      </c>
      <c r="L195" s="125" t="b">
        <v>0</v>
      </c>
    </row>
    <row r="196" spans="1:12" ht="15">
      <c r="A196" s="127" t="s">
        <v>1542</v>
      </c>
      <c r="B196" s="126" t="s">
        <v>1799</v>
      </c>
      <c r="C196" s="125">
        <v>2</v>
      </c>
      <c r="D196" s="129">
        <v>0.003339787015918944</v>
      </c>
      <c r="E196" s="129">
        <v>2.66228551572213</v>
      </c>
      <c r="F196" s="125" t="s">
        <v>1682</v>
      </c>
      <c r="G196" s="125" t="b">
        <v>0</v>
      </c>
      <c r="H196" s="125" t="b">
        <v>0</v>
      </c>
      <c r="I196" s="125" t="b">
        <v>0</v>
      </c>
      <c r="J196" s="125" t="b">
        <v>0</v>
      </c>
      <c r="K196" s="125" t="b">
        <v>0</v>
      </c>
      <c r="L196" s="125" t="b">
        <v>0</v>
      </c>
    </row>
    <row r="197" spans="1:12" ht="15">
      <c r="A197" s="127" t="s">
        <v>1770</v>
      </c>
      <c r="B197" s="126" t="s">
        <v>1851</v>
      </c>
      <c r="C197" s="125">
        <v>2</v>
      </c>
      <c r="D197" s="129">
        <v>0.003339787015918944</v>
      </c>
      <c r="E197" s="129">
        <v>2.66228551572213</v>
      </c>
      <c r="F197" s="125" t="s">
        <v>1682</v>
      </c>
      <c r="G197" s="125" t="b">
        <v>0</v>
      </c>
      <c r="H197" s="125" t="b">
        <v>0</v>
      </c>
      <c r="I197" s="125" t="b">
        <v>0</v>
      </c>
      <c r="J197" s="125" t="b">
        <v>0</v>
      </c>
      <c r="K197" s="125" t="b">
        <v>0</v>
      </c>
      <c r="L197" s="125" t="b">
        <v>0</v>
      </c>
    </row>
    <row r="198" spans="1:12" ht="15">
      <c r="A198" s="127" t="s">
        <v>1693</v>
      </c>
      <c r="B198" s="126" t="s">
        <v>1845</v>
      </c>
      <c r="C198" s="125">
        <v>2</v>
      </c>
      <c r="D198" s="129">
        <v>0.003339787015918944</v>
      </c>
      <c r="E198" s="129">
        <v>2.4861942566664488</v>
      </c>
      <c r="F198" s="125" t="s">
        <v>1682</v>
      </c>
      <c r="G198" s="125" t="b">
        <v>0</v>
      </c>
      <c r="H198" s="125" t="b">
        <v>0</v>
      </c>
      <c r="I198" s="125" t="b">
        <v>0</v>
      </c>
      <c r="J198" s="125" t="b">
        <v>0</v>
      </c>
      <c r="K198" s="125" t="b">
        <v>0</v>
      </c>
      <c r="L198" s="125" t="b">
        <v>0</v>
      </c>
    </row>
    <row r="199" spans="1:12" ht="15">
      <c r="A199" s="127" t="s">
        <v>1798</v>
      </c>
      <c r="B199" s="126" t="s">
        <v>1695</v>
      </c>
      <c r="C199" s="125">
        <v>2</v>
      </c>
      <c r="D199" s="129">
        <v>0.003339787015918944</v>
      </c>
      <c r="E199" s="129">
        <v>2.66228551572213</v>
      </c>
      <c r="F199" s="125" t="s">
        <v>1682</v>
      </c>
      <c r="G199" s="125" t="b">
        <v>0</v>
      </c>
      <c r="H199" s="125" t="b">
        <v>0</v>
      </c>
      <c r="I199" s="125" t="b">
        <v>0</v>
      </c>
      <c r="J199" s="125" t="b">
        <v>0</v>
      </c>
      <c r="K199" s="125" t="b">
        <v>0</v>
      </c>
      <c r="L199" s="125" t="b">
        <v>0</v>
      </c>
    </row>
    <row r="200" spans="1:12" ht="15">
      <c r="A200" s="127" t="s">
        <v>1802</v>
      </c>
      <c r="B200" s="126" t="s">
        <v>1719</v>
      </c>
      <c r="C200" s="125">
        <v>2</v>
      </c>
      <c r="D200" s="129">
        <v>0.003339787015918944</v>
      </c>
      <c r="E200" s="129">
        <v>2.66228551572213</v>
      </c>
      <c r="F200" s="125" t="s">
        <v>1682</v>
      </c>
      <c r="G200" s="125" t="b">
        <v>0</v>
      </c>
      <c r="H200" s="125" t="b">
        <v>0</v>
      </c>
      <c r="I200" s="125" t="b">
        <v>0</v>
      </c>
      <c r="J200" s="125" t="b">
        <v>0</v>
      </c>
      <c r="K200" s="125" t="b">
        <v>0</v>
      </c>
      <c r="L200" s="125" t="b">
        <v>0</v>
      </c>
    </row>
    <row r="201" spans="1:12" ht="15">
      <c r="A201" s="127" t="s">
        <v>1812</v>
      </c>
      <c r="B201" s="126" t="s">
        <v>1740</v>
      </c>
      <c r="C201" s="125">
        <v>2</v>
      </c>
      <c r="D201" s="129">
        <v>0.003339787015918944</v>
      </c>
      <c r="E201" s="129">
        <v>2.66228551572213</v>
      </c>
      <c r="F201" s="125" t="s">
        <v>1682</v>
      </c>
      <c r="G201" s="125" t="b">
        <v>0</v>
      </c>
      <c r="H201" s="125" t="b">
        <v>0</v>
      </c>
      <c r="I201" s="125" t="b">
        <v>0</v>
      </c>
      <c r="J201" s="125" t="b">
        <v>0</v>
      </c>
      <c r="K201" s="125" t="b">
        <v>0</v>
      </c>
      <c r="L201" s="125" t="b">
        <v>0</v>
      </c>
    </row>
    <row r="202" spans="1:12" ht="15">
      <c r="A202" s="127" t="s">
        <v>1734</v>
      </c>
      <c r="B202" s="126" t="s">
        <v>1854</v>
      </c>
      <c r="C202" s="125">
        <v>2</v>
      </c>
      <c r="D202" s="129">
        <v>0.003339787015918944</v>
      </c>
      <c r="E202" s="129">
        <v>2.66228551572213</v>
      </c>
      <c r="F202" s="125" t="s">
        <v>1682</v>
      </c>
      <c r="G202" s="125" t="b">
        <v>0</v>
      </c>
      <c r="H202" s="125" t="b">
        <v>0</v>
      </c>
      <c r="I202" s="125" t="b">
        <v>0</v>
      </c>
      <c r="J202" s="125" t="b">
        <v>0</v>
      </c>
      <c r="K202" s="125" t="b">
        <v>0</v>
      </c>
      <c r="L202" s="125" t="b">
        <v>0</v>
      </c>
    </row>
    <row r="203" spans="1:12" ht="15">
      <c r="A203" s="127" t="s">
        <v>1811</v>
      </c>
      <c r="B203" s="126" t="s">
        <v>1833</v>
      </c>
      <c r="C203" s="125">
        <v>2</v>
      </c>
      <c r="D203" s="129">
        <v>0.003339787015918944</v>
      </c>
      <c r="E203" s="129">
        <v>2.66228551572213</v>
      </c>
      <c r="F203" s="125" t="s">
        <v>1682</v>
      </c>
      <c r="G203" s="125" t="b">
        <v>0</v>
      </c>
      <c r="H203" s="125" t="b">
        <v>0</v>
      </c>
      <c r="I203" s="125" t="b">
        <v>0</v>
      </c>
      <c r="J203" s="125" t="b">
        <v>0</v>
      </c>
      <c r="K203" s="125" t="b">
        <v>0</v>
      </c>
      <c r="L203" s="125" t="b">
        <v>0</v>
      </c>
    </row>
    <row r="204" spans="1:12" ht="15">
      <c r="A204" s="127" t="s">
        <v>274</v>
      </c>
      <c r="B204" s="126" t="s">
        <v>1693</v>
      </c>
      <c r="C204" s="125">
        <v>2</v>
      </c>
      <c r="D204" s="129">
        <v>0.003339787015918944</v>
      </c>
      <c r="E204" s="129">
        <v>2.3101029976107674</v>
      </c>
      <c r="F204" s="125" t="s">
        <v>1682</v>
      </c>
      <c r="G204" s="125" t="b">
        <v>0</v>
      </c>
      <c r="H204" s="125" t="b">
        <v>0</v>
      </c>
      <c r="I204" s="125" t="b">
        <v>0</v>
      </c>
      <c r="J204" s="125" t="b">
        <v>0</v>
      </c>
      <c r="K204" s="125" t="b">
        <v>0</v>
      </c>
      <c r="L204" s="125" t="b">
        <v>0</v>
      </c>
    </row>
    <row r="205" spans="1:12" ht="15">
      <c r="A205" s="127" t="s">
        <v>1526</v>
      </c>
      <c r="B205" s="126" t="s">
        <v>1787</v>
      </c>
      <c r="C205" s="125">
        <v>2</v>
      </c>
      <c r="D205" s="129">
        <v>0.003339787015918944</v>
      </c>
      <c r="E205" s="129">
        <v>2.4861942566664488</v>
      </c>
      <c r="F205" s="125" t="s">
        <v>1682</v>
      </c>
      <c r="G205" s="125" t="b">
        <v>0</v>
      </c>
      <c r="H205" s="125" t="b">
        <v>0</v>
      </c>
      <c r="I205" s="125" t="b">
        <v>0</v>
      </c>
      <c r="J205" s="125" t="b">
        <v>0</v>
      </c>
      <c r="K205" s="125" t="b">
        <v>0</v>
      </c>
      <c r="L205" s="125" t="b">
        <v>0</v>
      </c>
    </row>
    <row r="206" spans="1:12" ht="15">
      <c r="A206" s="127" t="s">
        <v>1699</v>
      </c>
      <c r="B206" s="126" t="s">
        <v>1819</v>
      </c>
      <c r="C206" s="125">
        <v>2</v>
      </c>
      <c r="D206" s="129">
        <v>0.003339787015918944</v>
      </c>
      <c r="E206" s="129">
        <v>2.66228551572213</v>
      </c>
      <c r="F206" s="125" t="s">
        <v>1682</v>
      </c>
      <c r="G206" s="125" t="b">
        <v>0</v>
      </c>
      <c r="H206" s="125" t="b">
        <v>0</v>
      </c>
      <c r="I206" s="125" t="b">
        <v>0</v>
      </c>
      <c r="J206" s="125" t="b">
        <v>0</v>
      </c>
      <c r="K206" s="125" t="b">
        <v>0</v>
      </c>
      <c r="L206" s="125" t="b">
        <v>0</v>
      </c>
    </row>
    <row r="207" spans="1:12" ht="15">
      <c r="A207" s="127" t="s">
        <v>1706</v>
      </c>
      <c r="B207" s="126" t="s">
        <v>1814</v>
      </c>
      <c r="C207" s="125">
        <v>2</v>
      </c>
      <c r="D207" s="129">
        <v>0.003339787015918944</v>
      </c>
      <c r="E207" s="129">
        <v>2.66228551572213</v>
      </c>
      <c r="F207" s="125" t="s">
        <v>1682</v>
      </c>
      <c r="G207" s="125" t="b">
        <v>0</v>
      </c>
      <c r="H207" s="125" t="b">
        <v>0</v>
      </c>
      <c r="I207" s="125" t="b">
        <v>0</v>
      </c>
      <c r="J207" s="125" t="b">
        <v>0</v>
      </c>
      <c r="K207" s="125" t="b">
        <v>0</v>
      </c>
      <c r="L207" s="125" t="b">
        <v>0</v>
      </c>
    </row>
    <row r="208" spans="1:12" ht="15">
      <c r="A208" s="127" t="s">
        <v>1715</v>
      </c>
      <c r="B208" s="126" t="s">
        <v>1850</v>
      </c>
      <c r="C208" s="125">
        <v>2</v>
      </c>
      <c r="D208" s="129">
        <v>0.003339787015918944</v>
      </c>
      <c r="E208" s="129">
        <v>2.66228551572213</v>
      </c>
      <c r="F208" s="125" t="s">
        <v>1682</v>
      </c>
      <c r="G208" s="125" t="b">
        <v>0</v>
      </c>
      <c r="H208" s="125" t="b">
        <v>0</v>
      </c>
      <c r="I208" s="125" t="b">
        <v>0</v>
      </c>
      <c r="J208" s="125" t="b">
        <v>0</v>
      </c>
      <c r="K208" s="125" t="b">
        <v>0</v>
      </c>
      <c r="L208" s="125" t="b">
        <v>0</v>
      </c>
    </row>
    <row r="209" spans="1:12" ht="15">
      <c r="A209" s="127" t="s">
        <v>1711</v>
      </c>
      <c r="B209" s="126" t="s">
        <v>1559</v>
      </c>
      <c r="C209" s="125">
        <v>2</v>
      </c>
      <c r="D209" s="129">
        <v>0.003339787015918944</v>
      </c>
      <c r="E209" s="129">
        <v>2.66228551572213</v>
      </c>
      <c r="F209" s="125" t="s">
        <v>1682</v>
      </c>
      <c r="G209" s="125" t="b">
        <v>0</v>
      </c>
      <c r="H209" s="125" t="b">
        <v>0</v>
      </c>
      <c r="I209" s="125" t="b">
        <v>0</v>
      </c>
      <c r="J209" s="125" t="b">
        <v>0</v>
      </c>
      <c r="K209" s="125" t="b">
        <v>0</v>
      </c>
      <c r="L209" s="125" t="b">
        <v>0</v>
      </c>
    </row>
    <row r="210" spans="1:12" ht="15">
      <c r="A210" s="127" t="s">
        <v>1686</v>
      </c>
      <c r="B210" s="126" t="s">
        <v>1836</v>
      </c>
      <c r="C210" s="125">
        <v>2</v>
      </c>
      <c r="D210" s="129">
        <v>0.003339787015918944</v>
      </c>
      <c r="E210" s="129">
        <v>2.4861942566664488</v>
      </c>
      <c r="F210" s="125" t="s">
        <v>1682</v>
      </c>
      <c r="G210" s="125" t="b">
        <v>0</v>
      </c>
      <c r="H210" s="125" t="b">
        <v>0</v>
      </c>
      <c r="I210" s="125" t="b">
        <v>0</v>
      </c>
      <c r="J210" s="125" t="b">
        <v>0</v>
      </c>
      <c r="K210" s="125" t="b">
        <v>0</v>
      </c>
      <c r="L210" s="125" t="b">
        <v>0</v>
      </c>
    </row>
    <row r="211" spans="1:12" ht="15">
      <c r="A211" s="127" t="s">
        <v>504</v>
      </c>
      <c r="B211" s="126" t="s">
        <v>1534</v>
      </c>
      <c r="C211" s="125">
        <v>14</v>
      </c>
      <c r="D211" s="129">
        <v>0.0180153403580567</v>
      </c>
      <c r="E211" s="129">
        <v>1.3177649533076692</v>
      </c>
      <c r="F211" s="125" t="s">
        <v>1228</v>
      </c>
      <c r="G211" s="125" t="b">
        <v>0</v>
      </c>
      <c r="H211" s="125" t="b">
        <v>0</v>
      </c>
      <c r="I211" s="125" t="b">
        <v>0</v>
      </c>
      <c r="J211" s="125" t="b">
        <v>0</v>
      </c>
      <c r="K211" s="125" t="b">
        <v>0</v>
      </c>
      <c r="L211" s="125" t="b">
        <v>0</v>
      </c>
    </row>
    <row r="212" spans="1:12" ht="15">
      <c r="A212" s="127" t="s">
        <v>1534</v>
      </c>
      <c r="B212" s="126" t="s">
        <v>1528</v>
      </c>
      <c r="C212" s="125">
        <v>14</v>
      </c>
      <c r="D212" s="129">
        <v>0.0180153403580567</v>
      </c>
      <c r="E212" s="129">
        <v>1.3177649533076692</v>
      </c>
      <c r="F212" s="125" t="s">
        <v>1228</v>
      </c>
      <c r="G212" s="125" t="b">
        <v>0</v>
      </c>
      <c r="H212" s="125" t="b">
        <v>0</v>
      </c>
      <c r="I212" s="125" t="b">
        <v>0</v>
      </c>
      <c r="J212" s="125" t="b">
        <v>0</v>
      </c>
      <c r="K212" s="125" t="b">
        <v>0</v>
      </c>
      <c r="L212" s="125" t="b">
        <v>0</v>
      </c>
    </row>
    <row r="213" spans="1:12" ht="15">
      <c r="A213" s="127" t="s">
        <v>1545</v>
      </c>
      <c r="B213" s="126" t="s">
        <v>1555</v>
      </c>
      <c r="C213" s="125">
        <v>6</v>
      </c>
      <c r="D213" s="129">
        <v>0.014452142811280816</v>
      </c>
      <c r="E213" s="129">
        <v>1.6857417386022637</v>
      </c>
      <c r="F213" s="125" t="s">
        <v>1228</v>
      </c>
      <c r="G213" s="125" t="b">
        <v>0</v>
      </c>
      <c r="H213" s="125" t="b">
        <v>0</v>
      </c>
      <c r="I213" s="125" t="b">
        <v>0</v>
      </c>
      <c r="J213" s="125" t="b">
        <v>0</v>
      </c>
      <c r="K213" s="125" t="b">
        <v>0</v>
      </c>
      <c r="L213" s="125" t="b">
        <v>0</v>
      </c>
    </row>
    <row r="214" spans="1:12" ht="15">
      <c r="A214" s="127" t="s">
        <v>1541</v>
      </c>
      <c r="B214" s="126" t="s">
        <v>1545</v>
      </c>
      <c r="C214" s="125">
        <v>6</v>
      </c>
      <c r="D214" s="129">
        <v>0.014452142811280816</v>
      </c>
      <c r="E214" s="129">
        <v>1.6857417386022637</v>
      </c>
      <c r="F214" s="125" t="s">
        <v>1228</v>
      </c>
      <c r="G214" s="125" t="b">
        <v>0</v>
      </c>
      <c r="H214" s="125" t="b">
        <v>0</v>
      </c>
      <c r="I214" s="125" t="b">
        <v>0</v>
      </c>
      <c r="J214" s="125" t="b">
        <v>0</v>
      </c>
      <c r="K214" s="125" t="b">
        <v>0</v>
      </c>
      <c r="L214" s="125" t="b">
        <v>0</v>
      </c>
    </row>
    <row r="215" spans="1:12" ht="15">
      <c r="A215" s="127" t="s">
        <v>1565</v>
      </c>
      <c r="B215" s="126" t="s">
        <v>1541</v>
      </c>
      <c r="C215" s="125">
        <v>4</v>
      </c>
      <c r="D215" s="129">
        <v>0.011782216252915033</v>
      </c>
      <c r="E215" s="129">
        <v>1.6187949489716504</v>
      </c>
      <c r="F215" s="125" t="s">
        <v>1228</v>
      </c>
      <c r="G215" s="125" t="b">
        <v>0</v>
      </c>
      <c r="H215" s="125" t="b">
        <v>0</v>
      </c>
      <c r="I215" s="125" t="b">
        <v>0</v>
      </c>
      <c r="J215" s="125" t="b">
        <v>0</v>
      </c>
      <c r="K215" s="125" t="b">
        <v>0</v>
      </c>
      <c r="L215" s="125" t="b">
        <v>0</v>
      </c>
    </row>
    <row r="216" spans="1:12" ht="15">
      <c r="A216" s="127" t="s">
        <v>530</v>
      </c>
      <c r="B216" s="126" t="s">
        <v>504</v>
      </c>
      <c r="C216" s="125">
        <v>3</v>
      </c>
      <c r="D216" s="129">
        <v>0.009979394536713407</v>
      </c>
      <c r="E216" s="129">
        <v>1.0167349576436882</v>
      </c>
      <c r="F216" s="125" t="s">
        <v>1228</v>
      </c>
      <c r="G216" s="125" t="b">
        <v>0</v>
      </c>
      <c r="H216" s="125" t="b">
        <v>0</v>
      </c>
      <c r="I216" s="125" t="b">
        <v>0</v>
      </c>
      <c r="J216" s="125" t="b">
        <v>0</v>
      </c>
      <c r="K216" s="125" t="b">
        <v>0</v>
      </c>
      <c r="L216" s="125" t="b">
        <v>0</v>
      </c>
    </row>
    <row r="217" spans="1:12" ht="15">
      <c r="A217" s="127" t="s">
        <v>1829</v>
      </c>
      <c r="B217" s="126" t="s">
        <v>1823</v>
      </c>
      <c r="C217" s="125">
        <v>2</v>
      </c>
      <c r="D217" s="129">
        <v>0.007726656880506181</v>
      </c>
      <c r="E217" s="129">
        <v>2.162862993321926</v>
      </c>
      <c r="F217" s="125" t="s">
        <v>1228</v>
      </c>
      <c r="G217" s="125" t="b">
        <v>0</v>
      </c>
      <c r="H217" s="125" t="b">
        <v>0</v>
      </c>
      <c r="I217" s="125" t="b">
        <v>0</v>
      </c>
      <c r="J217" s="125" t="b">
        <v>0</v>
      </c>
      <c r="K217" s="125" t="b">
        <v>0</v>
      </c>
      <c r="L217" s="125" t="b">
        <v>0</v>
      </c>
    </row>
    <row r="218" spans="1:12" ht="15">
      <c r="A218" s="127" t="s">
        <v>1841</v>
      </c>
      <c r="B218" s="126" t="s">
        <v>1743</v>
      </c>
      <c r="C218" s="125">
        <v>2</v>
      </c>
      <c r="D218" s="129">
        <v>0.007726656880506181</v>
      </c>
      <c r="E218" s="129">
        <v>2.162862993321926</v>
      </c>
      <c r="F218" s="125" t="s">
        <v>1228</v>
      </c>
      <c r="G218" s="125" t="b">
        <v>0</v>
      </c>
      <c r="H218" s="125" t="b">
        <v>0</v>
      </c>
      <c r="I218" s="125" t="b">
        <v>0</v>
      </c>
      <c r="J218" s="125" t="b">
        <v>0</v>
      </c>
      <c r="K218" s="125" t="b">
        <v>0</v>
      </c>
      <c r="L218" s="125" t="b">
        <v>0</v>
      </c>
    </row>
    <row r="219" spans="1:12" ht="15">
      <c r="A219" s="127" t="s">
        <v>1719</v>
      </c>
      <c r="B219" s="126" t="s">
        <v>1759</v>
      </c>
      <c r="C219" s="125">
        <v>2</v>
      </c>
      <c r="D219" s="129">
        <v>0.007726656880506181</v>
      </c>
      <c r="E219" s="129">
        <v>2.162862993321926</v>
      </c>
      <c r="F219" s="125" t="s">
        <v>1228</v>
      </c>
      <c r="G219" s="125" t="b">
        <v>0</v>
      </c>
      <c r="H219" s="125" t="b">
        <v>0</v>
      </c>
      <c r="I219" s="125" t="b">
        <v>0</v>
      </c>
      <c r="J219" s="125" t="b">
        <v>0</v>
      </c>
      <c r="K219" s="125" t="b">
        <v>0</v>
      </c>
      <c r="L219" s="125" t="b">
        <v>0</v>
      </c>
    </row>
    <row r="220" spans="1:12" ht="15">
      <c r="A220" s="127" t="s">
        <v>1826</v>
      </c>
      <c r="B220" s="126" t="s">
        <v>1852</v>
      </c>
      <c r="C220" s="125">
        <v>2</v>
      </c>
      <c r="D220" s="129">
        <v>0.007726656880506181</v>
      </c>
      <c r="E220" s="129">
        <v>2.162862993321926</v>
      </c>
      <c r="F220" s="125" t="s">
        <v>1228</v>
      </c>
      <c r="G220" s="125" t="b">
        <v>0</v>
      </c>
      <c r="H220" s="125" t="b">
        <v>0</v>
      </c>
      <c r="I220" s="125" t="b">
        <v>0</v>
      </c>
      <c r="J220" s="125" t="b">
        <v>0</v>
      </c>
      <c r="K220" s="125" t="b">
        <v>0</v>
      </c>
      <c r="L220" s="125" t="b">
        <v>0</v>
      </c>
    </row>
    <row r="221" spans="1:12" ht="15">
      <c r="A221" s="127" t="s">
        <v>1807</v>
      </c>
      <c r="B221" s="126" t="s">
        <v>1734</v>
      </c>
      <c r="C221" s="125">
        <v>2</v>
      </c>
      <c r="D221" s="129">
        <v>0.007726656880506181</v>
      </c>
      <c r="E221" s="129">
        <v>2.162862993321926</v>
      </c>
      <c r="F221" s="125" t="s">
        <v>1228</v>
      </c>
      <c r="G221" s="125" t="b">
        <v>0</v>
      </c>
      <c r="H221" s="125" t="b">
        <v>0</v>
      </c>
      <c r="I221" s="125" t="b">
        <v>0</v>
      </c>
      <c r="J221" s="125" t="b">
        <v>0</v>
      </c>
      <c r="K221" s="125" t="b">
        <v>0</v>
      </c>
      <c r="L221" s="125" t="b">
        <v>0</v>
      </c>
    </row>
    <row r="222" spans="1:12" ht="15">
      <c r="A222" s="127" t="s">
        <v>1777</v>
      </c>
      <c r="B222" s="126" t="s">
        <v>1816</v>
      </c>
      <c r="C222" s="125">
        <v>2</v>
      </c>
      <c r="D222" s="129">
        <v>0.007726656880506181</v>
      </c>
      <c r="E222" s="129">
        <v>2.162862993321926</v>
      </c>
      <c r="F222" s="125" t="s">
        <v>1228</v>
      </c>
      <c r="G222" s="125" t="b">
        <v>0</v>
      </c>
      <c r="H222" s="125" t="b">
        <v>0</v>
      </c>
      <c r="I222" s="125" t="b">
        <v>0</v>
      </c>
      <c r="J222" s="125" t="b">
        <v>0</v>
      </c>
      <c r="K222" s="125" t="b">
        <v>0</v>
      </c>
      <c r="L222" s="125" t="b">
        <v>0</v>
      </c>
    </row>
    <row r="223" spans="1:12" ht="15">
      <c r="A223" s="127" t="s">
        <v>1571</v>
      </c>
      <c r="B223" s="126" t="s">
        <v>1811</v>
      </c>
      <c r="C223" s="125">
        <v>2</v>
      </c>
      <c r="D223" s="129">
        <v>0.007726656880506181</v>
      </c>
      <c r="E223" s="129">
        <v>1.8618329976579449</v>
      </c>
      <c r="F223" s="125" t="s">
        <v>1228</v>
      </c>
      <c r="G223" s="125" t="b">
        <v>0</v>
      </c>
      <c r="H223" s="125" t="b">
        <v>0</v>
      </c>
      <c r="I223" s="125" t="b">
        <v>0</v>
      </c>
      <c r="J223" s="125" t="b">
        <v>0</v>
      </c>
      <c r="K223" s="125" t="b">
        <v>0</v>
      </c>
      <c r="L223" s="125" t="b">
        <v>0</v>
      </c>
    </row>
    <row r="224" spans="1:12" ht="15">
      <c r="A224" s="127" t="s">
        <v>1732</v>
      </c>
      <c r="B224" s="126" t="s">
        <v>1795</v>
      </c>
      <c r="C224" s="125">
        <v>2</v>
      </c>
      <c r="D224" s="129">
        <v>0.007726656880506181</v>
      </c>
      <c r="E224" s="129">
        <v>2.162862993321926</v>
      </c>
      <c r="F224" s="125" t="s">
        <v>1228</v>
      </c>
      <c r="G224" s="125" t="b">
        <v>0</v>
      </c>
      <c r="H224" s="125" t="b">
        <v>0</v>
      </c>
      <c r="I224" s="125" t="b">
        <v>0</v>
      </c>
      <c r="J224" s="125" t="b">
        <v>0</v>
      </c>
      <c r="K224" s="125" t="b">
        <v>0</v>
      </c>
      <c r="L224" s="125" t="b">
        <v>0</v>
      </c>
    </row>
    <row r="225" spans="1:12" ht="15">
      <c r="A225" s="127" t="s">
        <v>1843</v>
      </c>
      <c r="B225" s="126" t="s">
        <v>1861</v>
      </c>
      <c r="C225" s="125">
        <v>2</v>
      </c>
      <c r="D225" s="129">
        <v>0.007726656880506181</v>
      </c>
      <c r="E225" s="129">
        <v>2.162862993321926</v>
      </c>
      <c r="F225" s="125" t="s">
        <v>1228</v>
      </c>
      <c r="G225" s="125" t="b">
        <v>0</v>
      </c>
      <c r="H225" s="125" t="b">
        <v>0</v>
      </c>
      <c r="I225" s="125" t="b">
        <v>0</v>
      </c>
      <c r="J225" s="125" t="b">
        <v>0</v>
      </c>
      <c r="K225" s="125" t="b">
        <v>0</v>
      </c>
      <c r="L225" s="125" t="b">
        <v>0</v>
      </c>
    </row>
    <row r="226" spans="1:12" ht="15">
      <c r="A226" s="127" t="s">
        <v>1797</v>
      </c>
      <c r="B226" s="126" t="s">
        <v>1736</v>
      </c>
      <c r="C226" s="125">
        <v>2</v>
      </c>
      <c r="D226" s="129">
        <v>0.007726656880506181</v>
      </c>
      <c r="E226" s="129">
        <v>2.162862993321926</v>
      </c>
      <c r="F226" s="125" t="s">
        <v>1228</v>
      </c>
      <c r="G226" s="125" t="b">
        <v>0</v>
      </c>
      <c r="H226" s="125" t="b">
        <v>0</v>
      </c>
      <c r="I226" s="125" t="b">
        <v>0</v>
      </c>
      <c r="J226" s="125" t="b">
        <v>0</v>
      </c>
      <c r="K226" s="125" t="b">
        <v>0</v>
      </c>
      <c r="L226" s="125" t="b">
        <v>0</v>
      </c>
    </row>
    <row r="227" spans="1:12" ht="15">
      <c r="A227" s="127" t="s">
        <v>1740</v>
      </c>
      <c r="B227" s="126" t="s">
        <v>1849</v>
      </c>
      <c r="C227" s="125">
        <v>2</v>
      </c>
      <c r="D227" s="129">
        <v>0.007726656880506181</v>
      </c>
      <c r="E227" s="129">
        <v>2.162862993321926</v>
      </c>
      <c r="F227" s="125" t="s">
        <v>1228</v>
      </c>
      <c r="G227" s="125" t="b">
        <v>0</v>
      </c>
      <c r="H227" s="125" t="b">
        <v>0</v>
      </c>
      <c r="I227" s="125" t="b">
        <v>0</v>
      </c>
      <c r="J227" s="125" t="b">
        <v>0</v>
      </c>
      <c r="K227" s="125" t="b">
        <v>0</v>
      </c>
      <c r="L227" s="125" t="b">
        <v>0</v>
      </c>
    </row>
    <row r="228" spans="1:12" ht="15">
      <c r="A228" s="127" t="s">
        <v>1784</v>
      </c>
      <c r="B228" s="126" t="s">
        <v>1761</v>
      </c>
      <c r="C228" s="125">
        <v>2</v>
      </c>
      <c r="D228" s="129">
        <v>0.007726656880506181</v>
      </c>
      <c r="E228" s="129">
        <v>2.162862993321926</v>
      </c>
      <c r="F228" s="125" t="s">
        <v>1228</v>
      </c>
      <c r="G228" s="125" t="b">
        <v>0</v>
      </c>
      <c r="H228" s="125" t="b">
        <v>0</v>
      </c>
      <c r="I228" s="125" t="b">
        <v>0</v>
      </c>
      <c r="J228" s="125" t="b">
        <v>0</v>
      </c>
      <c r="K228" s="125" t="b">
        <v>0</v>
      </c>
      <c r="L228" s="125" t="b">
        <v>0</v>
      </c>
    </row>
    <row r="229" spans="1:12" ht="15">
      <c r="A229" s="127" t="s">
        <v>1860</v>
      </c>
      <c r="B229" s="126" t="s">
        <v>1728</v>
      </c>
      <c r="C229" s="125">
        <v>2</v>
      </c>
      <c r="D229" s="129">
        <v>0.007726656880506181</v>
      </c>
      <c r="E229" s="129">
        <v>2.162862993321926</v>
      </c>
      <c r="F229" s="125" t="s">
        <v>1228</v>
      </c>
      <c r="G229" s="125" t="b">
        <v>0</v>
      </c>
      <c r="H229" s="125" t="b">
        <v>0</v>
      </c>
      <c r="I229" s="125" t="b">
        <v>0</v>
      </c>
      <c r="J229" s="125" t="b">
        <v>0</v>
      </c>
      <c r="K229" s="125" t="b">
        <v>0</v>
      </c>
      <c r="L229" s="125" t="b">
        <v>0</v>
      </c>
    </row>
    <row r="230" spans="1:12" ht="15">
      <c r="A230" s="127" t="s">
        <v>1846</v>
      </c>
      <c r="B230" s="126" t="s">
        <v>1741</v>
      </c>
      <c r="C230" s="125">
        <v>2</v>
      </c>
      <c r="D230" s="129">
        <v>0.007726656880506181</v>
      </c>
      <c r="E230" s="129">
        <v>2.162862993321926</v>
      </c>
      <c r="F230" s="125" t="s">
        <v>1228</v>
      </c>
      <c r="G230" s="125" t="b">
        <v>0</v>
      </c>
      <c r="H230" s="125" t="b">
        <v>0</v>
      </c>
      <c r="I230" s="125" t="b">
        <v>0</v>
      </c>
      <c r="J230" s="125" t="b">
        <v>0</v>
      </c>
      <c r="K230" s="125" t="b">
        <v>0</v>
      </c>
      <c r="L230" s="125" t="b">
        <v>0</v>
      </c>
    </row>
    <row r="231" spans="1:12" ht="15">
      <c r="A231" s="127" t="s">
        <v>1805</v>
      </c>
      <c r="B231" s="126" t="s">
        <v>1720</v>
      </c>
      <c r="C231" s="125">
        <v>2</v>
      </c>
      <c r="D231" s="129">
        <v>0.007726656880506181</v>
      </c>
      <c r="E231" s="129">
        <v>2.162862993321926</v>
      </c>
      <c r="F231" s="125" t="s">
        <v>1228</v>
      </c>
      <c r="G231" s="125" t="b">
        <v>0</v>
      </c>
      <c r="H231" s="125" t="b">
        <v>0</v>
      </c>
      <c r="I231" s="125" t="b">
        <v>0</v>
      </c>
      <c r="J231" s="125" t="b">
        <v>0</v>
      </c>
      <c r="K231" s="125" t="b">
        <v>0</v>
      </c>
      <c r="L231" s="125" t="b">
        <v>0</v>
      </c>
    </row>
    <row r="232" spans="1:12" ht="15">
      <c r="A232" s="127" t="s">
        <v>1748</v>
      </c>
      <c r="B232" s="126" t="s">
        <v>1797</v>
      </c>
      <c r="C232" s="125">
        <v>2</v>
      </c>
      <c r="D232" s="129">
        <v>0.007726656880506181</v>
      </c>
      <c r="E232" s="129">
        <v>2.162862993321926</v>
      </c>
      <c r="F232" s="125" t="s">
        <v>1228</v>
      </c>
      <c r="G232" s="125" t="b">
        <v>0</v>
      </c>
      <c r="H232" s="125" t="b">
        <v>0</v>
      </c>
      <c r="I232" s="125" t="b">
        <v>0</v>
      </c>
      <c r="J232" s="125" t="b">
        <v>0</v>
      </c>
      <c r="K232" s="125" t="b">
        <v>0</v>
      </c>
      <c r="L232" s="125" t="b">
        <v>0</v>
      </c>
    </row>
    <row r="233" spans="1:12" ht="15">
      <c r="A233" s="127" t="s">
        <v>1706</v>
      </c>
      <c r="B233" s="126" t="s">
        <v>1814</v>
      </c>
      <c r="C233" s="125">
        <v>2</v>
      </c>
      <c r="D233" s="129">
        <v>0.007726656880506181</v>
      </c>
      <c r="E233" s="129">
        <v>2.162862993321926</v>
      </c>
      <c r="F233" s="125" t="s">
        <v>1228</v>
      </c>
      <c r="G233" s="125" t="b">
        <v>0</v>
      </c>
      <c r="H233" s="125" t="b">
        <v>0</v>
      </c>
      <c r="I233" s="125" t="b">
        <v>0</v>
      </c>
      <c r="J233" s="125" t="b">
        <v>0</v>
      </c>
      <c r="K233" s="125" t="b">
        <v>0</v>
      </c>
      <c r="L233" s="125" t="b">
        <v>0</v>
      </c>
    </row>
    <row r="234" spans="1:12" ht="15">
      <c r="A234" s="127" t="s">
        <v>1555</v>
      </c>
      <c r="B234" s="126" t="s">
        <v>1804</v>
      </c>
      <c r="C234" s="125">
        <v>2</v>
      </c>
      <c r="D234" s="129">
        <v>0.007726656880506181</v>
      </c>
      <c r="E234" s="129">
        <v>1.6857417386022637</v>
      </c>
      <c r="F234" s="125" t="s">
        <v>1228</v>
      </c>
      <c r="G234" s="125" t="b">
        <v>0</v>
      </c>
      <c r="H234" s="125" t="b">
        <v>0</v>
      </c>
      <c r="I234" s="125" t="b">
        <v>0</v>
      </c>
      <c r="J234" s="125" t="b">
        <v>0</v>
      </c>
      <c r="K234" s="125" t="b">
        <v>0</v>
      </c>
      <c r="L234" s="125" t="b">
        <v>0</v>
      </c>
    </row>
    <row r="235" spans="1:12" ht="15">
      <c r="A235" s="127" t="s">
        <v>1725</v>
      </c>
      <c r="B235" s="126" t="s">
        <v>1846</v>
      </c>
      <c r="C235" s="125">
        <v>2</v>
      </c>
      <c r="D235" s="129">
        <v>0.007726656880506181</v>
      </c>
      <c r="E235" s="129">
        <v>2.162862993321926</v>
      </c>
      <c r="F235" s="125" t="s">
        <v>1228</v>
      </c>
      <c r="G235" s="125" t="b">
        <v>0</v>
      </c>
      <c r="H235" s="125" t="b">
        <v>0</v>
      </c>
      <c r="I235" s="125" t="b">
        <v>0</v>
      </c>
      <c r="J235" s="125" t="b">
        <v>0</v>
      </c>
      <c r="K235" s="125" t="b">
        <v>0</v>
      </c>
      <c r="L235" s="125" t="b">
        <v>0</v>
      </c>
    </row>
    <row r="236" spans="1:12" ht="15">
      <c r="A236" s="127" t="s">
        <v>1849</v>
      </c>
      <c r="B236" s="126" t="s">
        <v>1826</v>
      </c>
      <c r="C236" s="125">
        <v>2</v>
      </c>
      <c r="D236" s="129">
        <v>0.007726656880506181</v>
      </c>
      <c r="E236" s="129">
        <v>2.162862993321926</v>
      </c>
      <c r="F236" s="125" t="s">
        <v>1228</v>
      </c>
      <c r="G236" s="125" t="b">
        <v>0</v>
      </c>
      <c r="H236" s="125" t="b">
        <v>0</v>
      </c>
      <c r="I236" s="125" t="b">
        <v>0</v>
      </c>
      <c r="J236" s="125" t="b">
        <v>0</v>
      </c>
      <c r="K236" s="125" t="b">
        <v>0</v>
      </c>
      <c r="L236" s="125" t="b">
        <v>0</v>
      </c>
    </row>
    <row r="237" spans="1:12" ht="15">
      <c r="A237" s="127" t="s">
        <v>1764</v>
      </c>
      <c r="B237" s="126" t="s">
        <v>1778</v>
      </c>
      <c r="C237" s="125">
        <v>2</v>
      </c>
      <c r="D237" s="129">
        <v>0.007726656880506181</v>
      </c>
      <c r="E237" s="129">
        <v>2.162862993321926</v>
      </c>
      <c r="F237" s="125" t="s">
        <v>1228</v>
      </c>
      <c r="G237" s="125" t="b">
        <v>0</v>
      </c>
      <c r="H237" s="125" t="b">
        <v>0</v>
      </c>
      <c r="I237" s="125" t="b">
        <v>0</v>
      </c>
      <c r="J237" s="125" t="b">
        <v>0</v>
      </c>
      <c r="K237" s="125" t="b">
        <v>0</v>
      </c>
      <c r="L237" s="125" t="b">
        <v>0</v>
      </c>
    </row>
    <row r="238" spans="1:12" ht="15">
      <c r="A238" s="127" t="s">
        <v>1851</v>
      </c>
      <c r="B238" s="126" t="s">
        <v>1744</v>
      </c>
      <c r="C238" s="125">
        <v>2</v>
      </c>
      <c r="D238" s="129">
        <v>0.007726656880506181</v>
      </c>
      <c r="E238" s="129">
        <v>2.162862993321926</v>
      </c>
      <c r="F238" s="125" t="s">
        <v>1228</v>
      </c>
      <c r="G238" s="125" t="b">
        <v>0</v>
      </c>
      <c r="H238" s="125" t="b">
        <v>0</v>
      </c>
      <c r="I238" s="125" t="b">
        <v>0</v>
      </c>
      <c r="J238" s="125" t="b">
        <v>0</v>
      </c>
      <c r="K238" s="125" t="b">
        <v>0</v>
      </c>
      <c r="L238" s="125" t="b">
        <v>0</v>
      </c>
    </row>
    <row r="239" spans="1:12" ht="15">
      <c r="A239" s="127" t="s">
        <v>1775</v>
      </c>
      <c r="B239" s="126" t="s">
        <v>1706</v>
      </c>
      <c r="C239" s="125">
        <v>2</v>
      </c>
      <c r="D239" s="129">
        <v>0.007726656880506181</v>
      </c>
      <c r="E239" s="129">
        <v>2.162862993321926</v>
      </c>
      <c r="F239" s="125" t="s">
        <v>1228</v>
      </c>
      <c r="G239" s="125" t="b">
        <v>0</v>
      </c>
      <c r="H239" s="125" t="b">
        <v>0</v>
      </c>
      <c r="I239" s="125" t="b">
        <v>0</v>
      </c>
      <c r="J239" s="125" t="b">
        <v>0</v>
      </c>
      <c r="K239" s="125" t="b">
        <v>0</v>
      </c>
      <c r="L239" s="125" t="b">
        <v>0</v>
      </c>
    </row>
    <row r="240" spans="1:12" ht="15">
      <c r="A240" s="127" t="s">
        <v>530</v>
      </c>
      <c r="B240" s="126" t="s">
        <v>1571</v>
      </c>
      <c r="C240" s="125">
        <v>2</v>
      </c>
      <c r="D240" s="129">
        <v>0.007726656880506181</v>
      </c>
      <c r="E240" s="129">
        <v>1.6857417386022637</v>
      </c>
      <c r="F240" s="125" t="s">
        <v>1228</v>
      </c>
      <c r="G240" s="125" t="b">
        <v>0</v>
      </c>
      <c r="H240" s="125" t="b">
        <v>0</v>
      </c>
      <c r="I240" s="125" t="b">
        <v>0</v>
      </c>
      <c r="J240" s="125" t="b">
        <v>0</v>
      </c>
      <c r="K240" s="125" t="b">
        <v>0</v>
      </c>
      <c r="L240" s="125" t="b">
        <v>0</v>
      </c>
    </row>
    <row r="241" spans="1:12" ht="15">
      <c r="A241" s="127" t="s">
        <v>1781</v>
      </c>
      <c r="B241" s="126" t="s">
        <v>1830</v>
      </c>
      <c r="C241" s="125">
        <v>2</v>
      </c>
      <c r="D241" s="129">
        <v>0.007726656880506181</v>
      </c>
      <c r="E241" s="129">
        <v>2.162862993321926</v>
      </c>
      <c r="F241" s="125" t="s">
        <v>1228</v>
      </c>
      <c r="G241" s="125" t="b">
        <v>0</v>
      </c>
      <c r="H241" s="125" t="b">
        <v>0</v>
      </c>
      <c r="I241" s="125" t="b">
        <v>0</v>
      </c>
      <c r="J241" s="125" t="b">
        <v>0</v>
      </c>
      <c r="K241" s="125" t="b">
        <v>0</v>
      </c>
      <c r="L241" s="125" t="b">
        <v>0</v>
      </c>
    </row>
    <row r="242" spans="1:12" ht="15">
      <c r="A242" s="127" t="s">
        <v>1823</v>
      </c>
      <c r="B242" s="126" t="s">
        <v>1698</v>
      </c>
      <c r="C242" s="125">
        <v>2</v>
      </c>
      <c r="D242" s="129">
        <v>0.007726656880506181</v>
      </c>
      <c r="E242" s="129">
        <v>2.162862993321926</v>
      </c>
      <c r="F242" s="125" t="s">
        <v>1228</v>
      </c>
      <c r="G242" s="125" t="b">
        <v>0</v>
      </c>
      <c r="H242" s="125" t="b">
        <v>0</v>
      </c>
      <c r="I242" s="125" t="b">
        <v>0</v>
      </c>
      <c r="J242" s="125" t="b">
        <v>0</v>
      </c>
      <c r="K242" s="125" t="b">
        <v>0</v>
      </c>
      <c r="L242" s="125" t="b">
        <v>0</v>
      </c>
    </row>
    <row r="243" spans="1:12" ht="15">
      <c r="A243" s="127" t="s">
        <v>1715</v>
      </c>
      <c r="B243" s="126" t="s">
        <v>1850</v>
      </c>
      <c r="C243" s="125">
        <v>2</v>
      </c>
      <c r="D243" s="129">
        <v>0.007726656880506181</v>
      </c>
      <c r="E243" s="129">
        <v>2.162862993321926</v>
      </c>
      <c r="F243" s="125" t="s">
        <v>1228</v>
      </c>
      <c r="G243" s="125" t="b">
        <v>0</v>
      </c>
      <c r="H243" s="125" t="b">
        <v>0</v>
      </c>
      <c r="I243" s="125" t="b">
        <v>0</v>
      </c>
      <c r="J243" s="125" t="b">
        <v>0</v>
      </c>
      <c r="K243" s="125" t="b">
        <v>0</v>
      </c>
      <c r="L243" s="125" t="b">
        <v>0</v>
      </c>
    </row>
    <row r="244" spans="1:12" ht="15">
      <c r="A244" s="127" t="s">
        <v>1789</v>
      </c>
      <c r="B244" s="126" t="s">
        <v>1822</v>
      </c>
      <c r="C244" s="125">
        <v>2</v>
      </c>
      <c r="D244" s="129">
        <v>0.007726656880506181</v>
      </c>
      <c r="E244" s="129">
        <v>2.162862993321926</v>
      </c>
      <c r="F244" s="125" t="s">
        <v>1228</v>
      </c>
      <c r="G244" s="125" t="b">
        <v>0</v>
      </c>
      <c r="H244" s="125" t="b">
        <v>0</v>
      </c>
      <c r="I244" s="125" t="b">
        <v>0</v>
      </c>
      <c r="J244" s="125" t="b">
        <v>0</v>
      </c>
      <c r="K244" s="125" t="b">
        <v>0</v>
      </c>
      <c r="L244" s="125" t="b">
        <v>0</v>
      </c>
    </row>
    <row r="245" spans="1:12" ht="15">
      <c r="A245" s="127" t="s">
        <v>1698</v>
      </c>
      <c r="B245" s="126" t="s">
        <v>1809</v>
      </c>
      <c r="C245" s="125">
        <v>2</v>
      </c>
      <c r="D245" s="129">
        <v>0.007726656880506181</v>
      </c>
      <c r="E245" s="129">
        <v>2.162862993321926</v>
      </c>
      <c r="F245" s="125" t="s">
        <v>1228</v>
      </c>
      <c r="G245" s="125" t="b">
        <v>0</v>
      </c>
      <c r="H245" s="125" t="b">
        <v>0</v>
      </c>
      <c r="I245" s="125" t="b">
        <v>0</v>
      </c>
      <c r="J245" s="125" t="b">
        <v>0</v>
      </c>
      <c r="K245" s="125" t="b">
        <v>0</v>
      </c>
      <c r="L245" s="125" t="b">
        <v>0</v>
      </c>
    </row>
    <row r="246" spans="1:12" ht="15">
      <c r="A246" s="127" t="s">
        <v>1861</v>
      </c>
      <c r="B246" s="126" t="s">
        <v>1739</v>
      </c>
      <c r="C246" s="125">
        <v>2</v>
      </c>
      <c r="D246" s="129">
        <v>0.007726656880506181</v>
      </c>
      <c r="E246" s="129">
        <v>2.162862993321926</v>
      </c>
      <c r="F246" s="125" t="s">
        <v>1228</v>
      </c>
      <c r="G246" s="125" t="b">
        <v>0</v>
      </c>
      <c r="H246" s="125" t="b">
        <v>0</v>
      </c>
      <c r="I246" s="125" t="b">
        <v>0</v>
      </c>
      <c r="J246" s="125" t="b">
        <v>0</v>
      </c>
      <c r="K246" s="125" t="b">
        <v>0</v>
      </c>
      <c r="L246" s="125" t="b">
        <v>0</v>
      </c>
    </row>
    <row r="247" spans="1:12" ht="15">
      <c r="A247" s="127" t="s">
        <v>1798</v>
      </c>
      <c r="B247" s="126" t="s">
        <v>1695</v>
      </c>
      <c r="C247" s="125">
        <v>2</v>
      </c>
      <c r="D247" s="129">
        <v>0.007726656880506181</v>
      </c>
      <c r="E247" s="129">
        <v>2.162862993321926</v>
      </c>
      <c r="F247" s="125" t="s">
        <v>1228</v>
      </c>
      <c r="G247" s="125" t="b">
        <v>0</v>
      </c>
      <c r="H247" s="125" t="b">
        <v>0</v>
      </c>
      <c r="I247" s="125" t="b">
        <v>0</v>
      </c>
      <c r="J247" s="125" t="b">
        <v>0</v>
      </c>
      <c r="K247" s="125" t="b">
        <v>0</v>
      </c>
      <c r="L247" s="125" t="b">
        <v>0</v>
      </c>
    </row>
    <row r="248" spans="1:12" ht="15">
      <c r="A248" s="127" t="s">
        <v>1770</v>
      </c>
      <c r="B248" s="126" t="s">
        <v>1851</v>
      </c>
      <c r="C248" s="125">
        <v>2</v>
      </c>
      <c r="D248" s="129">
        <v>0.007726656880506181</v>
      </c>
      <c r="E248" s="129">
        <v>2.162862993321926</v>
      </c>
      <c r="F248" s="125" t="s">
        <v>1228</v>
      </c>
      <c r="G248" s="125" t="b">
        <v>0</v>
      </c>
      <c r="H248" s="125" t="b">
        <v>0</v>
      </c>
      <c r="I248" s="125" t="b">
        <v>0</v>
      </c>
      <c r="J248" s="125" t="b">
        <v>0</v>
      </c>
      <c r="K248" s="125" t="b">
        <v>0</v>
      </c>
      <c r="L248" s="125" t="b">
        <v>0</v>
      </c>
    </row>
    <row r="249" spans="1:12" ht="15">
      <c r="A249" s="127" t="s">
        <v>1795</v>
      </c>
      <c r="B249" s="126" t="s">
        <v>1560</v>
      </c>
      <c r="C249" s="125">
        <v>2</v>
      </c>
      <c r="D249" s="129">
        <v>0.007726656880506181</v>
      </c>
      <c r="E249" s="129">
        <v>1.8618329976579449</v>
      </c>
      <c r="F249" s="125" t="s">
        <v>1228</v>
      </c>
      <c r="G249" s="125" t="b">
        <v>0</v>
      </c>
      <c r="H249" s="125" t="b">
        <v>0</v>
      </c>
      <c r="I249" s="125" t="b">
        <v>0</v>
      </c>
      <c r="J249" s="125" t="b">
        <v>0</v>
      </c>
      <c r="K249" s="125" t="b">
        <v>0</v>
      </c>
      <c r="L249" s="125" t="b">
        <v>0</v>
      </c>
    </row>
    <row r="250" spans="1:12" ht="15">
      <c r="A250" s="127" t="s">
        <v>1811</v>
      </c>
      <c r="B250" s="126" t="s">
        <v>1833</v>
      </c>
      <c r="C250" s="125">
        <v>2</v>
      </c>
      <c r="D250" s="129">
        <v>0.007726656880506181</v>
      </c>
      <c r="E250" s="129">
        <v>2.162862993321926</v>
      </c>
      <c r="F250" s="125" t="s">
        <v>1228</v>
      </c>
      <c r="G250" s="125" t="b">
        <v>0</v>
      </c>
      <c r="H250" s="125" t="b">
        <v>0</v>
      </c>
      <c r="I250" s="125" t="b">
        <v>0</v>
      </c>
      <c r="J250" s="125" t="b">
        <v>0</v>
      </c>
      <c r="K250" s="125" t="b">
        <v>0</v>
      </c>
      <c r="L250" s="125" t="b">
        <v>0</v>
      </c>
    </row>
    <row r="251" spans="1:12" ht="15">
      <c r="A251" s="127" t="s">
        <v>1571</v>
      </c>
      <c r="B251" s="126" t="s">
        <v>1812</v>
      </c>
      <c r="C251" s="125">
        <v>2</v>
      </c>
      <c r="D251" s="129">
        <v>0.007726656880506181</v>
      </c>
      <c r="E251" s="129">
        <v>1.8618329976579449</v>
      </c>
      <c r="F251" s="125" t="s">
        <v>1228</v>
      </c>
      <c r="G251" s="125" t="b">
        <v>0</v>
      </c>
      <c r="H251" s="125" t="b">
        <v>0</v>
      </c>
      <c r="I251" s="125" t="b">
        <v>0</v>
      </c>
      <c r="J251" s="125" t="b">
        <v>0</v>
      </c>
      <c r="K251" s="125" t="b">
        <v>0</v>
      </c>
      <c r="L251" s="125" t="b">
        <v>0</v>
      </c>
    </row>
    <row r="252" spans="1:12" ht="15">
      <c r="A252" s="127" t="s">
        <v>1813</v>
      </c>
      <c r="B252" s="126" t="s">
        <v>1792</v>
      </c>
      <c r="C252" s="125">
        <v>2</v>
      </c>
      <c r="D252" s="129">
        <v>0.007726656880506181</v>
      </c>
      <c r="E252" s="129">
        <v>2.162862993321926</v>
      </c>
      <c r="F252" s="125" t="s">
        <v>1228</v>
      </c>
      <c r="G252" s="125" t="b">
        <v>0</v>
      </c>
      <c r="H252" s="125" t="b">
        <v>0</v>
      </c>
      <c r="I252" s="125" t="b">
        <v>0</v>
      </c>
      <c r="J252" s="125" t="b">
        <v>0</v>
      </c>
      <c r="K252" s="125" t="b">
        <v>0</v>
      </c>
      <c r="L252" s="125" t="b">
        <v>0</v>
      </c>
    </row>
    <row r="253" spans="1:12" ht="15">
      <c r="A253" s="127" t="s">
        <v>1818</v>
      </c>
      <c r="B253" s="126" t="s">
        <v>1813</v>
      </c>
      <c r="C253" s="125">
        <v>2</v>
      </c>
      <c r="D253" s="129">
        <v>0.007726656880506181</v>
      </c>
      <c r="E253" s="129">
        <v>2.162862993321926</v>
      </c>
      <c r="F253" s="125" t="s">
        <v>1228</v>
      </c>
      <c r="G253" s="125" t="b">
        <v>0</v>
      </c>
      <c r="H253" s="125" t="b">
        <v>0</v>
      </c>
      <c r="I253" s="125" t="b">
        <v>0</v>
      </c>
      <c r="J253" s="125" t="b">
        <v>0</v>
      </c>
      <c r="K253" s="125" t="b">
        <v>0</v>
      </c>
      <c r="L253" s="125" t="b">
        <v>0</v>
      </c>
    </row>
    <row r="254" spans="1:12" ht="15">
      <c r="A254" s="127" t="s">
        <v>1560</v>
      </c>
      <c r="B254" s="126" t="s">
        <v>1807</v>
      </c>
      <c r="C254" s="125">
        <v>2</v>
      </c>
      <c r="D254" s="129">
        <v>0.007726656880506181</v>
      </c>
      <c r="E254" s="129">
        <v>1.8618329976579449</v>
      </c>
      <c r="F254" s="125" t="s">
        <v>1228</v>
      </c>
      <c r="G254" s="125" t="b">
        <v>0</v>
      </c>
      <c r="H254" s="125" t="b">
        <v>0</v>
      </c>
      <c r="I254" s="125" t="b">
        <v>0</v>
      </c>
      <c r="J254" s="125" t="b">
        <v>0</v>
      </c>
      <c r="K254" s="125" t="b">
        <v>0</v>
      </c>
      <c r="L254" s="125" t="b">
        <v>0</v>
      </c>
    </row>
    <row r="255" spans="1:12" ht="15">
      <c r="A255" s="127" t="s">
        <v>1852</v>
      </c>
      <c r="B255" s="126" t="s">
        <v>1843</v>
      </c>
      <c r="C255" s="125">
        <v>2</v>
      </c>
      <c r="D255" s="129">
        <v>0.007726656880506181</v>
      </c>
      <c r="E255" s="129">
        <v>2.162862993321926</v>
      </c>
      <c r="F255" s="125" t="s">
        <v>1228</v>
      </c>
      <c r="G255" s="125" t="b">
        <v>0</v>
      </c>
      <c r="H255" s="125" t="b">
        <v>0</v>
      </c>
      <c r="I255" s="125" t="b">
        <v>0</v>
      </c>
      <c r="J255" s="125" t="b">
        <v>0</v>
      </c>
      <c r="K255" s="125" t="b">
        <v>0</v>
      </c>
      <c r="L255" s="125" t="b">
        <v>0</v>
      </c>
    </row>
    <row r="256" spans="1:12" ht="15">
      <c r="A256" s="127" t="s">
        <v>1743</v>
      </c>
      <c r="B256" s="126" t="s">
        <v>1686</v>
      </c>
      <c r="C256" s="125">
        <v>2</v>
      </c>
      <c r="D256" s="129">
        <v>0.007726656880506181</v>
      </c>
      <c r="E256" s="129">
        <v>2.162862993321926</v>
      </c>
      <c r="F256" s="125" t="s">
        <v>1228</v>
      </c>
      <c r="G256" s="125" t="b">
        <v>0</v>
      </c>
      <c r="H256" s="125" t="b">
        <v>0</v>
      </c>
      <c r="I256" s="125" t="b">
        <v>0</v>
      </c>
      <c r="J256" s="125" t="b">
        <v>0</v>
      </c>
      <c r="K256" s="125" t="b">
        <v>0</v>
      </c>
      <c r="L256" s="125" t="b">
        <v>0</v>
      </c>
    </row>
    <row r="257" spans="1:12" ht="15">
      <c r="A257" s="127" t="s">
        <v>1833</v>
      </c>
      <c r="B257" s="126" t="s">
        <v>1729</v>
      </c>
      <c r="C257" s="125">
        <v>2</v>
      </c>
      <c r="D257" s="129">
        <v>0.007726656880506181</v>
      </c>
      <c r="E257" s="129">
        <v>2.162862993321926</v>
      </c>
      <c r="F257" s="125" t="s">
        <v>1228</v>
      </c>
      <c r="G257" s="125" t="b">
        <v>0</v>
      </c>
      <c r="H257" s="125" t="b">
        <v>0</v>
      </c>
      <c r="I257" s="125" t="b">
        <v>0</v>
      </c>
      <c r="J257" s="125" t="b">
        <v>0</v>
      </c>
      <c r="K257" s="125" t="b">
        <v>0</v>
      </c>
      <c r="L257" s="125" t="b">
        <v>0</v>
      </c>
    </row>
    <row r="258" spans="1:12" ht="15">
      <c r="A258" s="127" t="s">
        <v>1729</v>
      </c>
      <c r="B258" s="126" t="s">
        <v>1724</v>
      </c>
      <c r="C258" s="125">
        <v>2</v>
      </c>
      <c r="D258" s="129">
        <v>0.007726656880506181</v>
      </c>
      <c r="E258" s="129">
        <v>2.162862993321926</v>
      </c>
      <c r="F258" s="125" t="s">
        <v>1228</v>
      </c>
      <c r="G258" s="125" t="b">
        <v>0</v>
      </c>
      <c r="H258" s="125" t="b">
        <v>0</v>
      </c>
      <c r="I258" s="125" t="b">
        <v>0</v>
      </c>
      <c r="J258" s="125" t="b">
        <v>0</v>
      </c>
      <c r="K258" s="125" t="b">
        <v>0</v>
      </c>
      <c r="L258" s="125" t="b">
        <v>0</v>
      </c>
    </row>
    <row r="259" spans="1:12" ht="15">
      <c r="A259" s="127" t="s">
        <v>1724</v>
      </c>
      <c r="B259" s="126" t="s">
        <v>1791</v>
      </c>
      <c r="C259" s="125">
        <v>2</v>
      </c>
      <c r="D259" s="129">
        <v>0.007726656880506181</v>
      </c>
      <c r="E259" s="129">
        <v>2.162862993321926</v>
      </c>
      <c r="F259" s="125" t="s">
        <v>1228</v>
      </c>
      <c r="G259" s="125" t="b">
        <v>0</v>
      </c>
      <c r="H259" s="125" t="b">
        <v>0</v>
      </c>
      <c r="I259" s="125" t="b">
        <v>0</v>
      </c>
      <c r="J259" s="125" t="b">
        <v>0</v>
      </c>
      <c r="K259" s="125" t="b">
        <v>0</v>
      </c>
      <c r="L259" s="125" t="b">
        <v>0</v>
      </c>
    </row>
    <row r="260" spans="1:12" ht="15">
      <c r="A260" s="127" t="s">
        <v>1555</v>
      </c>
      <c r="B260" s="126" t="s">
        <v>1810</v>
      </c>
      <c r="C260" s="125">
        <v>2</v>
      </c>
      <c r="D260" s="129">
        <v>0.007726656880506181</v>
      </c>
      <c r="E260" s="129">
        <v>1.6857417386022637</v>
      </c>
      <c r="F260" s="125" t="s">
        <v>1228</v>
      </c>
      <c r="G260" s="125" t="b">
        <v>0</v>
      </c>
      <c r="H260" s="125" t="b">
        <v>0</v>
      </c>
      <c r="I260" s="125" t="b">
        <v>0</v>
      </c>
      <c r="J260" s="125" t="b">
        <v>0</v>
      </c>
      <c r="K260" s="125" t="b">
        <v>0</v>
      </c>
      <c r="L260" s="125" t="b">
        <v>0</v>
      </c>
    </row>
    <row r="261" spans="1:12" ht="15">
      <c r="A261" s="127" t="s">
        <v>1848</v>
      </c>
      <c r="B261" s="126" t="s">
        <v>1539</v>
      </c>
      <c r="C261" s="125">
        <v>2</v>
      </c>
      <c r="D261" s="129">
        <v>0.007726656880506181</v>
      </c>
      <c r="E261" s="129">
        <v>2.162862993321926</v>
      </c>
      <c r="F261" s="125" t="s">
        <v>1228</v>
      </c>
      <c r="G261" s="125" t="b">
        <v>0</v>
      </c>
      <c r="H261" s="125" t="b">
        <v>0</v>
      </c>
      <c r="I261" s="125" t="b">
        <v>0</v>
      </c>
      <c r="J261" s="125" t="b">
        <v>0</v>
      </c>
      <c r="K261" s="125" t="b">
        <v>0</v>
      </c>
      <c r="L261" s="125" t="b">
        <v>0</v>
      </c>
    </row>
    <row r="262" spans="1:12" ht="15">
      <c r="A262" s="127" t="s">
        <v>1774</v>
      </c>
      <c r="B262" s="126" t="s">
        <v>1782</v>
      </c>
      <c r="C262" s="125">
        <v>2</v>
      </c>
      <c r="D262" s="129">
        <v>0.007726656880506181</v>
      </c>
      <c r="E262" s="129">
        <v>2.162862993321926</v>
      </c>
      <c r="F262" s="125" t="s">
        <v>1228</v>
      </c>
      <c r="G262" s="125" t="b">
        <v>0</v>
      </c>
      <c r="H262" s="125" t="b">
        <v>0</v>
      </c>
      <c r="I262" s="125" t="b">
        <v>0</v>
      </c>
      <c r="J262" s="125" t="b">
        <v>0</v>
      </c>
      <c r="K262" s="125" t="b">
        <v>0</v>
      </c>
      <c r="L262" s="125" t="b">
        <v>0</v>
      </c>
    </row>
    <row r="263" spans="1:12" ht="15">
      <c r="A263" s="127" t="s">
        <v>1806</v>
      </c>
      <c r="B263" s="126" t="s">
        <v>1774</v>
      </c>
      <c r="C263" s="125">
        <v>2</v>
      </c>
      <c r="D263" s="129">
        <v>0.007726656880506181</v>
      </c>
      <c r="E263" s="129">
        <v>2.162862993321926</v>
      </c>
      <c r="F263" s="125" t="s">
        <v>1228</v>
      </c>
      <c r="G263" s="125" t="b">
        <v>0</v>
      </c>
      <c r="H263" s="125" t="b">
        <v>0</v>
      </c>
      <c r="I263" s="125" t="b">
        <v>0</v>
      </c>
      <c r="J263" s="125" t="b">
        <v>0</v>
      </c>
      <c r="K263" s="125" t="b">
        <v>0</v>
      </c>
      <c r="L263" s="125" t="b">
        <v>0</v>
      </c>
    </row>
    <row r="264" spans="1:12" ht="15">
      <c r="A264" s="127" t="s">
        <v>1812</v>
      </c>
      <c r="B264" s="126" t="s">
        <v>1740</v>
      </c>
      <c r="C264" s="125">
        <v>2</v>
      </c>
      <c r="D264" s="129">
        <v>0.007726656880506181</v>
      </c>
      <c r="E264" s="129">
        <v>2.162862993321926</v>
      </c>
      <c r="F264" s="125" t="s">
        <v>1228</v>
      </c>
      <c r="G264" s="125" t="b">
        <v>0</v>
      </c>
      <c r="H264" s="125" t="b">
        <v>0</v>
      </c>
      <c r="I264" s="125" t="b">
        <v>0</v>
      </c>
      <c r="J264" s="125" t="b">
        <v>0</v>
      </c>
      <c r="K264" s="125" t="b">
        <v>0</v>
      </c>
      <c r="L264" s="125" t="b">
        <v>0</v>
      </c>
    </row>
    <row r="265" spans="1:12" ht="15">
      <c r="A265" s="127" t="s">
        <v>1751</v>
      </c>
      <c r="B265" s="126" t="s">
        <v>1818</v>
      </c>
      <c r="C265" s="125">
        <v>2</v>
      </c>
      <c r="D265" s="129">
        <v>0.007726656880506181</v>
      </c>
      <c r="E265" s="129">
        <v>2.162862993321926</v>
      </c>
      <c r="F265" s="125" t="s">
        <v>1228</v>
      </c>
      <c r="G265" s="125" t="b">
        <v>0</v>
      </c>
      <c r="H265" s="125" t="b">
        <v>0</v>
      </c>
      <c r="I265" s="125" t="b">
        <v>0</v>
      </c>
      <c r="J265" s="125" t="b">
        <v>0</v>
      </c>
      <c r="K265" s="125" t="b">
        <v>0</v>
      </c>
      <c r="L265" s="125" t="b">
        <v>0</v>
      </c>
    </row>
    <row r="266" spans="1:12" ht="15">
      <c r="A266" s="127" t="s">
        <v>1802</v>
      </c>
      <c r="B266" s="126" t="s">
        <v>1719</v>
      </c>
      <c r="C266" s="125">
        <v>2</v>
      </c>
      <c r="D266" s="129">
        <v>0.007726656880506181</v>
      </c>
      <c r="E266" s="129">
        <v>2.162862993321926</v>
      </c>
      <c r="F266" s="125" t="s">
        <v>1228</v>
      </c>
      <c r="G266" s="125" t="b">
        <v>0</v>
      </c>
      <c r="H266" s="125" t="b">
        <v>0</v>
      </c>
      <c r="I266" s="125" t="b">
        <v>0</v>
      </c>
      <c r="J266" s="125" t="b">
        <v>0</v>
      </c>
      <c r="K266" s="125" t="b">
        <v>0</v>
      </c>
      <c r="L266" s="125" t="b">
        <v>0</v>
      </c>
    </row>
    <row r="267" spans="1:12" ht="15">
      <c r="A267" s="127" t="s">
        <v>1809</v>
      </c>
      <c r="B267" s="126" t="s">
        <v>1856</v>
      </c>
      <c r="C267" s="125">
        <v>2</v>
      </c>
      <c r="D267" s="129">
        <v>0.007726656880506181</v>
      </c>
      <c r="E267" s="129">
        <v>2.162862993321926</v>
      </c>
      <c r="F267" s="125" t="s">
        <v>1228</v>
      </c>
      <c r="G267" s="125" t="b">
        <v>0</v>
      </c>
      <c r="H267" s="125" t="b">
        <v>0</v>
      </c>
      <c r="I267" s="125" t="b">
        <v>0</v>
      </c>
      <c r="J267" s="125" t="b">
        <v>0</v>
      </c>
      <c r="K267" s="125" t="b">
        <v>0</v>
      </c>
      <c r="L267" s="125" t="b">
        <v>0</v>
      </c>
    </row>
    <row r="268" spans="1:12" ht="15">
      <c r="A268" s="127" t="s">
        <v>1792</v>
      </c>
      <c r="B268" s="126" t="s">
        <v>1715</v>
      </c>
      <c r="C268" s="125">
        <v>2</v>
      </c>
      <c r="D268" s="129">
        <v>0.007726656880506181</v>
      </c>
      <c r="E268" s="129">
        <v>2.162862993321926</v>
      </c>
      <c r="F268" s="125" t="s">
        <v>1228</v>
      </c>
      <c r="G268" s="125" t="b">
        <v>0</v>
      </c>
      <c r="H268" s="125" t="b">
        <v>0</v>
      </c>
      <c r="I268" s="125" t="b">
        <v>0</v>
      </c>
      <c r="J268" s="125" t="b">
        <v>0</v>
      </c>
      <c r="K268" s="125" t="b">
        <v>0</v>
      </c>
      <c r="L268" s="125" t="b">
        <v>0</v>
      </c>
    </row>
    <row r="269" spans="1:12" ht="15">
      <c r="A269" s="127" t="s">
        <v>1728</v>
      </c>
      <c r="B269" s="126" t="s">
        <v>1829</v>
      </c>
      <c r="C269" s="125">
        <v>2</v>
      </c>
      <c r="D269" s="129">
        <v>0.007726656880506181</v>
      </c>
      <c r="E269" s="129">
        <v>2.162862993321926</v>
      </c>
      <c r="F269" s="125" t="s">
        <v>1228</v>
      </c>
      <c r="G269" s="125" t="b">
        <v>0</v>
      </c>
      <c r="H269" s="125" t="b">
        <v>0</v>
      </c>
      <c r="I269" s="125" t="b">
        <v>0</v>
      </c>
      <c r="J269" s="125" t="b">
        <v>0</v>
      </c>
      <c r="K269" s="125" t="b">
        <v>0</v>
      </c>
      <c r="L269" s="125" t="b">
        <v>0</v>
      </c>
    </row>
    <row r="270" spans="1:12" ht="15">
      <c r="A270" s="127" t="s">
        <v>1817</v>
      </c>
      <c r="B270" s="126" t="s">
        <v>1798</v>
      </c>
      <c r="C270" s="125">
        <v>2</v>
      </c>
      <c r="D270" s="129">
        <v>0.007726656880506181</v>
      </c>
      <c r="E270" s="129">
        <v>2.162862993321926</v>
      </c>
      <c r="F270" s="125" t="s">
        <v>1228</v>
      </c>
      <c r="G270" s="125" t="b">
        <v>0</v>
      </c>
      <c r="H270" s="125" t="b">
        <v>0</v>
      </c>
      <c r="I270" s="125" t="b">
        <v>0</v>
      </c>
      <c r="J270" s="125" t="b">
        <v>0</v>
      </c>
      <c r="K270" s="125" t="b">
        <v>0</v>
      </c>
      <c r="L270" s="125" t="b">
        <v>0</v>
      </c>
    </row>
    <row r="271" spans="1:12" ht="15">
      <c r="A271" s="127" t="s">
        <v>1821</v>
      </c>
      <c r="B271" s="126" t="s">
        <v>1828</v>
      </c>
      <c r="C271" s="125">
        <v>2</v>
      </c>
      <c r="D271" s="129">
        <v>0.007726656880506181</v>
      </c>
      <c r="E271" s="129">
        <v>2.162862993321926</v>
      </c>
      <c r="F271" s="125" t="s">
        <v>1228</v>
      </c>
      <c r="G271" s="125" t="b">
        <v>0</v>
      </c>
      <c r="H271" s="125" t="b">
        <v>0</v>
      </c>
      <c r="I271" s="125" t="b">
        <v>0</v>
      </c>
      <c r="J271" s="125" t="b">
        <v>0</v>
      </c>
      <c r="K271" s="125" t="b">
        <v>0</v>
      </c>
      <c r="L271" s="125" t="b">
        <v>0</v>
      </c>
    </row>
    <row r="272" spans="1:12" ht="15">
      <c r="A272" s="127" t="s">
        <v>1741</v>
      </c>
      <c r="B272" s="126" t="s">
        <v>1745</v>
      </c>
      <c r="C272" s="125">
        <v>2</v>
      </c>
      <c r="D272" s="129">
        <v>0.007726656880506181</v>
      </c>
      <c r="E272" s="129">
        <v>2.162862993321926</v>
      </c>
      <c r="F272" s="125" t="s">
        <v>1228</v>
      </c>
      <c r="G272" s="125" t="b">
        <v>0</v>
      </c>
      <c r="H272" s="125" t="b">
        <v>0</v>
      </c>
      <c r="I272" s="125" t="b">
        <v>0</v>
      </c>
      <c r="J272" s="125" t="b">
        <v>0</v>
      </c>
      <c r="K272" s="125" t="b">
        <v>0</v>
      </c>
      <c r="L272" s="125" t="b">
        <v>0</v>
      </c>
    </row>
    <row r="273" spans="1:12" ht="15">
      <c r="A273" s="127" t="s">
        <v>1739</v>
      </c>
      <c r="B273" s="126" t="s">
        <v>1835</v>
      </c>
      <c r="C273" s="125">
        <v>2</v>
      </c>
      <c r="D273" s="129">
        <v>0.007726656880506181</v>
      </c>
      <c r="E273" s="129">
        <v>2.162862993321926</v>
      </c>
      <c r="F273" s="125" t="s">
        <v>1228</v>
      </c>
      <c r="G273" s="125" t="b">
        <v>0</v>
      </c>
      <c r="H273" s="125" t="b">
        <v>0</v>
      </c>
      <c r="I273" s="125" t="b">
        <v>0</v>
      </c>
      <c r="J273" s="125" t="b">
        <v>0</v>
      </c>
      <c r="K273" s="125" t="b">
        <v>0</v>
      </c>
      <c r="L273" s="125" t="b">
        <v>0</v>
      </c>
    </row>
    <row r="274" spans="1:12" ht="15">
      <c r="A274" s="127" t="s">
        <v>1737</v>
      </c>
      <c r="B274" s="126" t="s">
        <v>1821</v>
      </c>
      <c r="C274" s="125">
        <v>2</v>
      </c>
      <c r="D274" s="129">
        <v>0.007726656880506181</v>
      </c>
      <c r="E274" s="129">
        <v>2.162862993321926</v>
      </c>
      <c r="F274" s="125" t="s">
        <v>1228</v>
      </c>
      <c r="G274" s="125" t="b">
        <v>0</v>
      </c>
      <c r="H274" s="125" t="b">
        <v>0</v>
      </c>
      <c r="I274" s="125" t="b">
        <v>0</v>
      </c>
      <c r="J274" s="125" t="b">
        <v>0</v>
      </c>
      <c r="K274" s="125" t="b">
        <v>0</v>
      </c>
      <c r="L274" s="125" t="b">
        <v>0</v>
      </c>
    </row>
    <row r="275" spans="1:12" ht="15">
      <c r="A275" s="127" t="s">
        <v>1709</v>
      </c>
      <c r="B275" s="126" t="s">
        <v>1768</v>
      </c>
      <c r="C275" s="125">
        <v>2</v>
      </c>
      <c r="D275" s="129">
        <v>0.007726656880506181</v>
      </c>
      <c r="E275" s="129">
        <v>2.162862993321926</v>
      </c>
      <c r="F275" s="125" t="s">
        <v>1228</v>
      </c>
      <c r="G275" s="125" t="b">
        <v>0</v>
      </c>
      <c r="H275" s="125" t="b">
        <v>0</v>
      </c>
      <c r="I275" s="125" t="b">
        <v>0</v>
      </c>
      <c r="J275" s="125" t="b">
        <v>0</v>
      </c>
      <c r="K275" s="125" t="b">
        <v>0</v>
      </c>
      <c r="L275" s="125" t="b">
        <v>0</v>
      </c>
    </row>
    <row r="276" spans="1:12" ht="15">
      <c r="A276" s="127" t="s">
        <v>1692</v>
      </c>
      <c r="B276" s="126" t="s">
        <v>1802</v>
      </c>
      <c r="C276" s="125">
        <v>2</v>
      </c>
      <c r="D276" s="129">
        <v>0.007726656880506181</v>
      </c>
      <c r="E276" s="129">
        <v>2.162862993321926</v>
      </c>
      <c r="F276" s="125" t="s">
        <v>1228</v>
      </c>
      <c r="G276" s="125" t="b">
        <v>0</v>
      </c>
      <c r="H276" s="125" t="b">
        <v>0</v>
      </c>
      <c r="I276" s="125" t="b">
        <v>0</v>
      </c>
      <c r="J276" s="125" t="b">
        <v>0</v>
      </c>
      <c r="K276" s="125" t="b">
        <v>0</v>
      </c>
      <c r="L276" s="125" t="b">
        <v>0</v>
      </c>
    </row>
    <row r="277" spans="1:12" ht="15">
      <c r="A277" s="127" t="s">
        <v>1720</v>
      </c>
      <c r="B277" s="126" t="s">
        <v>1853</v>
      </c>
      <c r="C277" s="125">
        <v>2</v>
      </c>
      <c r="D277" s="129">
        <v>0.007726656880506181</v>
      </c>
      <c r="E277" s="129">
        <v>2.162862993321926</v>
      </c>
      <c r="F277" s="125" t="s">
        <v>1228</v>
      </c>
      <c r="G277" s="125" t="b">
        <v>0</v>
      </c>
      <c r="H277" s="125" t="b">
        <v>0</v>
      </c>
      <c r="I277" s="125" t="b">
        <v>0</v>
      </c>
      <c r="J277" s="125" t="b">
        <v>0</v>
      </c>
      <c r="K277" s="125" t="b">
        <v>0</v>
      </c>
      <c r="L277" s="125" t="b">
        <v>0</v>
      </c>
    </row>
    <row r="278" spans="1:12" ht="15">
      <c r="A278" s="127" t="s">
        <v>1822</v>
      </c>
      <c r="B278" s="126" t="s">
        <v>1742</v>
      </c>
      <c r="C278" s="125">
        <v>2</v>
      </c>
      <c r="D278" s="129">
        <v>0.007726656880506181</v>
      </c>
      <c r="E278" s="129">
        <v>2.162862993321926</v>
      </c>
      <c r="F278" s="125" t="s">
        <v>1228</v>
      </c>
      <c r="G278" s="125" t="b">
        <v>0</v>
      </c>
      <c r="H278" s="125" t="b">
        <v>0</v>
      </c>
      <c r="I278" s="125" t="b">
        <v>0</v>
      </c>
      <c r="J278" s="125" t="b">
        <v>0</v>
      </c>
      <c r="K278" s="125" t="b">
        <v>0</v>
      </c>
      <c r="L278" s="125" t="b">
        <v>0</v>
      </c>
    </row>
    <row r="279" spans="1:12" ht="15">
      <c r="A279" s="127" t="s">
        <v>1810</v>
      </c>
      <c r="B279" s="126" t="s">
        <v>1786</v>
      </c>
      <c r="C279" s="125">
        <v>2</v>
      </c>
      <c r="D279" s="129">
        <v>0.007726656880506181</v>
      </c>
      <c r="E279" s="129">
        <v>2.162862993321926</v>
      </c>
      <c r="F279" s="125" t="s">
        <v>1228</v>
      </c>
      <c r="G279" s="125" t="b">
        <v>0</v>
      </c>
      <c r="H279" s="125" t="b">
        <v>0</v>
      </c>
      <c r="I279" s="125" t="b">
        <v>0</v>
      </c>
      <c r="J279" s="125" t="b">
        <v>0</v>
      </c>
      <c r="K279" s="125" t="b">
        <v>0</v>
      </c>
      <c r="L279" s="125" t="b">
        <v>0</v>
      </c>
    </row>
    <row r="280" spans="1:12" ht="15">
      <c r="A280" s="127" t="s">
        <v>1696</v>
      </c>
      <c r="B280" s="126" t="s">
        <v>1773</v>
      </c>
      <c r="C280" s="125">
        <v>2</v>
      </c>
      <c r="D280" s="129">
        <v>0.007726656880506181</v>
      </c>
      <c r="E280" s="129">
        <v>2.162862993321926</v>
      </c>
      <c r="F280" s="125" t="s">
        <v>1228</v>
      </c>
      <c r="G280" s="125" t="b">
        <v>0</v>
      </c>
      <c r="H280" s="125" t="b">
        <v>0</v>
      </c>
      <c r="I280" s="125" t="b">
        <v>0</v>
      </c>
      <c r="J280" s="125" t="b">
        <v>0</v>
      </c>
      <c r="K280" s="125" t="b">
        <v>0</v>
      </c>
      <c r="L280" s="125" t="b">
        <v>0</v>
      </c>
    </row>
    <row r="281" spans="1:12" ht="15">
      <c r="A281" s="127" t="s">
        <v>1816</v>
      </c>
      <c r="B281" s="126" t="s">
        <v>1839</v>
      </c>
      <c r="C281" s="125">
        <v>2</v>
      </c>
      <c r="D281" s="129">
        <v>0.007726656880506181</v>
      </c>
      <c r="E281" s="129">
        <v>2.162862993321926</v>
      </c>
      <c r="F281" s="125" t="s">
        <v>1228</v>
      </c>
      <c r="G281" s="125" t="b">
        <v>0</v>
      </c>
      <c r="H281" s="125" t="b">
        <v>0</v>
      </c>
      <c r="I281" s="125" t="b">
        <v>0</v>
      </c>
      <c r="J281" s="125" t="b">
        <v>0</v>
      </c>
      <c r="K281" s="125" t="b">
        <v>0</v>
      </c>
      <c r="L281" s="125" t="b">
        <v>0</v>
      </c>
    </row>
    <row r="282" spans="1:12" ht="15">
      <c r="A282" s="127" t="s">
        <v>1752</v>
      </c>
      <c r="B282" s="126" t="s">
        <v>1789</v>
      </c>
      <c r="C282" s="125">
        <v>2</v>
      </c>
      <c r="D282" s="129">
        <v>0.007726656880506181</v>
      </c>
      <c r="E282" s="129">
        <v>2.162862993321926</v>
      </c>
      <c r="F282" s="125" t="s">
        <v>1228</v>
      </c>
      <c r="G282" s="125" t="b">
        <v>0</v>
      </c>
      <c r="H282" s="125" t="b">
        <v>0</v>
      </c>
      <c r="I282" s="125" t="b">
        <v>0</v>
      </c>
      <c r="J282" s="125" t="b">
        <v>0</v>
      </c>
      <c r="K282" s="125" t="b">
        <v>0</v>
      </c>
      <c r="L282" s="125" t="b">
        <v>0</v>
      </c>
    </row>
    <row r="283" spans="1:12" ht="15">
      <c r="A283" s="127" t="s">
        <v>1856</v>
      </c>
      <c r="B283" s="126" t="s">
        <v>1820</v>
      </c>
      <c r="C283" s="125">
        <v>2</v>
      </c>
      <c r="D283" s="129">
        <v>0.007726656880506181</v>
      </c>
      <c r="E283" s="129">
        <v>2.162862993321926</v>
      </c>
      <c r="F283" s="125" t="s">
        <v>1228</v>
      </c>
      <c r="G283" s="125" t="b">
        <v>0</v>
      </c>
      <c r="H283" s="125" t="b">
        <v>0</v>
      </c>
      <c r="I283" s="125" t="b">
        <v>0</v>
      </c>
      <c r="J283" s="125" t="b">
        <v>0</v>
      </c>
      <c r="K283" s="125" t="b">
        <v>0</v>
      </c>
      <c r="L283" s="125" t="b">
        <v>0</v>
      </c>
    </row>
    <row r="284" spans="1:12" ht="15">
      <c r="A284" s="127" t="s">
        <v>1555</v>
      </c>
      <c r="B284" s="126" t="s">
        <v>1780</v>
      </c>
      <c r="C284" s="125">
        <v>2</v>
      </c>
      <c r="D284" s="129">
        <v>0.007726656880506181</v>
      </c>
      <c r="E284" s="129">
        <v>1.6857417386022637</v>
      </c>
      <c r="F284" s="125" t="s">
        <v>1228</v>
      </c>
      <c r="G284" s="125" t="b">
        <v>0</v>
      </c>
      <c r="H284" s="125" t="b">
        <v>0</v>
      </c>
      <c r="I284" s="125" t="b">
        <v>0</v>
      </c>
      <c r="J284" s="125" t="b">
        <v>0</v>
      </c>
      <c r="K284" s="125" t="b">
        <v>0</v>
      </c>
      <c r="L284" s="125" t="b">
        <v>0</v>
      </c>
    </row>
    <row r="285" spans="1:12" ht="15">
      <c r="A285" s="127" t="s">
        <v>1539</v>
      </c>
      <c r="B285" s="126" t="s">
        <v>1726</v>
      </c>
      <c r="C285" s="125">
        <v>2</v>
      </c>
      <c r="D285" s="129">
        <v>0.007726656880506181</v>
      </c>
      <c r="E285" s="129">
        <v>2.162862993321926</v>
      </c>
      <c r="F285" s="125" t="s">
        <v>1228</v>
      </c>
      <c r="G285" s="125" t="b">
        <v>0</v>
      </c>
      <c r="H285" s="125" t="b">
        <v>0</v>
      </c>
      <c r="I285" s="125" t="b">
        <v>0</v>
      </c>
      <c r="J285" s="125" t="b">
        <v>0</v>
      </c>
      <c r="K285" s="125" t="b">
        <v>0</v>
      </c>
      <c r="L285" s="125" t="b">
        <v>0</v>
      </c>
    </row>
    <row r="286" spans="1:12" ht="15">
      <c r="A286" s="127" t="s">
        <v>1761</v>
      </c>
      <c r="B286" s="126" t="s">
        <v>1702</v>
      </c>
      <c r="C286" s="125">
        <v>2</v>
      </c>
      <c r="D286" s="129">
        <v>0.007726656880506181</v>
      </c>
      <c r="E286" s="129">
        <v>2.162862993321926</v>
      </c>
      <c r="F286" s="125" t="s">
        <v>1228</v>
      </c>
      <c r="G286" s="125" t="b">
        <v>0</v>
      </c>
      <c r="H286" s="125" t="b">
        <v>0</v>
      </c>
      <c r="I286" s="125" t="b">
        <v>0</v>
      </c>
      <c r="J286" s="125" t="b">
        <v>0</v>
      </c>
      <c r="K286" s="125" t="b">
        <v>0</v>
      </c>
      <c r="L286" s="125" t="b">
        <v>0</v>
      </c>
    </row>
    <row r="287" spans="1:12" ht="15">
      <c r="A287" s="127" t="s">
        <v>1836</v>
      </c>
      <c r="B287" s="126" t="s">
        <v>1765</v>
      </c>
      <c r="C287" s="125">
        <v>2</v>
      </c>
      <c r="D287" s="129">
        <v>0.007726656880506181</v>
      </c>
      <c r="E287" s="129">
        <v>2.162862993321926</v>
      </c>
      <c r="F287" s="125" t="s">
        <v>1228</v>
      </c>
      <c r="G287" s="125" t="b">
        <v>0</v>
      </c>
      <c r="H287" s="125" t="b">
        <v>0</v>
      </c>
      <c r="I287" s="125" t="b">
        <v>0</v>
      </c>
      <c r="J287" s="125" t="b">
        <v>0</v>
      </c>
      <c r="K287" s="125" t="b">
        <v>0</v>
      </c>
      <c r="L287" s="125" t="b">
        <v>0</v>
      </c>
    </row>
    <row r="288" spans="1:12" ht="15">
      <c r="A288" s="127" t="s">
        <v>1791</v>
      </c>
      <c r="B288" s="126" t="s">
        <v>1541</v>
      </c>
      <c r="C288" s="125">
        <v>2</v>
      </c>
      <c r="D288" s="129">
        <v>0.007726656880506181</v>
      </c>
      <c r="E288" s="129">
        <v>1.6187949489716504</v>
      </c>
      <c r="F288" s="125" t="s">
        <v>1228</v>
      </c>
      <c r="G288" s="125" t="b">
        <v>0</v>
      </c>
      <c r="H288" s="125" t="b">
        <v>0</v>
      </c>
      <c r="I288" s="125" t="b">
        <v>0</v>
      </c>
      <c r="J288" s="125" t="b">
        <v>0</v>
      </c>
      <c r="K288" s="125" t="b">
        <v>0</v>
      </c>
      <c r="L288" s="125" t="b">
        <v>0</v>
      </c>
    </row>
    <row r="289" spans="1:12" ht="15">
      <c r="A289" s="127" t="s">
        <v>1734</v>
      </c>
      <c r="B289" s="126" t="s">
        <v>1854</v>
      </c>
      <c r="C289" s="125">
        <v>2</v>
      </c>
      <c r="D289" s="129">
        <v>0.007726656880506181</v>
      </c>
      <c r="E289" s="129">
        <v>2.162862993321926</v>
      </c>
      <c r="F289" s="125" t="s">
        <v>1228</v>
      </c>
      <c r="G289" s="125" t="b">
        <v>0</v>
      </c>
      <c r="H289" s="125" t="b">
        <v>0</v>
      </c>
      <c r="I289" s="125" t="b">
        <v>0</v>
      </c>
      <c r="J289" s="125" t="b">
        <v>0</v>
      </c>
      <c r="K289" s="125" t="b">
        <v>0</v>
      </c>
      <c r="L289" s="125" t="b">
        <v>0</v>
      </c>
    </row>
    <row r="290" spans="1:12" ht="15">
      <c r="A290" s="127" t="s">
        <v>1742</v>
      </c>
      <c r="B290" s="126" t="s">
        <v>1834</v>
      </c>
      <c r="C290" s="125">
        <v>2</v>
      </c>
      <c r="D290" s="129">
        <v>0.007726656880506181</v>
      </c>
      <c r="E290" s="129">
        <v>2.162862993321926</v>
      </c>
      <c r="F290" s="125" t="s">
        <v>1228</v>
      </c>
      <c r="G290" s="125" t="b">
        <v>0</v>
      </c>
      <c r="H290" s="125" t="b">
        <v>0</v>
      </c>
      <c r="I290" s="125" t="b">
        <v>0</v>
      </c>
      <c r="J290" s="125" t="b">
        <v>0</v>
      </c>
      <c r="K290" s="125" t="b">
        <v>0</v>
      </c>
      <c r="L290" s="125" t="b">
        <v>0</v>
      </c>
    </row>
    <row r="291" spans="1:12" ht="15">
      <c r="A291" s="127" t="s">
        <v>1814</v>
      </c>
      <c r="B291" s="126" t="s">
        <v>1716</v>
      </c>
      <c r="C291" s="125">
        <v>2</v>
      </c>
      <c r="D291" s="129">
        <v>0.007726656880506181</v>
      </c>
      <c r="E291" s="129">
        <v>2.162862993321926</v>
      </c>
      <c r="F291" s="125" t="s">
        <v>1228</v>
      </c>
      <c r="G291" s="125" t="b">
        <v>0</v>
      </c>
      <c r="H291" s="125" t="b">
        <v>0</v>
      </c>
      <c r="I291" s="125" t="b">
        <v>0</v>
      </c>
      <c r="J291" s="125" t="b">
        <v>0</v>
      </c>
      <c r="K291" s="125" t="b">
        <v>0</v>
      </c>
      <c r="L291" s="125" t="b">
        <v>0</v>
      </c>
    </row>
    <row r="292" spans="1:12" ht="15">
      <c r="A292" s="127" t="s">
        <v>1850</v>
      </c>
      <c r="B292" s="126" t="s">
        <v>1770</v>
      </c>
      <c r="C292" s="125">
        <v>2</v>
      </c>
      <c r="D292" s="129">
        <v>0.007726656880506181</v>
      </c>
      <c r="E292" s="129">
        <v>2.162862993321926</v>
      </c>
      <c r="F292" s="125" t="s">
        <v>1228</v>
      </c>
      <c r="G292" s="125" t="b">
        <v>0</v>
      </c>
      <c r="H292" s="125" t="b">
        <v>0</v>
      </c>
      <c r="I292" s="125" t="b">
        <v>0</v>
      </c>
      <c r="J292" s="125" t="b">
        <v>0</v>
      </c>
      <c r="K292" s="125" t="b">
        <v>0</v>
      </c>
      <c r="L292" s="125" t="b">
        <v>0</v>
      </c>
    </row>
    <row r="293" spans="1:12" ht="15">
      <c r="A293" s="127" t="s">
        <v>1744</v>
      </c>
      <c r="B293" s="126" t="s">
        <v>1781</v>
      </c>
      <c r="C293" s="125">
        <v>2</v>
      </c>
      <c r="D293" s="129">
        <v>0.007726656880506181</v>
      </c>
      <c r="E293" s="129">
        <v>2.162862993321926</v>
      </c>
      <c r="F293" s="125" t="s">
        <v>1228</v>
      </c>
      <c r="G293" s="125" t="b">
        <v>0</v>
      </c>
      <c r="H293" s="125" t="b">
        <v>0</v>
      </c>
      <c r="I293" s="125" t="b">
        <v>0</v>
      </c>
      <c r="J293" s="125" t="b">
        <v>0</v>
      </c>
      <c r="K293" s="125" t="b">
        <v>0</v>
      </c>
      <c r="L293" s="125" t="b">
        <v>0</v>
      </c>
    </row>
    <row r="294" spans="1:12" ht="15">
      <c r="A294" s="127" t="s">
        <v>1825</v>
      </c>
      <c r="B294" s="126" t="s">
        <v>1560</v>
      </c>
      <c r="C294" s="125">
        <v>2</v>
      </c>
      <c r="D294" s="129">
        <v>0.007726656880506181</v>
      </c>
      <c r="E294" s="129">
        <v>1.8618329976579449</v>
      </c>
      <c r="F294" s="125" t="s">
        <v>1228</v>
      </c>
      <c r="G294" s="125" t="b">
        <v>0</v>
      </c>
      <c r="H294" s="125" t="b">
        <v>0</v>
      </c>
      <c r="I294" s="125" t="b">
        <v>0</v>
      </c>
      <c r="J294" s="125" t="b">
        <v>0</v>
      </c>
      <c r="K294" s="125" t="b">
        <v>0</v>
      </c>
      <c r="L294" s="125" t="b">
        <v>0</v>
      </c>
    </row>
    <row r="295" spans="1:12" ht="15">
      <c r="A295" s="127" t="s">
        <v>1796</v>
      </c>
      <c r="B295" s="126" t="s">
        <v>1565</v>
      </c>
      <c r="C295" s="125">
        <v>2</v>
      </c>
      <c r="D295" s="129">
        <v>0.007726656880506181</v>
      </c>
      <c r="E295" s="129">
        <v>1.8618329976579449</v>
      </c>
      <c r="F295" s="125" t="s">
        <v>1228</v>
      </c>
      <c r="G295" s="125" t="b">
        <v>0</v>
      </c>
      <c r="H295" s="125" t="b">
        <v>0</v>
      </c>
      <c r="I295" s="125" t="b">
        <v>0</v>
      </c>
      <c r="J295" s="125" t="b">
        <v>0</v>
      </c>
      <c r="K295" s="125" t="b">
        <v>0</v>
      </c>
      <c r="L295" s="125" t="b">
        <v>0</v>
      </c>
    </row>
    <row r="296" spans="1:12" ht="15">
      <c r="A296" s="127" t="s">
        <v>1699</v>
      </c>
      <c r="B296" s="126" t="s">
        <v>1819</v>
      </c>
      <c r="C296" s="125">
        <v>2</v>
      </c>
      <c r="D296" s="129">
        <v>0.007726656880506181</v>
      </c>
      <c r="E296" s="129">
        <v>2.162862993321926</v>
      </c>
      <c r="F296" s="125" t="s">
        <v>1228</v>
      </c>
      <c r="G296" s="125" t="b">
        <v>0</v>
      </c>
      <c r="H296" s="125" t="b">
        <v>0</v>
      </c>
      <c r="I296" s="125" t="b">
        <v>0</v>
      </c>
      <c r="J296" s="125" t="b">
        <v>0</v>
      </c>
      <c r="K296" s="125" t="b">
        <v>0</v>
      </c>
      <c r="L296" s="125" t="b">
        <v>0</v>
      </c>
    </row>
    <row r="297" spans="1:12" ht="15">
      <c r="A297" s="127" t="s">
        <v>480</v>
      </c>
      <c r="B297" s="126" t="s">
        <v>504</v>
      </c>
      <c r="C297" s="125">
        <v>2</v>
      </c>
      <c r="D297" s="129">
        <v>0.007726656880506181</v>
      </c>
      <c r="E297" s="129">
        <v>1.3177649533076692</v>
      </c>
      <c r="F297" s="125" t="s">
        <v>1228</v>
      </c>
      <c r="G297" s="125" t="b">
        <v>0</v>
      </c>
      <c r="H297" s="125" t="b">
        <v>0</v>
      </c>
      <c r="I297" s="125" t="b">
        <v>0</v>
      </c>
      <c r="J297" s="125" t="b">
        <v>0</v>
      </c>
      <c r="K297" s="125" t="b">
        <v>0</v>
      </c>
      <c r="L297" s="125" t="b">
        <v>0</v>
      </c>
    </row>
    <row r="298" spans="1:12" ht="15">
      <c r="A298" s="127" t="s">
        <v>1835</v>
      </c>
      <c r="B298" s="126" t="s">
        <v>1779</v>
      </c>
      <c r="C298" s="125">
        <v>2</v>
      </c>
      <c r="D298" s="129">
        <v>0.007726656880506181</v>
      </c>
      <c r="E298" s="129">
        <v>2.162862993321926</v>
      </c>
      <c r="F298" s="125" t="s">
        <v>1228</v>
      </c>
      <c r="G298" s="125" t="b">
        <v>0</v>
      </c>
      <c r="H298" s="125" t="b">
        <v>0</v>
      </c>
      <c r="I298" s="125" t="b">
        <v>0</v>
      </c>
      <c r="J298" s="125" t="b">
        <v>0</v>
      </c>
      <c r="K298" s="125" t="b">
        <v>0</v>
      </c>
      <c r="L298" s="125" t="b">
        <v>0</v>
      </c>
    </row>
    <row r="299" spans="1:12" ht="15">
      <c r="A299" s="127" t="s">
        <v>1828</v>
      </c>
      <c r="B299" s="126" t="s">
        <v>1700</v>
      </c>
      <c r="C299" s="125">
        <v>2</v>
      </c>
      <c r="D299" s="129">
        <v>0.007726656880506181</v>
      </c>
      <c r="E299" s="129">
        <v>2.162862993321926</v>
      </c>
      <c r="F299" s="125" t="s">
        <v>1228</v>
      </c>
      <c r="G299" s="125" t="b">
        <v>0</v>
      </c>
      <c r="H299" s="125" t="b">
        <v>0</v>
      </c>
      <c r="I299" s="125" t="b">
        <v>0</v>
      </c>
      <c r="J299" s="125" t="b">
        <v>0</v>
      </c>
      <c r="K299" s="125" t="b">
        <v>0</v>
      </c>
      <c r="L299" s="125" t="b">
        <v>0</v>
      </c>
    </row>
    <row r="300" spans="1:12" ht="15">
      <c r="A300" s="127" t="s">
        <v>1839</v>
      </c>
      <c r="B300" s="126" t="s">
        <v>1806</v>
      </c>
      <c r="C300" s="125">
        <v>2</v>
      </c>
      <c r="D300" s="129">
        <v>0.007726656880506181</v>
      </c>
      <c r="E300" s="129">
        <v>2.162862993321926</v>
      </c>
      <c r="F300" s="125" t="s">
        <v>1228</v>
      </c>
      <c r="G300" s="125" t="b">
        <v>0</v>
      </c>
      <c r="H300" s="125" t="b">
        <v>0</v>
      </c>
      <c r="I300" s="125" t="b">
        <v>0</v>
      </c>
      <c r="J300" s="125" t="b">
        <v>0</v>
      </c>
      <c r="K300" s="125" t="b">
        <v>0</v>
      </c>
      <c r="L300" s="125" t="b">
        <v>0</v>
      </c>
    </row>
    <row r="301" spans="1:12" ht="15">
      <c r="A301" s="127" t="s">
        <v>1700</v>
      </c>
      <c r="B301" s="126" t="s">
        <v>1775</v>
      </c>
      <c r="C301" s="125">
        <v>2</v>
      </c>
      <c r="D301" s="129">
        <v>0.007726656880506181</v>
      </c>
      <c r="E301" s="129">
        <v>2.162862993321926</v>
      </c>
      <c r="F301" s="125" t="s">
        <v>1228</v>
      </c>
      <c r="G301" s="125" t="b">
        <v>0</v>
      </c>
      <c r="H301" s="125" t="b">
        <v>0</v>
      </c>
      <c r="I301" s="125" t="b">
        <v>0</v>
      </c>
      <c r="J301" s="125" t="b">
        <v>0</v>
      </c>
      <c r="K301" s="125" t="b">
        <v>0</v>
      </c>
      <c r="L301" s="125" t="b">
        <v>0</v>
      </c>
    </row>
    <row r="302" spans="1:12" ht="15">
      <c r="A302" s="127" t="s">
        <v>1684</v>
      </c>
      <c r="B302" s="126" t="s">
        <v>1796</v>
      </c>
      <c r="C302" s="125">
        <v>2</v>
      </c>
      <c r="D302" s="129">
        <v>0.007726656880506181</v>
      </c>
      <c r="E302" s="129">
        <v>2.162862993321926</v>
      </c>
      <c r="F302" s="125" t="s">
        <v>1228</v>
      </c>
      <c r="G302" s="125" t="b">
        <v>0</v>
      </c>
      <c r="H302" s="125" t="b">
        <v>0</v>
      </c>
      <c r="I302" s="125" t="b">
        <v>0</v>
      </c>
      <c r="J302" s="125" t="b">
        <v>0</v>
      </c>
      <c r="K302" s="125" t="b">
        <v>0</v>
      </c>
      <c r="L302" s="125" t="b">
        <v>0</v>
      </c>
    </row>
    <row r="303" spans="1:12" ht="15">
      <c r="A303" s="127" t="s">
        <v>1695</v>
      </c>
      <c r="B303" s="126" t="s">
        <v>1725</v>
      </c>
      <c r="C303" s="125">
        <v>2</v>
      </c>
      <c r="D303" s="129">
        <v>0.007726656880506181</v>
      </c>
      <c r="E303" s="129">
        <v>2.162862993321926</v>
      </c>
      <c r="F303" s="125" t="s">
        <v>1228</v>
      </c>
      <c r="G303" s="125" t="b">
        <v>0</v>
      </c>
      <c r="H303" s="125" t="b">
        <v>0</v>
      </c>
      <c r="I303" s="125" t="b">
        <v>0</v>
      </c>
      <c r="J303" s="125" t="b">
        <v>0</v>
      </c>
      <c r="K303" s="125" t="b">
        <v>0</v>
      </c>
      <c r="L303" s="125" t="b">
        <v>0</v>
      </c>
    </row>
    <row r="304" spans="1:12" ht="15">
      <c r="A304" s="127" t="s">
        <v>1819</v>
      </c>
      <c r="B304" s="126" t="s">
        <v>1764</v>
      </c>
      <c r="C304" s="125">
        <v>2</v>
      </c>
      <c r="D304" s="129">
        <v>0.007726656880506181</v>
      </c>
      <c r="E304" s="129">
        <v>2.162862993321926</v>
      </c>
      <c r="F304" s="125" t="s">
        <v>1228</v>
      </c>
      <c r="G304" s="125" t="b">
        <v>0</v>
      </c>
      <c r="H304" s="125" t="b">
        <v>0</v>
      </c>
      <c r="I304" s="125" t="b">
        <v>0</v>
      </c>
      <c r="J304" s="125" t="b">
        <v>0</v>
      </c>
      <c r="K304" s="125" t="b">
        <v>0</v>
      </c>
      <c r="L304" s="125" t="b">
        <v>0</v>
      </c>
    </row>
    <row r="305" spans="1:12" ht="15">
      <c r="A305" s="127" t="s">
        <v>1786</v>
      </c>
      <c r="B305" s="126" t="s">
        <v>1737</v>
      </c>
      <c r="C305" s="125">
        <v>2</v>
      </c>
      <c r="D305" s="129">
        <v>0.007726656880506181</v>
      </c>
      <c r="E305" s="129">
        <v>2.162862993321926</v>
      </c>
      <c r="F305" s="125" t="s">
        <v>1228</v>
      </c>
      <c r="G305" s="125" t="b">
        <v>0</v>
      </c>
      <c r="H305" s="125" t="b">
        <v>0</v>
      </c>
      <c r="I305" s="125" t="b">
        <v>0</v>
      </c>
      <c r="J305" s="125" t="b">
        <v>0</v>
      </c>
      <c r="K305" s="125" t="b">
        <v>0</v>
      </c>
      <c r="L305" s="125" t="b">
        <v>0</v>
      </c>
    </row>
    <row r="306" spans="1:12" ht="15">
      <c r="A306" s="127" t="s">
        <v>1782</v>
      </c>
      <c r="B306" s="126" t="s">
        <v>1709</v>
      </c>
      <c r="C306" s="125">
        <v>2</v>
      </c>
      <c r="D306" s="129">
        <v>0.007726656880506181</v>
      </c>
      <c r="E306" s="129">
        <v>2.162862993321926</v>
      </c>
      <c r="F306" s="125" t="s">
        <v>1228</v>
      </c>
      <c r="G306" s="125" t="b">
        <v>0</v>
      </c>
      <c r="H306" s="125" t="b">
        <v>0</v>
      </c>
      <c r="I306" s="125" t="b">
        <v>0</v>
      </c>
      <c r="J306" s="125" t="b">
        <v>0</v>
      </c>
      <c r="K306" s="125" t="b">
        <v>0</v>
      </c>
      <c r="L306" s="125" t="b">
        <v>0</v>
      </c>
    </row>
    <row r="307" spans="1:12" ht="15">
      <c r="A307" s="127" t="s">
        <v>1765</v>
      </c>
      <c r="B307" s="126" t="s">
        <v>1824</v>
      </c>
      <c r="C307" s="125">
        <v>2</v>
      </c>
      <c r="D307" s="129">
        <v>0.007726656880506181</v>
      </c>
      <c r="E307" s="129">
        <v>2.162862993321926</v>
      </c>
      <c r="F307" s="125" t="s">
        <v>1228</v>
      </c>
      <c r="G307" s="125" t="b">
        <v>0</v>
      </c>
      <c r="H307" s="125" t="b">
        <v>0</v>
      </c>
      <c r="I307" s="125" t="b">
        <v>0</v>
      </c>
      <c r="J307" s="125" t="b">
        <v>0</v>
      </c>
      <c r="K307" s="125" t="b">
        <v>0</v>
      </c>
      <c r="L307" s="125" t="b">
        <v>0</v>
      </c>
    </row>
    <row r="308" spans="1:12" ht="15">
      <c r="A308" s="127" t="s">
        <v>1824</v>
      </c>
      <c r="B308" s="126" t="s">
        <v>1565</v>
      </c>
      <c r="C308" s="125">
        <v>2</v>
      </c>
      <c r="D308" s="129">
        <v>0.007726656880506181</v>
      </c>
      <c r="E308" s="129">
        <v>1.8618329976579449</v>
      </c>
      <c r="F308" s="125" t="s">
        <v>1228</v>
      </c>
      <c r="G308" s="125" t="b">
        <v>0</v>
      </c>
      <c r="H308" s="125" t="b">
        <v>0</v>
      </c>
      <c r="I308" s="125" t="b">
        <v>0</v>
      </c>
      <c r="J308" s="125" t="b">
        <v>0</v>
      </c>
      <c r="K308" s="125" t="b">
        <v>0</v>
      </c>
      <c r="L308" s="125" t="b">
        <v>0</v>
      </c>
    </row>
    <row r="309" spans="1:12" ht="15">
      <c r="A309" s="127" t="s">
        <v>1686</v>
      </c>
      <c r="B309" s="126" t="s">
        <v>1836</v>
      </c>
      <c r="C309" s="125">
        <v>2</v>
      </c>
      <c r="D309" s="129">
        <v>0.007726656880506181</v>
      </c>
      <c r="E309" s="129">
        <v>2.162862993321926</v>
      </c>
      <c r="F309" s="125" t="s">
        <v>1228</v>
      </c>
      <c r="G309" s="125" t="b">
        <v>0</v>
      </c>
      <c r="H309" s="125" t="b">
        <v>0</v>
      </c>
      <c r="I309" s="125" t="b">
        <v>0</v>
      </c>
      <c r="J309" s="125" t="b">
        <v>0</v>
      </c>
      <c r="K309" s="125" t="b">
        <v>0</v>
      </c>
      <c r="L309" s="125" t="b">
        <v>0</v>
      </c>
    </row>
    <row r="310" spans="1:12" ht="15">
      <c r="A310" s="127" t="s">
        <v>1726</v>
      </c>
      <c r="B310" s="126" t="s">
        <v>1754</v>
      </c>
      <c r="C310" s="125">
        <v>2</v>
      </c>
      <c r="D310" s="129">
        <v>0.007726656880506181</v>
      </c>
      <c r="E310" s="129">
        <v>2.162862993321926</v>
      </c>
      <c r="F310" s="125" t="s">
        <v>1228</v>
      </c>
      <c r="G310" s="125" t="b">
        <v>0</v>
      </c>
      <c r="H310" s="125" t="b">
        <v>0</v>
      </c>
      <c r="I310" s="125" t="b">
        <v>0</v>
      </c>
      <c r="J310" s="125" t="b">
        <v>0</v>
      </c>
      <c r="K310" s="125" t="b">
        <v>0</v>
      </c>
      <c r="L310" s="125" t="b">
        <v>0</v>
      </c>
    </row>
    <row r="311" spans="1:12" ht="15">
      <c r="A311" s="127" t="s">
        <v>1854</v>
      </c>
      <c r="B311" s="126" t="s">
        <v>1825</v>
      </c>
      <c r="C311" s="125">
        <v>2</v>
      </c>
      <c r="D311" s="129">
        <v>0.007726656880506181</v>
      </c>
      <c r="E311" s="129">
        <v>2.162862993321926</v>
      </c>
      <c r="F311" s="125" t="s">
        <v>1228</v>
      </c>
      <c r="G311" s="125" t="b">
        <v>0</v>
      </c>
      <c r="H311" s="125" t="b">
        <v>0</v>
      </c>
      <c r="I311" s="125" t="b">
        <v>0</v>
      </c>
      <c r="J311" s="125" t="b">
        <v>0</v>
      </c>
      <c r="K311" s="125" t="b">
        <v>0</v>
      </c>
      <c r="L311" s="125" t="b">
        <v>0</v>
      </c>
    </row>
    <row r="312" spans="1:12" ht="15">
      <c r="A312" s="127" t="s">
        <v>1560</v>
      </c>
      <c r="B312" s="126" t="s">
        <v>1784</v>
      </c>
      <c r="C312" s="125">
        <v>2</v>
      </c>
      <c r="D312" s="129">
        <v>0.007726656880506181</v>
      </c>
      <c r="E312" s="129">
        <v>1.8618329976579449</v>
      </c>
      <c r="F312" s="125" t="s">
        <v>1228</v>
      </c>
      <c r="G312" s="125" t="b">
        <v>0</v>
      </c>
      <c r="H312" s="125" t="b">
        <v>0</v>
      </c>
      <c r="I312" s="125" t="b">
        <v>0</v>
      </c>
      <c r="J312" s="125" t="b">
        <v>0</v>
      </c>
      <c r="K312" s="125" t="b">
        <v>0</v>
      </c>
      <c r="L312" s="125" t="b">
        <v>0</v>
      </c>
    </row>
    <row r="313" spans="1:12" ht="15">
      <c r="A313" s="127" t="s">
        <v>450</v>
      </c>
      <c r="B313" s="126" t="s">
        <v>504</v>
      </c>
      <c r="C313" s="125">
        <v>2</v>
      </c>
      <c r="D313" s="129">
        <v>0.007726656880506181</v>
      </c>
      <c r="E313" s="129">
        <v>1.141673694251988</v>
      </c>
      <c r="F313" s="125" t="s">
        <v>1228</v>
      </c>
      <c r="G313" s="125" t="b">
        <v>0</v>
      </c>
      <c r="H313" s="125" t="b">
        <v>0</v>
      </c>
      <c r="I313" s="125" t="b">
        <v>0</v>
      </c>
      <c r="J313" s="125" t="b">
        <v>0</v>
      </c>
      <c r="K313" s="125" t="b">
        <v>0</v>
      </c>
      <c r="L313" s="125" t="b">
        <v>0</v>
      </c>
    </row>
    <row r="314" spans="1:12" ht="15">
      <c r="A314" s="127" t="s">
        <v>1773</v>
      </c>
      <c r="B314" s="126" t="s">
        <v>1699</v>
      </c>
      <c r="C314" s="125">
        <v>2</v>
      </c>
      <c r="D314" s="129">
        <v>0.007726656880506181</v>
      </c>
      <c r="E314" s="129">
        <v>2.162862993321926</v>
      </c>
      <c r="F314" s="125" t="s">
        <v>1228</v>
      </c>
      <c r="G314" s="125" t="b">
        <v>0</v>
      </c>
      <c r="H314" s="125" t="b">
        <v>0</v>
      </c>
      <c r="I314" s="125" t="b">
        <v>0</v>
      </c>
      <c r="J314" s="125" t="b">
        <v>0</v>
      </c>
      <c r="K314" s="125" t="b">
        <v>0</v>
      </c>
      <c r="L314" s="125" t="b">
        <v>0</v>
      </c>
    </row>
    <row r="315" spans="1:12" ht="15">
      <c r="A315" s="127" t="s">
        <v>1834</v>
      </c>
      <c r="B315" s="126" t="s">
        <v>1748</v>
      </c>
      <c r="C315" s="125">
        <v>2</v>
      </c>
      <c r="D315" s="129">
        <v>0.007726656880506181</v>
      </c>
      <c r="E315" s="129">
        <v>2.162862993321926</v>
      </c>
      <c r="F315" s="125" t="s">
        <v>1228</v>
      </c>
      <c r="G315" s="125" t="b">
        <v>0</v>
      </c>
      <c r="H315" s="125" t="b">
        <v>0</v>
      </c>
      <c r="I315" s="125" t="b">
        <v>0</v>
      </c>
      <c r="J315" s="125" t="b">
        <v>0</v>
      </c>
      <c r="K315" s="125" t="b">
        <v>0</v>
      </c>
      <c r="L315" s="125" t="b">
        <v>0</v>
      </c>
    </row>
    <row r="316" spans="1:12" ht="15">
      <c r="A316" s="127" t="s">
        <v>1754</v>
      </c>
      <c r="B316" s="126" t="s">
        <v>1860</v>
      </c>
      <c r="C316" s="125">
        <v>2</v>
      </c>
      <c r="D316" s="129">
        <v>0.007726656880506181</v>
      </c>
      <c r="E316" s="129">
        <v>2.162862993321926</v>
      </c>
      <c r="F316" s="125" t="s">
        <v>1228</v>
      </c>
      <c r="G316" s="125" t="b">
        <v>0</v>
      </c>
      <c r="H316" s="125" t="b">
        <v>0</v>
      </c>
      <c r="I316" s="125" t="b">
        <v>0</v>
      </c>
      <c r="J316" s="125" t="b">
        <v>0</v>
      </c>
      <c r="K316" s="125" t="b">
        <v>0</v>
      </c>
      <c r="L316" s="125" t="b">
        <v>0</v>
      </c>
    </row>
    <row r="317" spans="1:12" ht="15">
      <c r="A317" s="127" t="s">
        <v>1830</v>
      </c>
      <c r="B317" s="126" t="s">
        <v>1817</v>
      </c>
      <c r="C317" s="125">
        <v>2</v>
      </c>
      <c r="D317" s="129">
        <v>0.007726656880506181</v>
      </c>
      <c r="E317" s="129">
        <v>2.162862993321926</v>
      </c>
      <c r="F317" s="125" t="s">
        <v>1228</v>
      </c>
      <c r="G317" s="125" t="b">
        <v>0</v>
      </c>
      <c r="H317" s="125" t="b">
        <v>0</v>
      </c>
      <c r="I317" s="125" t="b">
        <v>0</v>
      </c>
      <c r="J317" s="125" t="b">
        <v>0</v>
      </c>
      <c r="K317" s="125" t="b">
        <v>0</v>
      </c>
      <c r="L317" s="125" t="b">
        <v>0</v>
      </c>
    </row>
    <row r="318" spans="1:12" ht="15">
      <c r="A318" s="127" t="s">
        <v>1759</v>
      </c>
      <c r="B318" s="126" t="s">
        <v>1696</v>
      </c>
      <c r="C318" s="125">
        <v>2</v>
      </c>
      <c r="D318" s="129">
        <v>0.007726656880506181</v>
      </c>
      <c r="E318" s="129">
        <v>2.162862993321926</v>
      </c>
      <c r="F318" s="125" t="s">
        <v>1228</v>
      </c>
      <c r="G318" s="125" t="b">
        <v>0</v>
      </c>
      <c r="H318" s="125" t="b">
        <v>0</v>
      </c>
      <c r="I318" s="125" t="b">
        <v>0</v>
      </c>
      <c r="J318" s="125" t="b">
        <v>0</v>
      </c>
      <c r="K318" s="125" t="b">
        <v>0</v>
      </c>
      <c r="L318" s="125" t="b">
        <v>0</v>
      </c>
    </row>
    <row r="319" spans="1:12" ht="15">
      <c r="A319" s="127" t="s">
        <v>1529</v>
      </c>
      <c r="B319" s="126" t="s">
        <v>1535</v>
      </c>
      <c r="C319" s="125">
        <v>5</v>
      </c>
      <c r="D319" s="129">
        <v>0.009116094286427833</v>
      </c>
      <c r="E319" s="129">
        <v>1.697519937940786</v>
      </c>
      <c r="F319" s="125" t="s">
        <v>1237</v>
      </c>
      <c r="G319" s="125" t="b">
        <v>0</v>
      </c>
      <c r="H319" s="125" t="b">
        <v>0</v>
      </c>
      <c r="I319" s="125" t="b">
        <v>0</v>
      </c>
      <c r="J319" s="125" t="b">
        <v>0</v>
      </c>
      <c r="K319" s="125" t="b">
        <v>0</v>
      </c>
      <c r="L319" s="125" t="b">
        <v>0</v>
      </c>
    </row>
    <row r="320" spans="1:12" ht="15">
      <c r="A320" s="127" t="s">
        <v>1546</v>
      </c>
      <c r="B320" s="126" t="s">
        <v>1550</v>
      </c>
      <c r="C320" s="125">
        <v>3</v>
      </c>
      <c r="D320" s="129">
        <v>0.007562569304086476</v>
      </c>
      <c r="E320" s="129">
        <v>1.9985499336047672</v>
      </c>
      <c r="F320" s="125" t="s">
        <v>1237</v>
      </c>
      <c r="G320" s="125" t="b">
        <v>0</v>
      </c>
      <c r="H320" s="125" t="b">
        <v>0</v>
      </c>
      <c r="I320" s="125" t="b">
        <v>0</v>
      </c>
      <c r="J320" s="125" t="b">
        <v>0</v>
      </c>
      <c r="K320" s="125" t="b">
        <v>0</v>
      </c>
      <c r="L320" s="125" t="b">
        <v>0</v>
      </c>
    </row>
    <row r="321" spans="1:12" ht="15">
      <c r="A321" s="127" t="s">
        <v>623</v>
      </c>
      <c r="B321" s="126" t="s">
        <v>1529</v>
      </c>
      <c r="C321" s="125">
        <v>3</v>
      </c>
      <c r="D321" s="129">
        <v>0.007562569304086476</v>
      </c>
      <c r="E321" s="129">
        <v>1.0954599466128236</v>
      </c>
      <c r="F321" s="125" t="s">
        <v>1237</v>
      </c>
      <c r="G321" s="125" t="b">
        <v>0</v>
      </c>
      <c r="H321" s="125" t="b">
        <v>0</v>
      </c>
      <c r="I321" s="125" t="b">
        <v>0</v>
      </c>
      <c r="J321" s="125" t="b">
        <v>0</v>
      </c>
      <c r="K321" s="125" t="b">
        <v>0</v>
      </c>
      <c r="L321" s="125" t="b">
        <v>0</v>
      </c>
    </row>
    <row r="322" spans="1:12" ht="15">
      <c r="A322" s="127" t="s">
        <v>1723</v>
      </c>
      <c r="B322" s="126" t="s">
        <v>1529</v>
      </c>
      <c r="C322" s="125">
        <v>2</v>
      </c>
      <c r="D322" s="129">
        <v>0.006149205064709735</v>
      </c>
      <c r="E322" s="129">
        <v>1.572581201332486</v>
      </c>
      <c r="F322" s="125" t="s">
        <v>1237</v>
      </c>
      <c r="G322" s="125" t="b">
        <v>0</v>
      </c>
      <c r="H322" s="125" t="b">
        <v>0</v>
      </c>
      <c r="I322" s="125" t="b">
        <v>0</v>
      </c>
      <c r="J322" s="125" t="b">
        <v>0</v>
      </c>
      <c r="K322" s="125" t="b">
        <v>0</v>
      </c>
      <c r="L322" s="125" t="b">
        <v>0</v>
      </c>
    </row>
    <row r="323" spans="1:12" ht="15">
      <c r="A323" s="127" t="s">
        <v>623</v>
      </c>
      <c r="B323" s="126" t="s">
        <v>1723</v>
      </c>
      <c r="C323" s="125">
        <v>2</v>
      </c>
      <c r="D323" s="129">
        <v>0.006149205064709735</v>
      </c>
      <c r="E323" s="129">
        <v>1.5214286788851048</v>
      </c>
      <c r="F323" s="125" t="s">
        <v>1237</v>
      </c>
      <c r="G323" s="125" t="b">
        <v>0</v>
      </c>
      <c r="H323" s="125" t="b">
        <v>0</v>
      </c>
      <c r="I323" s="125" t="b">
        <v>0</v>
      </c>
      <c r="J323" s="125" t="b">
        <v>0</v>
      </c>
      <c r="K323" s="125" t="b">
        <v>0</v>
      </c>
      <c r="L323" s="125" t="b">
        <v>0</v>
      </c>
    </row>
    <row r="324" spans="1:12" ht="15">
      <c r="A324" s="127" t="s">
        <v>183</v>
      </c>
      <c r="B324" s="126" t="s">
        <v>318</v>
      </c>
      <c r="C324" s="125">
        <v>2</v>
      </c>
      <c r="D324" s="129">
        <v>0.006149205064709735</v>
      </c>
      <c r="E324" s="129">
        <v>2.1746411926604483</v>
      </c>
      <c r="F324" s="125" t="s">
        <v>1237</v>
      </c>
      <c r="G324" s="125" t="b">
        <v>0</v>
      </c>
      <c r="H324" s="125" t="b">
        <v>0</v>
      </c>
      <c r="I324" s="125" t="b">
        <v>0</v>
      </c>
      <c r="J324" s="125" t="b">
        <v>0</v>
      </c>
      <c r="K324" s="125" t="b">
        <v>0</v>
      </c>
      <c r="L324" s="125" t="b">
        <v>0</v>
      </c>
    </row>
    <row r="325" spans="1:12" ht="15">
      <c r="A325" s="127" t="s">
        <v>1524</v>
      </c>
      <c r="B325" s="126" t="s">
        <v>1524</v>
      </c>
      <c r="C325" s="125">
        <v>6</v>
      </c>
      <c r="D325" s="129">
        <v>0.05305576707161206</v>
      </c>
      <c r="E325" s="129">
        <v>0.8527848686805478</v>
      </c>
      <c r="F325" s="125" t="s">
        <v>1244</v>
      </c>
      <c r="G325" s="125" t="b">
        <v>0</v>
      </c>
      <c r="H325" s="125" t="b">
        <v>0</v>
      </c>
      <c r="I325" s="125" t="b">
        <v>0</v>
      </c>
      <c r="J325" s="125" t="b">
        <v>0</v>
      </c>
      <c r="K325" s="125" t="b">
        <v>0</v>
      </c>
      <c r="L325" s="125" t="b">
        <v>0</v>
      </c>
    </row>
    <row r="326" spans="1:12" ht="15">
      <c r="A326" s="127" t="s">
        <v>1771</v>
      </c>
      <c r="B326" s="126" t="s">
        <v>1767</v>
      </c>
      <c r="C326" s="125">
        <v>2</v>
      </c>
      <c r="D326" s="129">
        <v>0.017685255690537357</v>
      </c>
      <c r="E326" s="129">
        <v>1.5797835966168103</v>
      </c>
      <c r="F326" s="125" t="s">
        <v>1244</v>
      </c>
      <c r="G326" s="125" t="b">
        <v>0</v>
      </c>
      <c r="H326" s="125" t="b">
        <v>0</v>
      </c>
      <c r="I326" s="125" t="b">
        <v>0</v>
      </c>
      <c r="J326" s="125" t="b">
        <v>0</v>
      </c>
      <c r="K326" s="125" t="b">
        <v>0</v>
      </c>
      <c r="L326" s="125" t="b">
        <v>0</v>
      </c>
    </row>
    <row r="327" spans="1:12" ht="15">
      <c r="A327" s="127" t="s">
        <v>1530</v>
      </c>
      <c r="B327" s="126" t="s">
        <v>1788</v>
      </c>
      <c r="C327" s="125">
        <v>2</v>
      </c>
      <c r="D327" s="129">
        <v>0.017685255690537357</v>
      </c>
      <c r="E327" s="129">
        <v>1.278753600952829</v>
      </c>
      <c r="F327" s="125" t="s">
        <v>1244</v>
      </c>
      <c r="G327" s="125" t="b">
        <v>0</v>
      </c>
      <c r="H327" s="125" t="b">
        <v>0</v>
      </c>
      <c r="I327" s="125" t="b">
        <v>0</v>
      </c>
      <c r="J327" s="125" t="b">
        <v>0</v>
      </c>
      <c r="K327" s="125" t="b">
        <v>0</v>
      </c>
      <c r="L327" s="125" t="b">
        <v>0</v>
      </c>
    </row>
    <row r="328" spans="1:12" ht="15">
      <c r="A328" s="127" t="s">
        <v>1757</v>
      </c>
      <c r="B328" s="126" t="s">
        <v>1690</v>
      </c>
      <c r="C328" s="125">
        <v>2</v>
      </c>
      <c r="D328" s="129">
        <v>0.017685255690537357</v>
      </c>
      <c r="E328" s="129">
        <v>1.5797835966168103</v>
      </c>
      <c r="F328" s="125" t="s">
        <v>1244</v>
      </c>
      <c r="G328" s="125" t="b">
        <v>0</v>
      </c>
      <c r="H328" s="125" t="b">
        <v>0</v>
      </c>
      <c r="I328" s="125" t="b">
        <v>0</v>
      </c>
      <c r="J328" s="125" t="b">
        <v>0</v>
      </c>
      <c r="K328" s="125" t="b">
        <v>0</v>
      </c>
      <c r="L328" s="125" t="b">
        <v>0</v>
      </c>
    </row>
    <row r="329" spans="1:12" ht="15">
      <c r="A329" s="127" t="s">
        <v>1808</v>
      </c>
      <c r="B329" s="126" t="s">
        <v>1771</v>
      </c>
      <c r="C329" s="125">
        <v>2</v>
      </c>
      <c r="D329" s="129">
        <v>0.017685255690537357</v>
      </c>
      <c r="E329" s="129">
        <v>1.5797835966168103</v>
      </c>
      <c r="F329" s="125" t="s">
        <v>1244</v>
      </c>
      <c r="G329" s="125" t="b">
        <v>0</v>
      </c>
      <c r="H329" s="125" t="b">
        <v>0</v>
      </c>
      <c r="I329" s="125" t="b">
        <v>0</v>
      </c>
      <c r="J329" s="125" t="b">
        <v>0</v>
      </c>
      <c r="K329" s="125" t="b">
        <v>0</v>
      </c>
      <c r="L329" s="125" t="b">
        <v>0</v>
      </c>
    </row>
    <row r="330" spans="1:12" ht="15">
      <c r="A330" s="127" t="s">
        <v>1755</v>
      </c>
      <c r="B330" s="126" t="s">
        <v>1573</v>
      </c>
      <c r="C330" s="125">
        <v>2</v>
      </c>
      <c r="D330" s="129">
        <v>0.017685255690537357</v>
      </c>
      <c r="E330" s="129">
        <v>1.5797835966168103</v>
      </c>
      <c r="F330" s="125" t="s">
        <v>1244</v>
      </c>
      <c r="G330" s="125" t="b">
        <v>0</v>
      </c>
      <c r="H330" s="125" t="b">
        <v>0</v>
      </c>
      <c r="I330" s="125" t="b">
        <v>0</v>
      </c>
      <c r="J330" s="125" t="b">
        <v>0</v>
      </c>
      <c r="K330" s="125" t="b">
        <v>0</v>
      </c>
      <c r="L330" s="125" t="b">
        <v>0</v>
      </c>
    </row>
    <row r="331" spans="1:12" ht="15">
      <c r="A331" s="127" t="s">
        <v>1788</v>
      </c>
      <c r="B331" s="126" t="s">
        <v>1760</v>
      </c>
      <c r="C331" s="125">
        <v>2</v>
      </c>
      <c r="D331" s="129">
        <v>0.017685255690537357</v>
      </c>
      <c r="E331" s="129">
        <v>1.5797835966168103</v>
      </c>
      <c r="F331" s="125" t="s">
        <v>1244</v>
      </c>
      <c r="G331" s="125" t="b">
        <v>0</v>
      </c>
      <c r="H331" s="125" t="b">
        <v>0</v>
      </c>
      <c r="I331" s="125" t="b">
        <v>0</v>
      </c>
      <c r="J331" s="125" t="b">
        <v>0</v>
      </c>
      <c r="K331" s="125" t="b">
        <v>0</v>
      </c>
      <c r="L331" s="125" t="b">
        <v>0</v>
      </c>
    </row>
    <row r="332" spans="1:12" ht="15">
      <c r="A332" s="127" t="s">
        <v>1551</v>
      </c>
      <c r="B332" s="126" t="s">
        <v>1524</v>
      </c>
      <c r="C332" s="125">
        <v>2</v>
      </c>
      <c r="D332" s="129">
        <v>0.017685255690537357</v>
      </c>
      <c r="E332" s="129">
        <v>0.9777236052888478</v>
      </c>
      <c r="F332" s="125" t="s">
        <v>1244</v>
      </c>
      <c r="G332" s="125" t="b">
        <v>0</v>
      </c>
      <c r="H332" s="125" t="b">
        <v>0</v>
      </c>
      <c r="I332" s="125" t="b">
        <v>0</v>
      </c>
      <c r="J332" s="125" t="b">
        <v>0</v>
      </c>
      <c r="K332" s="125" t="b">
        <v>0</v>
      </c>
      <c r="L332" s="125" t="b">
        <v>0</v>
      </c>
    </row>
    <row r="333" spans="1:12" ht="15">
      <c r="A333" s="127" t="s">
        <v>1557</v>
      </c>
      <c r="B333" s="126" t="s">
        <v>1769</v>
      </c>
      <c r="C333" s="125">
        <v>2</v>
      </c>
      <c r="D333" s="129">
        <v>0.017685255690537357</v>
      </c>
      <c r="E333" s="129">
        <v>1.5797835966168103</v>
      </c>
      <c r="F333" s="125" t="s">
        <v>1244</v>
      </c>
      <c r="G333" s="125" t="b">
        <v>0</v>
      </c>
      <c r="H333" s="125" t="b">
        <v>0</v>
      </c>
      <c r="I333" s="125" t="b">
        <v>0</v>
      </c>
      <c r="J333" s="125" t="b">
        <v>0</v>
      </c>
      <c r="K333" s="125" t="b">
        <v>0</v>
      </c>
      <c r="L333" s="125" t="b">
        <v>0</v>
      </c>
    </row>
    <row r="334" spans="1:12" ht="15">
      <c r="A334" s="127" t="s">
        <v>1562</v>
      </c>
      <c r="B334" s="126" t="s">
        <v>1685</v>
      </c>
      <c r="C334" s="125">
        <v>2</v>
      </c>
      <c r="D334" s="129">
        <v>0.017685255690537357</v>
      </c>
      <c r="E334" s="129">
        <v>1.5797835966168103</v>
      </c>
      <c r="F334" s="125" t="s">
        <v>1244</v>
      </c>
      <c r="G334" s="125" t="b">
        <v>0</v>
      </c>
      <c r="H334" s="125" t="b">
        <v>0</v>
      </c>
      <c r="I334" s="125" t="b">
        <v>0</v>
      </c>
      <c r="J334" s="125" t="b">
        <v>0</v>
      </c>
      <c r="K334" s="125" t="b">
        <v>0</v>
      </c>
      <c r="L334" s="125" t="b">
        <v>0</v>
      </c>
    </row>
    <row r="335" spans="1:12" ht="15">
      <c r="A335" s="127" t="s">
        <v>1524</v>
      </c>
      <c r="B335" s="126" t="s">
        <v>1542</v>
      </c>
      <c r="C335" s="125">
        <v>2</v>
      </c>
      <c r="D335" s="129">
        <v>0.017685255690537357</v>
      </c>
      <c r="E335" s="129">
        <v>0.9777236052888478</v>
      </c>
      <c r="F335" s="125" t="s">
        <v>1244</v>
      </c>
      <c r="G335" s="125" t="b">
        <v>0</v>
      </c>
      <c r="H335" s="125" t="b">
        <v>0</v>
      </c>
      <c r="I335" s="125" t="b">
        <v>0</v>
      </c>
      <c r="J335" s="125" t="b">
        <v>0</v>
      </c>
      <c r="K335" s="125" t="b">
        <v>0</v>
      </c>
      <c r="L335" s="125" t="b">
        <v>0</v>
      </c>
    </row>
    <row r="336" spans="1:12" ht="15">
      <c r="A336" s="127" t="s">
        <v>1767</v>
      </c>
      <c r="B336" s="126" t="s">
        <v>1721</v>
      </c>
      <c r="C336" s="125">
        <v>2</v>
      </c>
      <c r="D336" s="129">
        <v>0.017685255690537357</v>
      </c>
      <c r="E336" s="129">
        <v>1.5797835966168103</v>
      </c>
      <c r="F336" s="125" t="s">
        <v>1244</v>
      </c>
      <c r="G336" s="125" t="b">
        <v>0</v>
      </c>
      <c r="H336" s="125" t="b">
        <v>0</v>
      </c>
      <c r="I336" s="125" t="b">
        <v>0</v>
      </c>
      <c r="J336" s="125" t="b">
        <v>0</v>
      </c>
      <c r="K336" s="125" t="b">
        <v>0</v>
      </c>
      <c r="L336" s="125" t="b">
        <v>0</v>
      </c>
    </row>
    <row r="337" spans="1:12" ht="15">
      <c r="A337" s="127" t="s">
        <v>1838</v>
      </c>
      <c r="B337" s="126" t="s">
        <v>1557</v>
      </c>
      <c r="C337" s="125">
        <v>2</v>
      </c>
      <c r="D337" s="129">
        <v>0.017685255690537357</v>
      </c>
      <c r="E337" s="129">
        <v>1.5797835966168103</v>
      </c>
      <c r="F337" s="125" t="s">
        <v>1244</v>
      </c>
      <c r="G337" s="125" t="b">
        <v>0</v>
      </c>
      <c r="H337" s="125" t="b">
        <v>0</v>
      </c>
      <c r="I337" s="125" t="b">
        <v>0</v>
      </c>
      <c r="J337" s="125" t="b">
        <v>0</v>
      </c>
      <c r="K337" s="125" t="b">
        <v>0</v>
      </c>
      <c r="L337" s="125" t="b">
        <v>0</v>
      </c>
    </row>
    <row r="338" spans="1:12" ht="15">
      <c r="A338" s="127" t="s">
        <v>1746</v>
      </c>
      <c r="B338" s="126" t="s">
        <v>1562</v>
      </c>
      <c r="C338" s="125">
        <v>2</v>
      </c>
      <c r="D338" s="129">
        <v>0.017685255690537357</v>
      </c>
      <c r="E338" s="129">
        <v>1.5797835966168103</v>
      </c>
      <c r="F338" s="125" t="s">
        <v>1244</v>
      </c>
      <c r="G338" s="125" t="b">
        <v>0</v>
      </c>
      <c r="H338" s="125" t="b">
        <v>0</v>
      </c>
      <c r="I338" s="125" t="b">
        <v>0</v>
      </c>
      <c r="J338" s="125" t="b">
        <v>0</v>
      </c>
      <c r="K338" s="125" t="b">
        <v>0</v>
      </c>
      <c r="L338" s="125" t="b">
        <v>0</v>
      </c>
    </row>
    <row r="339" spans="1:12" ht="15">
      <c r="A339" s="127" t="s">
        <v>1536</v>
      </c>
      <c r="B339" s="126" t="s">
        <v>1746</v>
      </c>
      <c r="C339" s="125">
        <v>2</v>
      </c>
      <c r="D339" s="129">
        <v>0.017685255690537357</v>
      </c>
      <c r="E339" s="129">
        <v>1.403692337561129</v>
      </c>
      <c r="F339" s="125" t="s">
        <v>1244</v>
      </c>
      <c r="G339" s="125" t="b">
        <v>0</v>
      </c>
      <c r="H339" s="125" t="b">
        <v>0</v>
      </c>
      <c r="I339" s="125" t="b">
        <v>0</v>
      </c>
      <c r="J339" s="125" t="b">
        <v>0</v>
      </c>
      <c r="K339" s="125" t="b">
        <v>0</v>
      </c>
      <c r="L339" s="125" t="b">
        <v>0</v>
      </c>
    </row>
    <row r="340" spans="1:12" ht="15">
      <c r="A340" s="127" t="s">
        <v>1705</v>
      </c>
      <c r="B340" s="126" t="s">
        <v>1536</v>
      </c>
      <c r="C340" s="125">
        <v>2</v>
      </c>
      <c r="D340" s="129">
        <v>0.017685255690537357</v>
      </c>
      <c r="E340" s="129">
        <v>1.403692337561129</v>
      </c>
      <c r="F340" s="125" t="s">
        <v>1244</v>
      </c>
      <c r="G340" s="125" t="b">
        <v>0</v>
      </c>
      <c r="H340" s="125" t="b">
        <v>0</v>
      </c>
      <c r="I340" s="125" t="b">
        <v>0</v>
      </c>
      <c r="J340" s="125" t="b">
        <v>0</v>
      </c>
      <c r="K340" s="125" t="b">
        <v>0</v>
      </c>
      <c r="L340" s="125" t="b">
        <v>0</v>
      </c>
    </row>
    <row r="341" spans="1:12" ht="15">
      <c r="A341" s="127" t="s">
        <v>1567</v>
      </c>
      <c r="B341" s="126" t="s">
        <v>1530</v>
      </c>
      <c r="C341" s="125">
        <v>2</v>
      </c>
      <c r="D341" s="129">
        <v>0.017685255690537357</v>
      </c>
      <c r="E341" s="129">
        <v>1.403692337561129</v>
      </c>
      <c r="F341" s="125" t="s">
        <v>1244</v>
      </c>
      <c r="G341" s="125" t="b">
        <v>0</v>
      </c>
      <c r="H341" s="125" t="b">
        <v>0</v>
      </c>
      <c r="I341" s="125" t="b">
        <v>0</v>
      </c>
      <c r="J341" s="125" t="b">
        <v>0</v>
      </c>
      <c r="K341" s="125" t="b">
        <v>0</v>
      </c>
      <c r="L341" s="125" t="b">
        <v>0</v>
      </c>
    </row>
    <row r="342" spans="1:12" ht="15">
      <c r="A342" s="127" t="s">
        <v>1685</v>
      </c>
      <c r="B342" s="126" t="s">
        <v>1749</v>
      </c>
      <c r="C342" s="125">
        <v>2</v>
      </c>
      <c r="D342" s="129">
        <v>0.017685255690537357</v>
      </c>
      <c r="E342" s="129">
        <v>1.5797835966168103</v>
      </c>
      <c r="F342" s="125" t="s">
        <v>1244</v>
      </c>
      <c r="G342" s="125" t="b">
        <v>0</v>
      </c>
      <c r="H342" s="125" t="b">
        <v>0</v>
      </c>
      <c r="I342" s="125" t="b">
        <v>0</v>
      </c>
      <c r="J342" s="125" t="b">
        <v>0</v>
      </c>
      <c r="K342" s="125" t="b">
        <v>0</v>
      </c>
      <c r="L342" s="125" t="b">
        <v>0</v>
      </c>
    </row>
    <row r="343" spans="1:12" ht="15">
      <c r="A343" s="127" t="s">
        <v>1547</v>
      </c>
      <c r="B343" s="126" t="s">
        <v>1757</v>
      </c>
      <c r="C343" s="125">
        <v>2</v>
      </c>
      <c r="D343" s="129">
        <v>0.017685255690537357</v>
      </c>
      <c r="E343" s="129">
        <v>1.5797835966168103</v>
      </c>
      <c r="F343" s="125" t="s">
        <v>1244</v>
      </c>
      <c r="G343" s="125" t="b">
        <v>0</v>
      </c>
      <c r="H343" s="125" t="b">
        <v>0</v>
      </c>
      <c r="I343" s="125" t="b">
        <v>0</v>
      </c>
      <c r="J343" s="125" t="b">
        <v>0</v>
      </c>
      <c r="K343" s="125" t="b">
        <v>0</v>
      </c>
      <c r="L343" s="125" t="b">
        <v>0</v>
      </c>
    </row>
    <row r="344" spans="1:12" ht="15">
      <c r="A344" s="127" t="s">
        <v>1760</v>
      </c>
      <c r="B344" s="126" t="s">
        <v>1755</v>
      </c>
      <c r="C344" s="125">
        <v>2</v>
      </c>
      <c r="D344" s="129">
        <v>0.017685255690537357</v>
      </c>
      <c r="E344" s="129">
        <v>1.5797835966168103</v>
      </c>
      <c r="F344" s="125" t="s">
        <v>1244</v>
      </c>
      <c r="G344" s="125" t="b">
        <v>0</v>
      </c>
      <c r="H344" s="125" t="b">
        <v>0</v>
      </c>
      <c r="I344" s="125" t="b">
        <v>0</v>
      </c>
      <c r="J344" s="125" t="b">
        <v>0</v>
      </c>
      <c r="K344" s="125" t="b">
        <v>0</v>
      </c>
      <c r="L344" s="125" t="b">
        <v>0</v>
      </c>
    </row>
    <row r="345" spans="1:12" ht="15">
      <c r="A345" s="127" t="s">
        <v>1542</v>
      </c>
      <c r="B345" s="126" t="s">
        <v>1799</v>
      </c>
      <c r="C345" s="125">
        <v>2</v>
      </c>
      <c r="D345" s="129">
        <v>0.017685255690537357</v>
      </c>
      <c r="E345" s="129">
        <v>1.5797835966168103</v>
      </c>
      <c r="F345" s="125" t="s">
        <v>1244</v>
      </c>
      <c r="G345" s="125" t="b">
        <v>0</v>
      </c>
      <c r="H345" s="125" t="b">
        <v>0</v>
      </c>
      <c r="I345" s="125" t="b">
        <v>0</v>
      </c>
      <c r="J345" s="125" t="b">
        <v>0</v>
      </c>
      <c r="K345" s="125" t="b">
        <v>0</v>
      </c>
      <c r="L345" s="125" t="b">
        <v>0</v>
      </c>
    </row>
    <row r="346" spans="1:12" ht="15">
      <c r="A346" s="127" t="s">
        <v>1756</v>
      </c>
      <c r="B346" s="126" t="s">
        <v>1763</v>
      </c>
      <c r="C346" s="125">
        <v>2</v>
      </c>
      <c r="D346" s="129">
        <v>0.017685255690537357</v>
      </c>
      <c r="E346" s="129">
        <v>1.5797835966168103</v>
      </c>
      <c r="F346" s="125" t="s">
        <v>1244</v>
      </c>
      <c r="G346" s="125" t="b">
        <v>0</v>
      </c>
      <c r="H346" s="125" t="b">
        <v>0</v>
      </c>
      <c r="I346" s="125" t="b">
        <v>0</v>
      </c>
      <c r="J346" s="125" t="b">
        <v>0</v>
      </c>
      <c r="K346" s="125" t="b">
        <v>0</v>
      </c>
      <c r="L346" s="125" t="b">
        <v>0</v>
      </c>
    </row>
    <row r="347" spans="1:12" ht="15">
      <c r="A347" s="127" t="s">
        <v>1710</v>
      </c>
      <c r="B347" s="126" t="s">
        <v>1551</v>
      </c>
      <c r="C347" s="125">
        <v>2</v>
      </c>
      <c r="D347" s="129">
        <v>0.017685255690537357</v>
      </c>
      <c r="E347" s="129">
        <v>1.5797835966168103</v>
      </c>
      <c r="F347" s="125" t="s">
        <v>1244</v>
      </c>
      <c r="G347" s="125" t="b">
        <v>0</v>
      </c>
      <c r="H347" s="125" t="b">
        <v>0</v>
      </c>
      <c r="I347" s="125" t="b">
        <v>0</v>
      </c>
      <c r="J347" s="125" t="b">
        <v>0</v>
      </c>
      <c r="K347" s="125" t="b">
        <v>0</v>
      </c>
      <c r="L347" s="125" t="b">
        <v>0</v>
      </c>
    </row>
    <row r="348" spans="1:12" ht="15">
      <c r="A348" s="127" t="s">
        <v>1747</v>
      </c>
      <c r="B348" s="126" t="s">
        <v>1710</v>
      </c>
      <c r="C348" s="125">
        <v>2</v>
      </c>
      <c r="D348" s="129">
        <v>0.017685255690537357</v>
      </c>
      <c r="E348" s="129">
        <v>1.5797835966168103</v>
      </c>
      <c r="F348" s="125" t="s">
        <v>1244</v>
      </c>
      <c r="G348" s="125" t="b">
        <v>0</v>
      </c>
      <c r="H348" s="125" t="b">
        <v>0</v>
      </c>
      <c r="I348" s="125" t="b">
        <v>0</v>
      </c>
      <c r="J348" s="125" t="b">
        <v>0</v>
      </c>
      <c r="K348" s="125" t="b">
        <v>0</v>
      </c>
      <c r="L348" s="125" t="b">
        <v>0</v>
      </c>
    </row>
    <row r="349" spans="1:12" ht="15">
      <c r="A349" s="127" t="s">
        <v>1573</v>
      </c>
      <c r="B349" s="126" t="s">
        <v>1808</v>
      </c>
      <c r="C349" s="125">
        <v>2</v>
      </c>
      <c r="D349" s="129">
        <v>0.017685255690537357</v>
      </c>
      <c r="E349" s="129">
        <v>1.5797835966168103</v>
      </c>
      <c r="F349" s="125" t="s">
        <v>1244</v>
      </c>
      <c r="G349" s="125" t="b">
        <v>0</v>
      </c>
      <c r="H349" s="125" t="b">
        <v>0</v>
      </c>
      <c r="I349" s="125" t="b">
        <v>0</v>
      </c>
      <c r="J349" s="125" t="b">
        <v>0</v>
      </c>
      <c r="K349" s="125" t="b">
        <v>0</v>
      </c>
      <c r="L349" s="125" t="b">
        <v>0</v>
      </c>
    </row>
    <row r="350" spans="1:12" ht="15">
      <c r="A350" s="127" t="s">
        <v>1769</v>
      </c>
      <c r="B350" s="126" t="s">
        <v>1567</v>
      </c>
      <c r="C350" s="125">
        <v>2</v>
      </c>
      <c r="D350" s="129">
        <v>0.017685255690537357</v>
      </c>
      <c r="E350" s="129">
        <v>1.5797835966168103</v>
      </c>
      <c r="F350" s="125" t="s">
        <v>1244</v>
      </c>
      <c r="G350" s="125" t="b">
        <v>0</v>
      </c>
      <c r="H350" s="125" t="b">
        <v>0</v>
      </c>
      <c r="I350" s="125" t="b">
        <v>0</v>
      </c>
      <c r="J350" s="125" t="b">
        <v>0</v>
      </c>
      <c r="K350" s="125" t="b">
        <v>0</v>
      </c>
      <c r="L350" s="125" t="b">
        <v>0</v>
      </c>
    </row>
    <row r="351" spans="1:12" ht="15">
      <c r="A351" s="127" t="s">
        <v>1531</v>
      </c>
      <c r="B351" s="126" t="s">
        <v>1525</v>
      </c>
      <c r="C351" s="125">
        <v>4</v>
      </c>
      <c r="D351" s="129">
        <v>0.0400196048375267</v>
      </c>
      <c r="E351" s="129">
        <v>1.1972805581256194</v>
      </c>
      <c r="F351" s="125" t="s">
        <v>1251</v>
      </c>
      <c r="G351" s="125" t="b">
        <v>0</v>
      </c>
      <c r="H351" s="125" t="b">
        <v>0</v>
      </c>
      <c r="I351" s="125" t="b">
        <v>0</v>
      </c>
      <c r="J351" s="125" t="b">
        <v>0</v>
      </c>
      <c r="K351" s="125" t="b">
        <v>0</v>
      </c>
      <c r="L351" s="125" t="b">
        <v>0</v>
      </c>
    </row>
    <row r="352" spans="1:12" ht="15">
      <c r="A352" s="127" t="s">
        <v>1558</v>
      </c>
      <c r="B352" s="126" t="s">
        <v>1842</v>
      </c>
      <c r="C352" s="125">
        <v>2</v>
      </c>
      <c r="D352" s="129">
        <v>0.02000980241876335</v>
      </c>
      <c r="E352" s="129">
        <v>1.4983105537896007</v>
      </c>
      <c r="F352" s="125" t="s">
        <v>1251</v>
      </c>
      <c r="G352" s="125" t="b">
        <v>0</v>
      </c>
      <c r="H352" s="125" t="b">
        <v>0</v>
      </c>
      <c r="I352" s="125" t="b">
        <v>0</v>
      </c>
      <c r="J352" s="125" t="b">
        <v>0</v>
      </c>
      <c r="K352" s="125" t="b">
        <v>0</v>
      </c>
      <c r="L352" s="125" t="b">
        <v>0</v>
      </c>
    </row>
    <row r="353" spans="1:12" ht="15">
      <c r="A353" s="127" t="s">
        <v>1738</v>
      </c>
      <c r="B353" s="126" t="s">
        <v>1753</v>
      </c>
      <c r="C353" s="125">
        <v>2</v>
      </c>
      <c r="D353" s="129">
        <v>0.02000980241876335</v>
      </c>
      <c r="E353" s="129">
        <v>1.4983105537896007</v>
      </c>
      <c r="F353" s="125" t="s">
        <v>1251</v>
      </c>
      <c r="G353" s="125" t="b">
        <v>0</v>
      </c>
      <c r="H353" s="125" t="b">
        <v>0</v>
      </c>
      <c r="I353" s="125" t="b">
        <v>0</v>
      </c>
      <c r="J353" s="125" t="b">
        <v>0</v>
      </c>
      <c r="K353" s="125" t="b">
        <v>0</v>
      </c>
      <c r="L353" s="125" t="b">
        <v>0</v>
      </c>
    </row>
    <row r="354" spans="1:12" ht="15">
      <c r="A354" s="127" t="s">
        <v>1552</v>
      </c>
      <c r="B354" s="126" t="s">
        <v>1563</v>
      </c>
      <c r="C354" s="125">
        <v>2</v>
      </c>
      <c r="D354" s="129">
        <v>0.02000980241876335</v>
      </c>
      <c r="E354" s="129">
        <v>1.4983105537896007</v>
      </c>
      <c r="F354" s="125" t="s">
        <v>1251</v>
      </c>
      <c r="G354" s="125" t="b">
        <v>0</v>
      </c>
      <c r="H354" s="125" t="b">
        <v>0</v>
      </c>
      <c r="I354" s="125" t="b">
        <v>0</v>
      </c>
      <c r="J354" s="125" t="b">
        <v>0</v>
      </c>
      <c r="K354" s="125" t="b">
        <v>0</v>
      </c>
      <c r="L354" s="125" t="b">
        <v>0</v>
      </c>
    </row>
    <row r="355" spans="1:12" ht="15">
      <c r="A355" s="127" t="s">
        <v>1574</v>
      </c>
      <c r="B355" s="126" t="s">
        <v>1859</v>
      </c>
      <c r="C355" s="125">
        <v>2</v>
      </c>
      <c r="D355" s="129">
        <v>0.02000980241876335</v>
      </c>
      <c r="E355" s="129">
        <v>1.4983105537896007</v>
      </c>
      <c r="F355" s="125" t="s">
        <v>1251</v>
      </c>
      <c r="G355" s="125" t="b">
        <v>0</v>
      </c>
      <c r="H355" s="125" t="b">
        <v>0</v>
      </c>
      <c r="I355" s="125" t="b">
        <v>0</v>
      </c>
      <c r="J355" s="125" t="b">
        <v>0</v>
      </c>
      <c r="K355" s="125" t="b">
        <v>0</v>
      </c>
      <c r="L355" s="125" t="b">
        <v>0</v>
      </c>
    </row>
    <row r="356" spans="1:12" ht="15">
      <c r="A356" s="127" t="s">
        <v>1845</v>
      </c>
      <c r="B356" s="126" t="s">
        <v>1537</v>
      </c>
      <c r="C356" s="125">
        <v>2</v>
      </c>
      <c r="D356" s="129">
        <v>0.02000980241876335</v>
      </c>
      <c r="E356" s="129">
        <v>1.3222192947339193</v>
      </c>
      <c r="F356" s="125" t="s">
        <v>1251</v>
      </c>
      <c r="G356" s="125" t="b">
        <v>0</v>
      </c>
      <c r="H356" s="125" t="b">
        <v>0</v>
      </c>
      <c r="I356" s="125" t="b">
        <v>0</v>
      </c>
      <c r="J356" s="125" t="b">
        <v>0</v>
      </c>
      <c r="K356" s="125" t="b">
        <v>0</v>
      </c>
      <c r="L356" s="125" t="b">
        <v>0</v>
      </c>
    </row>
    <row r="357" spans="1:12" ht="15">
      <c r="A357" s="127" t="s">
        <v>274</v>
      </c>
      <c r="B357" s="126" t="s">
        <v>1693</v>
      </c>
      <c r="C357" s="125">
        <v>2</v>
      </c>
      <c r="D357" s="129">
        <v>0.02000980241876335</v>
      </c>
      <c r="E357" s="129">
        <v>1.3222192947339193</v>
      </c>
      <c r="F357" s="125" t="s">
        <v>1251</v>
      </c>
      <c r="G357" s="125" t="b">
        <v>0</v>
      </c>
      <c r="H357" s="125" t="b">
        <v>0</v>
      </c>
      <c r="I357" s="125" t="b">
        <v>0</v>
      </c>
      <c r="J357" s="125" t="b">
        <v>0</v>
      </c>
      <c r="K357" s="125" t="b">
        <v>0</v>
      </c>
      <c r="L357" s="125" t="b">
        <v>0</v>
      </c>
    </row>
    <row r="358" spans="1:12" ht="15">
      <c r="A358" s="127" t="s">
        <v>1693</v>
      </c>
      <c r="B358" s="126" t="s">
        <v>1845</v>
      </c>
      <c r="C358" s="125">
        <v>2</v>
      </c>
      <c r="D358" s="129">
        <v>0.02000980241876335</v>
      </c>
      <c r="E358" s="129">
        <v>1.4983105537896007</v>
      </c>
      <c r="F358" s="125" t="s">
        <v>1251</v>
      </c>
      <c r="G358" s="125" t="b">
        <v>0</v>
      </c>
      <c r="H358" s="125" t="b">
        <v>0</v>
      </c>
      <c r="I358" s="125" t="b">
        <v>0</v>
      </c>
      <c r="J358" s="125" t="b">
        <v>0</v>
      </c>
      <c r="K358" s="125" t="b">
        <v>0</v>
      </c>
      <c r="L358" s="125" t="b">
        <v>0</v>
      </c>
    </row>
    <row r="359" spans="1:12" ht="15">
      <c r="A359" s="127" t="s">
        <v>1525</v>
      </c>
      <c r="B359" s="126" t="s">
        <v>274</v>
      </c>
      <c r="C359" s="125">
        <v>2</v>
      </c>
      <c r="D359" s="129">
        <v>0.02000980241876335</v>
      </c>
      <c r="E359" s="129">
        <v>1.4983105537896007</v>
      </c>
      <c r="F359" s="125" t="s">
        <v>1251</v>
      </c>
      <c r="G359" s="125" t="b">
        <v>0</v>
      </c>
      <c r="H359" s="125" t="b">
        <v>0</v>
      </c>
      <c r="I359" s="125" t="b">
        <v>0</v>
      </c>
      <c r="J359" s="125" t="b">
        <v>0</v>
      </c>
      <c r="K359" s="125" t="b">
        <v>0</v>
      </c>
      <c r="L359" s="125" t="b">
        <v>0</v>
      </c>
    </row>
    <row r="360" spans="1:12" ht="15">
      <c r="A360" s="127" t="s">
        <v>1568</v>
      </c>
      <c r="B360" s="126" t="s">
        <v>1558</v>
      </c>
      <c r="C360" s="125">
        <v>2</v>
      </c>
      <c r="D360" s="129">
        <v>0.02000980241876335</v>
      </c>
      <c r="E360" s="129">
        <v>1.4983105537896007</v>
      </c>
      <c r="F360" s="125" t="s">
        <v>1251</v>
      </c>
      <c r="G360" s="125" t="b">
        <v>0</v>
      </c>
      <c r="H360" s="125" t="b">
        <v>0</v>
      </c>
      <c r="I360" s="125" t="b">
        <v>0</v>
      </c>
      <c r="J360" s="125" t="b">
        <v>0</v>
      </c>
      <c r="K360" s="125" t="b">
        <v>0</v>
      </c>
      <c r="L360" s="125" t="b">
        <v>0</v>
      </c>
    </row>
    <row r="361" spans="1:12" ht="15">
      <c r="A361" s="127" t="s">
        <v>1847</v>
      </c>
      <c r="B361" s="126" t="s">
        <v>1738</v>
      </c>
      <c r="C361" s="125">
        <v>2</v>
      </c>
      <c r="D361" s="129">
        <v>0.02000980241876335</v>
      </c>
      <c r="E361" s="129">
        <v>1.4983105537896007</v>
      </c>
      <c r="F361" s="125" t="s">
        <v>1251</v>
      </c>
      <c r="G361" s="125" t="b">
        <v>0</v>
      </c>
      <c r="H361" s="125" t="b">
        <v>0</v>
      </c>
      <c r="I361" s="125" t="b">
        <v>0</v>
      </c>
      <c r="J361" s="125" t="b">
        <v>0</v>
      </c>
      <c r="K361" s="125" t="b">
        <v>0</v>
      </c>
      <c r="L361" s="125" t="b">
        <v>0</v>
      </c>
    </row>
    <row r="362" spans="1:12" ht="15">
      <c r="A362" s="127" t="s">
        <v>1859</v>
      </c>
      <c r="B362" s="126" t="s">
        <v>1750</v>
      </c>
      <c r="C362" s="125">
        <v>2</v>
      </c>
      <c r="D362" s="129">
        <v>0.02000980241876335</v>
      </c>
      <c r="E362" s="129">
        <v>1.4983105537896007</v>
      </c>
      <c r="F362" s="125" t="s">
        <v>1251</v>
      </c>
      <c r="G362" s="125" t="b">
        <v>0</v>
      </c>
      <c r="H362" s="125" t="b">
        <v>0</v>
      </c>
      <c r="I362" s="125" t="b">
        <v>0</v>
      </c>
      <c r="J362" s="125" t="b">
        <v>0</v>
      </c>
      <c r="K362" s="125" t="b">
        <v>0</v>
      </c>
      <c r="L362" s="125" t="b">
        <v>0</v>
      </c>
    </row>
    <row r="363" spans="1:12" ht="15">
      <c r="A363" s="127" t="s">
        <v>1753</v>
      </c>
      <c r="B363" s="126" t="s">
        <v>1694</v>
      </c>
      <c r="C363" s="125">
        <v>2</v>
      </c>
      <c r="D363" s="129">
        <v>0.02000980241876335</v>
      </c>
      <c r="E363" s="129">
        <v>1.4983105537896007</v>
      </c>
      <c r="F363" s="125" t="s">
        <v>1251</v>
      </c>
      <c r="G363" s="125" t="b">
        <v>0</v>
      </c>
      <c r="H363" s="125" t="b">
        <v>0</v>
      </c>
      <c r="I363" s="125" t="b">
        <v>0</v>
      </c>
      <c r="J363" s="125" t="b">
        <v>0</v>
      </c>
      <c r="K363" s="125" t="b">
        <v>0</v>
      </c>
      <c r="L363" s="125" t="b">
        <v>0</v>
      </c>
    </row>
    <row r="364" spans="1:12" ht="15">
      <c r="A364" s="127" t="s">
        <v>1842</v>
      </c>
      <c r="B364" s="126" t="s">
        <v>1552</v>
      </c>
      <c r="C364" s="125">
        <v>2</v>
      </c>
      <c r="D364" s="129">
        <v>0.02000980241876335</v>
      </c>
      <c r="E364" s="129">
        <v>1.4983105537896007</v>
      </c>
      <c r="F364" s="125" t="s">
        <v>1251</v>
      </c>
      <c r="G364" s="125" t="b">
        <v>0</v>
      </c>
      <c r="H364" s="125" t="b">
        <v>0</v>
      </c>
      <c r="I364" s="125" t="b">
        <v>0</v>
      </c>
      <c r="J364" s="125" t="b">
        <v>0</v>
      </c>
      <c r="K364" s="125" t="b">
        <v>0</v>
      </c>
      <c r="L364" s="125" t="b">
        <v>0</v>
      </c>
    </row>
    <row r="365" spans="1:12" ht="15">
      <c r="A365" s="127" t="s">
        <v>1537</v>
      </c>
      <c r="B365" s="126" t="s">
        <v>1531</v>
      </c>
      <c r="C365" s="125">
        <v>2</v>
      </c>
      <c r="D365" s="129">
        <v>0.02000980241876335</v>
      </c>
      <c r="E365" s="129">
        <v>1.1461280356782382</v>
      </c>
      <c r="F365" s="125" t="s">
        <v>1251</v>
      </c>
      <c r="G365" s="125" t="b">
        <v>0</v>
      </c>
      <c r="H365" s="125" t="b">
        <v>0</v>
      </c>
      <c r="I365" s="125" t="b">
        <v>0</v>
      </c>
      <c r="J365" s="125" t="b">
        <v>0</v>
      </c>
      <c r="K365" s="125" t="b">
        <v>0</v>
      </c>
      <c r="L365" s="125" t="b">
        <v>0</v>
      </c>
    </row>
    <row r="366" spans="1:12" ht="15">
      <c r="A366" s="127" t="s">
        <v>1694</v>
      </c>
      <c r="B366" s="126" t="s">
        <v>1568</v>
      </c>
      <c r="C366" s="125">
        <v>2</v>
      </c>
      <c r="D366" s="129">
        <v>0.02000980241876335</v>
      </c>
      <c r="E366" s="129">
        <v>1.4983105537896007</v>
      </c>
      <c r="F366" s="125" t="s">
        <v>1251</v>
      </c>
      <c r="G366" s="125" t="b">
        <v>0</v>
      </c>
      <c r="H366" s="125" t="b">
        <v>0</v>
      </c>
      <c r="I366" s="125" t="b">
        <v>0</v>
      </c>
      <c r="J366" s="125" t="b">
        <v>0</v>
      </c>
      <c r="K366" s="125" t="b">
        <v>0</v>
      </c>
      <c r="L366" s="125" t="b">
        <v>0</v>
      </c>
    </row>
    <row r="367" spans="1:12" ht="15">
      <c r="A367" s="127" t="s">
        <v>181</v>
      </c>
      <c r="B367" s="126" t="s">
        <v>179</v>
      </c>
      <c r="C367" s="125">
        <v>2</v>
      </c>
      <c r="D367" s="129">
        <v>0</v>
      </c>
      <c r="E367" s="129">
        <v>0.7781512503836436</v>
      </c>
      <c r="F367" s="125" t="s">
        <v>1263</v>
      </c>
      <c r="G367" s="125" t="b">
        <v>0</v>
      </c>
      <c r="H367" s="125" t="b">
        <v>0</v>
      </c>
      <c r="I367" s="125" t="b">
        <v>0</v>
      </c>
      <c r="J367" s="125" t="b">
        <v>0</v>
      </c>
      <c r="K367" s="125" t="b">
        <v>0</v>
      </c>
      <c r="L367" s="125" t="b">
        <v>0</v>
      </c>
    </row>
    <row r="368" spans="1:12" ht="15">
      <c r="A368" s="127" t="s">
        <v>183</v>
      </c>
      <c r="B368" s="126" t="s">
        <v>181</v>
      </c>
      <c r="C368" s="125">
        <v>2</v>
      </c>
      <c r="D368" s="129">
        <v>0</v>
      </c>
      <c r="E368" s="129">
        <v>0.7781512503836436</v>
      </c>
      <c r="F368" s="125" t="s">
        <v>1263</v>
      </c>
      <c r="G368" s="125" t="b">
        <v>0</v>
      </c>
      <c r="H368" s="125" t="b">
        <v>0</v>
      </c>
      <c r="I368" s="125" t="b">
        <v>0</v>
      </c>
      <c r="J368" s="125" t="b">
        <v>0</v>
      </c>
      <c r="K368" s="125" t="b">
        <v>0</v>
      </c>
      <c r="L368" s="125" t="b">
        <v>0</v>
      </c>
    </row>
    <row r="369" spans="1:12" ht="15">
      <c r="A369" s="127" t="s">
        <v>1772</v>
      </c>
      <c r="B369" s="126" t="s">
        <v>1548</v>
      </c>
      <c r="C369" s="125">
        <v>2</v>
      </c>
      <c r="D369" s="129">
        <v>0.009088023899422143</v>
      </c>
      <c r="E369" s="129">
        <v>1.6946051989335686</v>
      </c>
      <c r="F369" s="125" t="s">
        <v>1271</v>
      </c>
      <c r="G369" s="125" t="b">
        <v>0</v>
      </c>
      <c r="H369" s="125" t="b">
        <v>0</v>
      </c>
      <c r="I369" s="125" t="b">
        <v>0</v>
      </c>
      <c r="J369" s="125" t="b">
        <v>0</v>
      </c>
      <c r="K369" s="125" t="b">
        <v>0</v>
      </c>
      <c r="L369" s="125" t="b">
        <v>0</v>
      </c>
    </row>
    <row r="370" spans="1:12" ht="15">
      <c r="A370" s="127" t="s">
        <v>1793</v>
      </c>
      <c r="B370" s="126" t="s">
        <v>1718</v>
      </c>
      <c r="C370" s="125">
        <v>2</v>
      </c>
      <c r="D370" s="129">
        <v>0.009088023899422143</v>
      </c>
      <c r="E370" s="129">
        <v>1.6946051989335686</v>
      </c>
      <c r="F370" s="125" t="s">
        <v>1271</v>
      </c>
      <c r="G370" s="125" t="b">
        <v>0</v>
      </c>
      <c r="H370" s="125" t="b">
        <v>0</v>
      </c>
      <c r="I370" s="125" t="b">
        <v>0</v>
      </c>
      <c r="J370" s="125" t="b">
        <v>0</v>
      </c>
      <c r="K370" s="125" t="b">
        <v>0</v>
      </c>
      <c r="L370" s="125" t="b">
        <v>0</v>
      </c>
    </row>
    <row r="371" spans="1:12" ht="15">
      <c r="A371" s="127" t="s">
        <v>1718</v>
      </c>
      <c r="B371" s="126" t="s">
        <v>1575</v>
      </c>
      <c r="C371" s="125">
        <v>2</v>
      </c>
      <c r="D371" s="129">
        <v>0.009088023899422143</v>
      </c>
      <c r="E371" s="129">
        <v>1.6946051989335686</v>
      </c>
      <c r="F371" s="125" t="s">
        <v>1271</v>
      </c>
      <c r="G371" s="125" t="b">
        <v>0</v>
      </c>
      <c r="H371" s="125" t="b">
        <v>0</v>
      </c>
      <c r="I371" s="125" t="b">
        <v>0</v>
      </c>
      <c r="J371" s="125" t="b">
        <v>0</v>
      </c>
      <c r="K371" s="125" t="b">
        <v>0</v>
      </c>
      <c r="L371" s="125" t="b">
        <v>0</v>
      </c>
    </row>
    <row r="372" spans="1:12" ht="15">
      <c r="A372" s="127" t="s">
        <v>1711</v>
      </c>
      <c r="B372" s="126" t="s">
        <v>1559</v>
      </c>
      <c r="C372" s="125">
        <v>2</v>
      </c>
      <c r="D372" s="129">
        <v>0.009088023899422143</v>
      </c>
      <c r="E372" s="129">
        <v>1.6946051989335686</v>
      </c>
      <c r="F372" s="125" t="s">
        <v>1271</v>
      </c>
      <c r="G372" s="125" t="b">
        <v>0</v>
      </c>
      <c r="H372" s="125" t="b">
        <v>0</v>
      </c>
      <c r="I372" s="125" t="b">
        <v>0</v>
      </c>
      <c r="J372" s="125" t="b">
        <v>0</v>
      </c>
      <c r="K372" s="125" t="b">
        <v>0</v>
      </c>
      <c r="L372" s="125" t="b">
        <v>0</v>
      </c>
    </row>
    <row r="373" spans="1:12" ht="15">
      <c r="A373" s="127" t="s">
        <v>1548</v>
      </c>
      <c r="B373" s="126" t="s">
        <v>1564</v>
      </c>
      <c r="C373" s="125">
        <v>2</v>
      </c>
      <c r="D373" s="129">
        <v>0.009088023899422143</v>
      </c>
      <c r="E373" s="129">
        <v>1.6946051989335686</v>
      </c>
      <c r="F373" s="125" t="s">
        <v>1271</v>
      </c>
      <c r="G373" s="125" t="b">
        <v>0</v>
      </c>
      <c r="H373" s="125" t="b">
        <v>0</v>
      </c>
      <c r="I373" s="125" t="b">
        <v>0</v>
      </c>
      <c r="J373" s="125" t="b">
        <v>0</v>
      </c>
      <c r="K373" s="125" t="b">
        <v>0</v>
      </c>
      <c r="L373" s="125" t="b">
        <v>0</v>
      </c>
    </row>
    <row r="374" spans="1:12" ht="15">
      <c r="A374" s="127" t="s">
        <v>1727</v>
      </c>
      <c r="B374" s="126" t="s">
        <v>1766</v>
      </c>
      <c r="C374" s="125">
        <v>2</v>
      </c>
      <c r="D374" s="129">
        <v>0.009088023899422143</v>
      </c>
      <c r="E374" s="129">
        <v>1.6946051989335686</v>
      </c>
      <c r="F374" s="125" t="s">
        <v>1271</v>
      </c>
      <c r="G374" s="125" t="b">
        <v>0</v>
      </c>
      <c r="H374" s="125" t="b">
        <v>0</v>
      </c>
      <c r="I374" s="125" t="b">
        <v>0</v>
      </c>
      <c r="J374" s="125" t="b">
        <v>0</v>
      </c>
      <c r="K374" s="125" t="b">
        <v>0</v>
      </c>
      <c r="L374" s="125" t="b">
        <v>0</v>
      </c>
    </row>
    <row r="375" spans="1:12" ht="15">
      <c r="A375" s="127" t="s">
        <v>1827</v>
      </c>
      <c r="B375" s="126" t="s">
        <v>1697</v>
      </c>
      <c r="C375" s="125">
        <v>2</v>
      </c>
      <c r="D375" s="129">
        <v>0.009088023899422143</v>
      </c>
      <c r="E375" s="129">
        <v>1.6946051989335686</v>
      </c>
      <c r="F375" s="125" t="s">
        <v>1271</v>
      </c>
      <c r="G375" s="125" t="b">
        <v>0</v>
      </c>
      <c r="H375" s="125" t="b">
        <v>0</v>
      </c>
      <c r="I375" s="125" t="b">
        <v>0</v>
      </c>
      <c r="J375" s="125" t="b">
        <v>0</v>
      </c>
      <c r="K375" s="125" t="b">
        <v>0</v>
      </c>
      <c r="L375" s="125" t="b">
        <v>0</v>
      </c>
    </row>
    <row r="376" spans="1:12" ht="15">
      <c r="A376" s="127" t="s">
        <v>1683</v>
      </c>
      <c r="B376" s="126" t="s">
        <v>1568</v>
      </c>
      <c r="C376" s="125">
        <v>2</v>
      </c>
      <c r="D376" s="129">
        <v>0.009088023899422143</v>
      </c>
      <c r="E376" s="129">
        <v>1.6946051989335686</v>
      </c>
      <c r="F376" s="125" t="s">
        <v>1271</v>
      </c>
      <c r="G376" s="125" t="b">
        <v>0</v>
      </c>
      <c r="H376" s="125" t="b">
        <v>0</v>
      </c>
      <c r="I376" s="125" t="b">
        <v>0</v>
      </c>
      <c r="J376" s="125" t="b">
        <v>0</v>
      </c>
      <c r="K376" s="125" t="b">
        <v>0</v>
      </c>
      <c r="L376" s="125" t="b">
        <v>0</v>
      </c>
    </row>
    <row r="377" spans="1:12" ht="15">
      <c r="A377" s="127" t="s">
        <v>1543</v>
      </c>
      <c r="B377" s="126" t="s">
        <v>1832</v>
      </c>
      <c r="C377" s="125">
        <v>2</v>
      </c>
      <c r="D377" s="129">
        <v>0.009088023899422143</v>
      </c>
      <c r="E377" s="129">
        <v>1.6946051989335686</v>
      </c>
      <c r="F377" s="125" t="s">
        <v>1271</v>
      </c>
      <c r="G377" s="125" t="b">
        <v>0</v>
      </c>
      <c r="H377" s="125" t="b">
        <v>0</v>
      </c>
      <c r="I377" s="125" t="b">
        <v>0</v>
      </c>
      <c r="J377" s="125" t="b">
        <v>0</v>
      </c>
      <c r="K377" s="125" t="b">
        <v>0</v>
      </c>
      <c r="L377" s="125" t="b">
        <v>0</v>
      </c>
    </row>
    <row r="378" spans="1:12" ht="15">
      <c r="A378" s="127" t="s">
        <v>1714</v>
      </c>
      <c r="B378" s="126" t="s">
        <v>1689</v>
      </c>
      <c r="C378" s="125">
        <v>2</v>
      </c>
      <c r="D378" s="129">
        <v>0.009088023899422143</v>
      </c>
      <c r="E378" s="129">
        <v>1.6946051989335686</v>
      </c>
      <c r="F378" s="125" t="s">
        <v>1271</v>
      </c>
      <c r="G378" s="125" t="b">
        <v>0</v>
      </c>
      <c r="H378" s="125" t="b">
        <v>0</v>
      </c>
      <c r="I378" s="125" t="b">
        <v>0</v>
      </c>
      <c r="J378" s="125" t="b">
        <v>0</v>
      </c>
      <c r="K378" s="125" t="b">
        <v>0</v>
      </c>
      <c r="L378" s="125" t="b">
        <v>0</v>
      </c>
    </row>
    <row r="379" spans="1:12" ht="15">
      <c r="A379" s="127" t="s">
        <v>1575</v>
      </c>
      <c r="B379" s="126" t="s">
        <v>1711</v>
      </c>
      <c r="C379" s="125">
        <v>2</v>
      </c>
      <c r="D379" s="129">
        <v>0.009088023899422143</v>
      </c>
      <c r="E379" s="129">
        <v>1.6946051989335686</v>
      </c>
      <c r="F379" s="125" t="s">
        <v>1271</v>
      </c>
      <c r="G379" s="125" t="b">
        <v>0</v>
      </c>
      <c r="H379" s="125" t="b">
        <v>0</v>
      </c>
      <c r="I379" s="125" t="b">
        <v>0</v>
      </c>
      <c r="J379" s="125" t="b">
        <v>0</v>
      </c>
      <c r="K379" s="125" t="b">
        <v>0</v>
      </c>
      <c r="L379" s="125" t="b">
        <v>0</v>
      </c>
    </row>
    <row r="380" spans="1:12" ht="15">
      <c r="A380" s="127" t="s">
        <v>1708</v>
      </c>
      <c r="B380" s="126" t="s">
        <v>1532</v>
      </c>
      <c r="C380" s="125">
        <v>2</v>
      </c>
      <c r="D380" s="129">
        <v>0.009088023899422143</v>
      </c>
      <c r="E380" s="129">
        <v>1.5185139398778875</v>
      </c>
      <c r="F380" s="125" t="s">
        <v>1271</v>
      </c>
      <c r="G380" s="125" t="b">
        <v>0</v>
      </c>
      <c r="H380" s="125" t="b">
        <v>0</v>
      </c>
      <c r="I380" s="125" t="b">
        <v>0</v>
      </c>
      <c r="J380" s="125" t="b">
        <v>0</v>
      </c>
      <c r="K380" s="125" t="b">
        <v>0</v>
      </c>
      <c r="L380" s="125" t="b">
        <v>0</v>
      </c>
    </row>
    <row r="381" spans="1:12" ht="15">
      <c r="A381" s="127" t="s">
        <v>1766</v>
      </c>
      <c r="B381" s="126" t="s">
        <v>1801</v>
      </c>
      <c r="C381" s="125">
        <v>2</v>
      </c>
      <c r="D381" s="129">
        <v>0.009088023899422143</v>
      </c>
      <c r="E381" s="129">
        <v>1.6946051989335686</v>
      </c>
      <c r="F381" s="125" t="s">
        <v>1271</v>
      </c>
      <c r="G381" s="125" t="b">
        <v>0</v>
      </c>
      <c r="H381" s="125" t="b">
        <v>0</v>
      </c>
      <c r="I381" s="125" t="b">
        <v>0</v>
      </c>
      <c r="J381" s="125" t="b">
        <v>0</v>
      </c>
      <c r="K381" s="125" t="b">
        <v>0</v>
      </c>
      <c r="L381" s="125" t="b">
        <v>0</v>
      </c>
    </row>
    <row r="382" spans="1:12" ht="15">
      <c r="A382" s="127" t="s">
        <v>1539</v>
      </c>
      <c r="B382" s="126" t="s">
        <v>1703</v>
      </c>
      <c r="C382" s="125">
        <v>2</v>
      </c>
      <c r="D382" s="129">
        <v>0.009088023899422143</v>
      </c>
      <c r="E382" s="129">
        <v>1.5185139398778875</v>
      </c>
      <c r="F382" s="125" t="s">
        <v>1271</v>
      </c>
      <c r="G382" s="125" t="b">
        <v>0</v>
      </c>
      <c r="H382" s="125" t="b">
        <v>0</v>
      </c>
      <c r="I382" s="125" t="b">
        <v>0</v>
      </c>
      <c r="J382" s="125" t="b">
        <v>0</v>
      </c>
      <c r="K382" s="125" t="b">
        <v>0</v>
      </c>
      <c r="L382" s="125" t="b">
        <v>0</v>
      </c>
    </row>
    <row r="383" spans="1:12" ht="15">
      <c r="A383" s="127" t="s">
        <v>1697</v>
      </c>
      <c r="B383" s="126" t="s">
        <v>1569</v>
      </c>
      <c r="C383" s="125">
        <v>2</v>
      </c>
      <c r="D383" s="129">
        <v>0.009088023899422143</v>
      </c>
      <c r="E383" s="129">
        <v>1.6946051989335686</v>
      </c>
      <c r="F383" s="125" t="s">
        <v>1271</v>
      </c>
      <c r="G383" s="125" t="b">
        <v>0</v>
      </c>
      <c r="H383" s="125" t="b">
        <v>0</v>
      </c>
      <c r="I383" s="125" t="b">
        <v>0</v>
      </c>
      <c r="J383" s="125" t="b">
        <v>0</v>
      </c>
      <c r="K383" s="125" t="b">
        <v>0</v>
      </c>
      <c r="L383" s="125" t="b">
        <v>0</v>
      </c>
    </row>
    <row r="384" spans="1:12" ht="15">
      <c r="A384" s="127" t="s">
        <v>1691</v>
      </c>
      <c r="B384" s="126" t="s">
        <v>1776</v>
      </c>
      <c r="C384" s="125">
        <v>2</v>
      </c>
      <c r="D384" s="129">
        <v>0.009088023899422143</v>
      </c>
      <c r="E384" s="129">
        <v>1.6946051989335686</v>
      </c>
      <c r="F384" s="125" t="s">
        <v>1271</v>
      </c>
      <c r="G384" s="125" t="b">
        <v>0</v>
      </c>
      <c r="H384" s="125" t="b">
        <v>0</v>
      </c>
      <c r="I384" s="125" t="b">
        <v>0</v>
      </c>
      <c r="J384" s="125" t="b">
        <v>0</v>
      </c>
      <c r="K384" s="125" t="b">
        <v>0</v>
      </c>
      <c r="L384" s="125" t="b">
        <v>0</v>
      </c>
    </row>
    <row r="385" spans="1:12" ht="15">
      <c r="A385" s="127" t="s">
        <v>1564</v>
      </c>
      <c r="B385" s="126" t="s">
        <v>1553</v>
      </c>
      <c r="C385" s="125">
        <v>2</v>
      </c>
      <c r="D385" s="129">
        <v>0.009088023899422143</v>
      </c>
      <c r="E385" s="129">
        <v>1.6946051989335686</v>
      </c>
      <c r="F385" s="125" t="s">
        <v>1271</v>
      </c>
      <c r="G385" s="125" t="b">
        <v>0</v>
      </c>
      <c r="H385" s="125" t="b">
        <v>0</v>
      </c>
      <c r="I385" s="125" t="b">
        <v>0</v>
      </c>
      <c r="J385" s="125" t="b">
        <v>0</v>
      </c>
      <c r="K385" s="125" t="b">
        <v>0</v>
      </c>
      <c r="L385" s="125" t="b">
        <v>0</v>
      </c>
    </row>
    <row r="386" spans="1:12" ht="15">
      <c r="A386" s="127" t="s">
        <v>1701</v>
      </c>
      <c r="B386" s="126" t="s">
        <v>1526</v>
      </c>
      <c r="C386" s="125">
        <v>2</v>
      </c>
      <c r="D386" s="129">
        <v>0.009088023899422143</v>
      </c>
      <c r="E386" s="129">
        <v>1.5185139398778875</v>
      </c>
      <c r="F386" s="125" t="s">
        <v>1271</v>
      </c>
      <c r="G386" s="125" t="b">
        <v>0</v>
      </c>
      <c r="H386" s="125" t="b">
        <v>0</v>
      </c>
      <c r="I386" s="125" t="b">
        <v>0</v>
      </c>
      <c r="J386" s="125" t="b">
        <v>0</v>
      </c>
      <c r="K386" s="125" t="b">
        <v>0</v>
      </c>
      <c r="L386" s="125" t="b">
        <v>0</v>
      </c>
    </row>
    <row r="387" spans="1:12" ht="15">
      <c r="A387" s="127" t="s">
        <v>1801</v>
      </c>
      <c r="B387" s="126" t="s">
        <v>1815</v>
      </c>
      <c r="C387" s="125">
        <v>2</v>
      </c>
      <c r="D387" s="129">
        <v>0.009088023899422143</v>
      </c>
      <c r="E387" s="129">
        <v>1.6946051989335686</v>
      </c>
      <c r="F387" s="125" t="s">
        <v>1271</v>
      </c>
      <c r="G387" s="125" t="b">
        <v>0</v>
      </c>
      <c r="H387" s="125" t="b">
        <v>0</v>
      </c>
      <c r="I387" s="125" t="b">
        <v>0</v>
      </c>
      <c r="J387" s="125" t="b">
        <v>0</v>
      </c>
      <c r="K387" s="125" t="b">
        <v>0</v>
      </c>
      <c r="L387" s="125" t="b">
        <v>0</v>
      </c>
    </row>
    <row r="388" spans="1:12" ht="15">
      <c r="A388" s="127" t="s">
        <v>1858</v>
      </c>
      <c r="B388" s="126" t="s">
        <v>1772</v>
      </c>
      <c r="C388" s="125">
        <v>2</v>
      </c>
      <c r="D388" s="129">
        <v>0.009088023899422143</v>
      </c>
      <c r="E388" s="129">
        <v>1.6946051989335686</v>
      </c>
      <c r="F388" s="125" t="s">
        <v>1271</v>
      </c>
      <c r="G388" s="125" t="b">
        <v>0</v>
      </c>
      <c r="H388" s="125" t="b">
        <v>0</v>
      </c>
      <c r="I388" s="125" t="b">
        <v>0</v>
      </c>
      <c r="J388" s="125" t="b">
        <v>0</v>
      </c>
      <c r="K388" s="125" t="b">
        <v>0</v>
      </c>
      <c r="L388" s="125" t="b">
        <v>0</v>
      </c>
    </row>
    <row r="389" spans="1:12" ht="15">
      <c r="A389" s="127" t="s">
        <v>1559</v>
      </c>
      <c r="B389" s="126" t="s">
        <v>1831</v>
      </c>
      <c r="C389" s="125">
        <v>2</v>
      </c>
      <c r="D389" s="129">
        <v>0.009088023899422143</v>
      </c>
      <c r="E389" s="129">
        <v>1.6946051989335686</v>
      </c>
      <c r="F389" s="125" t="s">
        <v>1271</v>
      </c>
      <c r="G389" s="125" t="b">
        <v>0</v>
      </c>
      <c r="H389" s="125" t="b">
        <v>0</v>
      </c>
      <c r="I389" s="125" t="b">
        <v>0</v>
      </c>
      <c r="J389" s="125" t="b">
        <v>0</v>
      </c>
      <c r="K389" s="125" t="b">
        <v>0</v>
      </c>
      <c r="L389" s="125" t="b">
        <v>0</v>
      </c>
    </row>
    <row r="390" spans="1:12" ht="15">
      <c r="A390" s="127" t="s">
        <v>1532</v>
      </c>
      <c r="B390" s="126" t="s">
        <v>1543</v>
      </c>
      <c r="C390" s="125">
        <v>2</v>
      </c>
      <c r="D390" s="129">
        <v>0.009088023899422143</v>
      </c>
      <c r="E390" s="129">
        <v>1.6946051989335686</v>
      </c>
      <c r="F390" s="125" t="s">
        <v>1271</v>
      </c>
      <c r="G390" s="125" t="b">
        <v>0</v>
      </c>
      <c r="H390" s="125" t="b">
        <v>0</v>
      </c>
      <c r="I390" s="125" t="b">
        <v>0</v>
      </c>
      <c r="J390" s="125" t="b">
        <v>0</v>
      </c>
      <c r="K390" s="125" t="b">
        <v>0</v>
      </c>
      <c r="L390" s="125" t="b">
        <v>0</v>
      </c>
    </row>
    <row r="391" spans="1:12" ht="15">
      <c r="A391" s="127" t="s">
        <v>1731</v>
      </c>
      <c r="B391" s="126" t="s">
        <v>1714</v>
      </c>
      <c r="C391" s="125">
        <v>2</v>
      </c>
      <c r="D391" s="129">
        <v>0.009088023899422143</v>
      </c>
      <c r="E391" s="129">
        <v>1.6946051989335686</v>
      </c>
      <c r="F391" s="125" t="s">
        <v>1271</v>
      </c>
      <c r="G391" s="125" t="b">
        <v>0</v>
      </c>
      <c r="H391" s="125" t="b">
        <v>0</v>
      </c>
      <c r="I391" s="125" t="b">
        <v>0</v>
      </c>
      <c r="J391" s="125" t="b">
        <v>0</v>
      </c>
      <c r="K391" s="125" t="b">
        <v>0</v>
      </c>
      <c r="L391" s="125" t="b">
        <v>0</v>
      </c>
    </row>
    <row r="392" spans="1:12" ht="15">
      <c r="A392" s="127" t="s">
        <v>1776</v>
      </c>
      <c r="B392" s="126" t="s">
        <v>1713</v>
      </c>
      <c r="C392" s="125">
        <v>2</v>
      </c>
      <c r="D392" s="129">
        <v>0.009088023899422143</v>
      </c>
      <c r="E392" s="129">
        <v>1.6946051989335686</v>
      </c>
      <c r="F392" s="125" t="s">
        <v>1271</v>
      </c>
      <c r="G392" s="125" t="b">
        <v>0</v>
      </c>
      <c r="H392" s="125" t="b">
        <v>0</v>
      </c>
      <c r="I392" s="125" t="b">
        <v>0</v>
      </c>
      <c r="J392" s="125" t="b">
        <v>0</v>
      </c>
      <c r="K392" s="125" t="b">
        <v>0</v>
      </c>
      <c r="L392" s="125" t="b">
        <v>0</v>
      </c>
    </row>
    <row r="393" spans="1:12" ht="15">
      <c r="A393" s="127" t="s">
        <v>1717</v>
      </c>
      <c r="B393" s="126" t="s">
        <v>1793</v>
      </c>
      <c r="C393" s="125">
        <v>2</v>
      </c>
      <c r="D393" s="129">
        <v>0.009088023899422143</v>
      </c>
      <c r="E393" s="129">
        <v>1.6946051989335686</v>
      </c>
      <c r="F393" s="125" t="s">
        <v>1271</v>
      </c>
      <c r="G393" s="125" t="b">
        <v>0</v>
      </c>
      <c r="H393" s="125" t="b">
        <v>0</v>
      </c>
      <c r="I393" s="125" t="b">
        <v>0</v>
      </c>
      <c r="J393" s="125" t="b">
        <v>0</v>
      </c>
      <c r="K393" s="125" t="b">
        <v>0</v>
      </c>
      <c r="L393" s="125" t="b">
        <v>0</v>
      </c>
    </row>
    <row r="394" spans="1:12" ht="15">
      <c r="A394" s="127" t="s">
        <v>1707</v>
      </c>
      <c r="B394" s="126" t="s">
        <v>1683</v>
      </c>
      <c r="C394" s="125">
        <v>2</v>
      </c>
      <c r="D394" s="129">
        <v>0.009088023899422143</v>
      </c>
      <c r="E394" s="129">
        <v>1.6946051989335686</v>
      </c>
      <c r="F394" s="125" t="s">
        <v>1271</v>
      </c>
      <c r="G394" s="125" t="b">
        <v>0</v>
      </c>
      <c r="H394" s="125" t="b">
        <v>0</v>
      </c>
      <c r="I394" s="125" t="b">
        <v>0</v>
      </c>
      <c r="J394" s="125" t="b">
        <v>0</v>
      </c>
      <c r="K394" s="125" t="b">
        <v>0</v>
      </c>
      <c r="L394" s="125" t="b">
        <v>0</v>
      </c>
    </row>
    <row r="395" spans="1:12" ht="15">
      <c r="A395" s="127" t="s">
        <v>1832</v>
      </c>
      <c r="B395" s="126" t="s">
        <v>1707</v>
      </c>
      <c r="C395" s="125">
        <v>2</v>
      </c>
      <c r="D395" s="129">
        <v>0.009088023899422143</v>
      </c>
      <c r="E395" s="129">
        <v>1.6946051989335686</v>
      </c>
      <c r="F395" s="125" t="s">
        <v>1271</v>
      </c>
      <c r="G395" s="125" t="b">
        <v>0</v>
      </c>
      <c r="H395" s="125" t="b">
        <v>0</v>
      </c>
      <c r="I395" s="125" t="b">
        <v>0</v>
      </c>
      <c r="J395" s="125" t="b">
        <v>0</v>
      </c>
      <c r="K395" s="125" t="b">
        <v>0</v>
      </c>
      <c r="L395" s="125" t="b">
        <v>0</v>
      </c>
    </row>
    <row r="396" spans="1:12" ht="15">
      <c r="A396" s="127" t="s">
        <v>1787</v>
      </c>
      <c r="B396" s="126" t="s">
        <v>1727</v>
      </c>
      <c r="C396" s="125">
        <v>2</v>
      </c>
      <c r="D396" s="129">
        <v>0.009088023899422143</v>
      </c>
      <c r="E396" s="129">
        <v>1.6946051989335686</v>
      </c>
      <c r="F396" s="125" t="s">
        <v>1271</v>
      </c>
      <c r="G396" s="125" t="b">
        <v>0</v>
      </c>
      <c r="H396" s="125" t="b">
        <v>0</v>
      </c>
      <c r="I396" s="125" t="b">
        <v>0</v>
      </c>
      <c r="J396" s="125" t="b">
        <v>0</v>
      </c>
      <c r="K396" s="125" t="b">
        <v>0</v>
      </c>
      <c r="L396" s="125" t="b">
        <v>0</v>
      </c>
    </row>
    <row r="397" spans="1:12" ht="15">
      <c r="A397" s="127" t="s">
        <v>1526</v>
      </c>
      <c r="B397" s="126" t="s">
        <v>1787</v>
      </c>
      <c r="C397" s="125">
        <v>2</v>
      </c>
      <c r="D397" s="129">
        <v>0.009088023899422143</v>
      </c>
      <c r="E397" s="129">
        <v>1.5185139398778875</v>
      </c>
      <c r="F397" s="125" t="s">
        <v>1271</v>
      </c>
      <c r="G397" s="125" t="b">
        <v>0</v>
      </c>
      <c r="H397" s="125" t="b">
        <v>0</v>
      </c>
      <c r="I397" s="125" t="b">
        <v>0</v>
      </c>
      <c r="J397" s="125" t="b">
        <v>0</v>
      </c>
      <c r="K397" s="125" t="b">
        <v>0</v>
      </c>
      <c r="L397" s="125" t="b">
        <v>0</v>
      </c>
    </row>
    <row r="398" spans="1:12" ht="15">
      <c r="A398" s="127" t="s">
        <v>1712</v>
      </c>
      <c r="B398" s="126" t="s">
        <v>1704</v>
      </c>
      <c r="C398" s="125">
        <v>2</v>
      </c>
      <c r="D398" s="129">
        <v>0.009088023899422143</v>
      </c>
      <c r="E398" s="129">
        <v>1.6946051989335686</v>
      </c>
      <c r="F398" s="125" t="s">
        <v>1271</v>
      </c>
      <c r="G398" s="125" t="b">
        <v>0</v>
      </c>
      <c r="H398" s="125" t="b">
        <v>0</v>
      </c>
      <c r="I398" s="125" t="b">
        <v>0</v>
      </c>
      <c r="J398" s="125" t="b">
        <v>0</v>
      </c>
      <c r="K398" s="125" t="b">
        <v>0</v>
      </c>
      <c r="L398" s="125" t="b">
        <v>0</v>
      </c>
    </row>
    <row r="399" spans="1:12" ht="15">
      <c r="A399" s="127" t="s">
        <v>1713</v>
      </c>
      <c r="B399" s="126" t="s">
        <v>1712</v>
      </c>
      <c r="C399" s="125">
        <v>2</v>
      </c>
      <c r="D399" s="129">
        <v>0.009088023899422143</v>
      </c>
      <c r="E399" s="129">
        <v>1.6946051989335686</v>
      </c>
      <c r="F399" s="125" t="s">
        <v>1271</v>
      </c>
      <c r="G399" s="125" t="b">
        <v>0</v>
      </c>
      <c r="H399" s="125" t="b">
        <v>0</v>
      </c>
      <c r="I399" s="125" t="b">
        <v>0</v>
      </c>
      <c r="J399" s="125" t="b">
        <v>0</v>
      </c>
      <c r="K399" s="125" t="b">
        <v>0</v>
      </c>
      <c r="L399" s="125" t="b">
        <v>0</v>
      </c>
    </row>
    <row r="400" spans="1:12" ht="15">
      <c r="A400" s="127" t="s">
        <v>1703</v>
      </c>
      <c r="B400" s="126" t="s">
        <v>1731</v>
      </c>
      <c r="C400" s="125">
        <v>2</v>
      </c>
      <c r="D400" s="129">
        <v>0.009088023899422143</v>
      </c>
      <c r="E400" s="129">
        <v>1.6946051989335686</v>
      </c>
      <c r="F400" s="125" t="s">
        <v>1271</v>
      </c>
      <c r="G400" s="125" t="b">
        <v>0</v>
      </c>
      <c r="H400" s="125" t="b">
        <v>0</v>
      </c>
      <c r="I400" s="125" t="b">
        <v>0</v>
      </c>
      <c r="J400" s="125" t="b">
        <v>0</v>
      </c>
      <c r="K400" s="125" t="b">
        <v>0</v>
      </c>
      <c r="L400" s="125" t="b">
        <v>0</v>
      </c>
    </row>
    <row r="401" spans="1:12" ht="15">
      <c r="A401" s="127" t="s">
        <v>1815</v>
      </c>
      <c r="B401" s="126" t="s">
        <v>1858</v>
      </c>
      <c r="C401" s="125">
        <v>2</v>
      </c>
      <c r="D401" s="129">
        <v>0.009088023899422143</v>
      </c>
      <c r="E401" s="129">
        <v>1.6946051989335686</v>
      </c>
      <c r="F401" s="125" t="s">
        <v>1271</v>
      </c>
      <c r="G401" s="125" t="b">
        <v>0</v>
      </c>
      <c r="H401" s="125" t="b">
        <v>0</v>
      </c>
      <c r="I401" s="125" t="b">
        <v>0</v>
      </c>
      <c r="J401" s="125" t="b">
        <v>0</v>
      </c>
      <c r="K401" s="125" t="b">
        <v>0</v>
      </c>
      <c r="L401" s="125" t="b">
        <v>0</v>
      </c>
    </row>
    <row r="402" spans="1:12" ht="15">
      <c r="A402" s="127" t="s">
        <v>1689</v>
      </c>
      <c r="B402" s="126" t="s">
        <v>1827</v>
      </c>
      <c r="C402" s="125">
        <v>2</v>
      </c>
      <c r="D402" s="129">
        <v>0.009088023899422143</v>
      </c>
      <c r="E402" s="129">
        <v>1.6946051989335686</v>
      </c>
      <c r="F402" s="125" t="s">
        <v>1271</v>
      </c>
      <c r="G402" s="125" t="b">
        <v>0</v>
      </c>
      <c r="H402" s="125" t="b">
        <v>0</v>
      </c>
      <c r="I402" s="125" t="b">
        <v>0</v>
      </c>
      <c r="J402" s="125" t="b">
        <v>0</v>
      </c>
      <c r="K402" s="125" t="b">
        <v>0</v>
      </c>
      <c r="L402" s="125" t="b">
        <v>0</v>
      </c>
    </row>
    <row r="403" spans="1:12" ht="15">
      <c r="A403" s="127" t="s">
        <v>1568</v>
      </c>
      <c r="B403" s="126" t="s">
        <v>1539</v>
      </c>
      <c r="C403" s="125">
        <v>2</v>
      </c>
      <c r="D403" s="129">
        <v>0.009088023899422143</v>
      </c>
      <c r="E403" s="129">
        <v>1.5185139398778875</v>
      </c>
      <c r="F403" s="125" t="s">
        <v>1271</v>
      </c>
      <c r="G403" s="125" t="b">
        <v>0</v>
      </c>
      <c r="H403" s="125" t="b">
        <v>0</v>
      </c>
      <c r="I403" s="125" t="b">
        <v>0</v>
      </c>
      <c r="J403" s="125" t="b">
        <v>0</v>
      </c>
      <c r="K403" s="125" t="b">
        <v>0</v>
      </c>
      <c r="L403" s="125" t="b">
        <v>0</v>
      </c>
    </row>
    <row r="404" spans="1:12" ht="15">
      <c r="A404" s="127" t="s">
        <v>1704</v>
      </c>
      <c r="B404" s="126" t="s">
        <v>1717</v>
      </c>
      <c r="C404" s="125">
        <v>2</v>
      </c>
      <c r="D404" s="129">
        <v>0.009088023899422143</v>
      </c>
      <c r="E404" s="129">
        <v>1.6946051989335686</v>
      </c>
      <c r="F404" s="125" t="s">
        <v>1271</v>
      </c>
      <c r="G404" s="125" t="b">
        <v>0</v>
      </c>
      <c r="H404" s="125" t="b">
        <v>0</v>
      </c>
      <c r="I404" s="125" t="b">
        <v>0</v>
      </c>
      <c r="J404" s="125" t="b">
        <v>0</v>
      </c>
      <c r="K404" s="125" t="b">
        <v>0</v>
      </c>
      <c r="L404" s="125" t="b">
        <v>0</v>
      </c>
    </row>
    <row r="405" spans="1:12" ht="15">
      <c r="A405" s="127" t="s">
        <v>1556</v>
      </c>
      <c r="B405" s="126" t="s">
        <v>1507</v>
      </c>
      <c r="C405" s="125">
        <v>2</v>
      </c>
      <c r="D405" s="129">
        <v>0</v>
      </c>
      <c r="E405" s="129">
        <v>1.0413926851582251</v>
      </c>
      <c r="F405" s="125" t="s">
        <v>1278</v>
      </c>
      <c r="G405" s="125" t="b">
        <v>0</v>
      </c>
      <c r="H405" s="125" t="b">
        <v>0</v>
      </c>
      <c r="I405" s="125" t="b">
        <v>0</v>
      </c>
      <c r="J405" s="125" t="b">
        <v>0</v>
      </c>
      <c r="K405" s="125" t="b">
        <v>0</v>
      </c>
      <c r="L405" s="125" t="b">
        <v>0</v>
      </c>
    </row>
    <row r="406" spans="1:12" ht="15">
      <c r="A406" s="127" t="s">
        <v>1855</v>
      </c>
      <c r="B406" s="126" t="s">
        <v>1540</v>
      </c>
      <c r="C406" s="125">
        <v>2</v>
      </c>
      <c r="D406" s="129">
        <v>0</v>
      </c>
      <c r="E406" s="129">
        <v>1.0413926851582251</v>
      </c>
      <c r="F406" s="125" t="s">
        <v>1278</v>
      </c>
      <c r="G406" s="125" t="b">
        <v>0</v>
      </c>
      <c r="H406" s="125" t="b">
        <v>0</v>
      </c>
      <c r="I406" s="125" t="b">
        <v>0</v>
      </c>
      <c r="J406" s="125" t="b">
        <v>0</v>
      </c>
      <c r="K406" s="125" t="b">
        <v>0</v>
      </c>
      <c r="L406" s="125" t="b">
        <v>0</v>
      </c>
    </row>
    <row r="407" spans="1:12" ht="15">
      <c r="A407" s="127" t="s">
        <v>1507</v>
      </c>
      <c r="B407" s="126" t="s">
        <v>1549</v>
      </c>
      <c r="C407" s="125">
        <v>2</v>
      </c>
      <c r="D407" s="129">
        <v>0</v>
      </c>
      <c r="E407" s="129">
        <v>1.0413926851582251</v>
      </c>
      <c r="F407" s="125" t="s">
        <v>1278</v>
      </c>
      <c r="G407" s="125" t="b">
        <v>0</v>
      </c>
      <c r="H407" s="125" t="b">
        <v>0</v>
      </c>
      <c r="I407" s="125" t="b">
        <v>0</v>
      </c>
      <c r="J407" s="125" t="b">
        <v>0</v>
      </c>
      <c r="K407" s="125" t="b">
        <v>0</v>
      </c>
      <c r="L407" s="125" t="b">
        <v>0</v>
      </c>
    </row>
    <row r="408" spans="1:12" ht="15">
      <c r="A408" s="127" t="s">
        <v>1540</v>
      </c>
      <c r="B408" s="126" t="s">
        <v>1533</v>
      </c>
      <c r="C408" s="125">
        <v>2</v>
      </c>
      <c r="D408" s="129">
        <v>0</v>
      </c>
      <c r="E408" s="129">
        <v>1.0413926851582251</v>
      </c>
      <c r="F408" s="125" t="s">
        <v>1278</v>
      </c>
      <c r="G408" s="125" t="b">
        <v>0</v>
      </c>
      <c r="H408" s="125" t="b">
        <v>0</v>
      </c>
      <c r="I408" s="125" t="b">
        <v>0</v>
      </c>
      <c r="J408" s="125" t="b">
        <v>0</v>
      </c>
      <c r="K408" s="125" t="b">
        <v>0</v>
      </c>
      <c r="L408" s="125" t="b">
        <v>0</v>
      </c>
    </row>
    <row r="409" spans="1:12" ht="15">
      <c r="A409" s="127" t="s">
        <v>1544</v>
      </c>
      <c r="B409" s="126" t="s">
        <v>1556</v>
      </c>
      <c r="C409" s="125">
        <v>2</v>
      </c>
      <c r="D409" s="129">
        <v>0</v>
      </c>
      <c r="E409" s="129">
        <v>1.0413926851582251</v>
      </c>
      <c r="F409" s="125" t="s">
        <v>1278</v>
      </c>
      <c r="G409" s="125" t="b">
        <v>0</v>
      </c>
      <c r="H409" s="125" t="b">
        <v>0</v>
      </c>
      <c r="I409" s="125" t="b">
        <v>0</v>
      </c>
      <c r="J409" s="125" t="b">
        <v>0</v>
      </c>
      <c r="K409" s="125" t="b">
        <v>0</v>
      </c>
      <c r="L409" s="125" t="b">
        <v>0</v>
      </c>
    </row>
    <row r="410" spans="1:12" ht="15">
      <c r="A410" s="127" t="s">
        <v>1570</v>
      </c>
      <c r="B410" s="126" t="s">
        <v>1855</v>
      </c>
      <c r="C410" s="125">
        <v>2</v>
      </c>
      <c r="D410" s="129">
        <v>0</v>
      </c>
      <c r="E410" s="129">
        <v>1.0413926851582251</v>
      </c>
      <c r="F410" s="125" t="s">
        <v>1278</v>
      </c>
      <c r="G410" s="125" t="b">
        <v>0</v>
      </c>
      <c r="H410" s="125" t="b">
        <v>0</v>
      </c>
      <c r="I410" s="125" t="b">
        <v>0</v>
      </c>
      <c r="J410" s="125" t="b">
        <v>0</v>
      </c>
      <c r="K410" s="125" t="b">
        <v>0</v>
      </c>
      <c r="L410" s="125" t="b">
        <v>0</v>
      </c>
    </row>
    <row r="411" spans="1:12" ht="15">
      <c r="A411" s="127" t="s">
        <v>1554</v>
      </c>
      <c r="B411" s="126" t="s">
        <v>1576</v>
      </c>
      <c r="C411" s="125">
        <v>2</v>
      </c>
      <c r="D411" s="129">
        <v>0</v>
      </c>
      <c r="E411" s="129">
        <v>1.0413926851582251</v>
      </c>
      <c r="F411" s="125" t="s">
        <v>1278</v>
      </c>
      <c r="G411" s="125" t="b">
        <v>0</v>
      </c>
      <c r="H411" s="125" t="b">
        <v>0</v>
      </c>
      <c r="I411" s="125" t="b">
        <v>0</v>
      </c>
      <c r="J411" s="125" t="b">
        <v>0</v>
      </c>
      <c r="K411" s="125" t="b">
        <v>0</v>
      </c>
      <c r="L411" s="125" t="b">
        <v>0</v>
      </c>
    </row>
    <row r="412" spans="1:12" ht="15">
      <c r="A412" s="127" t="s">
        <v>1549</v>
      </c>
      <c r="B412" s="126" t="s">
        <v>1527</v>
      </c>
      <c r="C412" s="125">
        <v>2</v>
      </c>
      <c r="D412" s="129">
        <v>0</v>
      </c>
      <c r="E412" s="129">
        <v>1.0413926851582251</v>
      </c>
      <c r="F412" s="125" t="s">
        <v>1278</v>
      </c>
      <c r="G412" s="125" t="b">
        <v>0</v>
      </c>
      <c r="H412" s="125" t="b">
        <v>0</v>
      </c>
      <c r="I412" s="125" t="b">
        <v>0</v>
      </c>
      <c r="J412" s="125" t="b">
        <v>0</v>
      </c>
      <c r="K412" s="125" t="b">
        <v>0</v>
      </c>
      <c r="L412" s="125" t="b">
        <v>0</v>
      </c>
    </row>
    <row r="413" spans="1:12" ht="15">
      <c r="A413" s="127" t="s">
        <v>1527</v>
      </c>
      <c r="B413" s="126" t="s">
        <v>1570</v>
      </c>
      <c r="C413" s="125">
        <v>2</v>
      </c>
      <c r="D413" s="129">
        <v>0</v>
      </c>
      <c r="E413" s="129">
        <v>1.0413926851582251</v>
      </c>
      <c r="F413" s="125" t="s">
        <v>1278</v>
      </c>
      <c r="G413" s="125" t="b">
        <v>0</v>
      </c>
      <c r="H413" s="125" t="b">
        <v>0</v>
      </c>
      <c r="I413" s="125" t="b">
        <v>0</v>
      </c>
      <c r="J413" s="125" t="b">
        <v>0</v>
      </c>
      <c r="K413" s="125" t="b">
        <v>0</v>
      </c>
      <c r="L413" s="125" t="b">
        <v>0</v>
      </c>
    </row>
    <row r="414" spans="1:12" ht="15">
      <c r="A414" s="127" t="s">
        <v>1576</v>
      </c>
      <c r="B414" s="126" t="s">
        <v>1544</v>
      </c>
      <c r="C414" s="125">
        <v>2</v>
      </c>
      <c r="D414" s="129">
        <v>0</v>
      </c>
      <c r="E414" s="129">
        <v>1.0413926851582251</v>
      </c>
      <c r="F414" s="125" t="s">
        <v>1278</v>
      </c>
      <c r="G414" s="125" t="b">
        <v>0</v>
      </c>
      <c r="H414" s="125" t="b">
        <v>0</v>
      </c>
      <c r="I414" s="125" t="b">
        <v>0</v>
      </c>
      <c r="J414" s="125" t="b">
        <v>0</v>
      </c>
      <c r="K414" s="125" t="b">
        <v>0</v>
      </c>
      <c r="L414" s="125" t="b">
        <v>0</v>
      </c>
    </row>
    <row r="415" spans="1:12" ht="15">
      <c r="A415" s="127" t="s">
        <v>1800</v>
      </c>
      <c r="B415" s="126" t="s">
        <v>1758</v>
      </c>
      <c r="C415" s="125">
        <v>2</v>
      </c>
      <c r="D415" s="129">
        <v>0</v>
      </c>
      <c r="E415" s="129">
        <v>0.5440680443502757</v>
      </c>
      <c r="F415" s="125" t="s">
        <v>1294</v>
      </c>
      <c r="G415" s="125" t="b">
        <v>0</v>
      </c>
      <c r="H415" s="125" t="b">
        <v>0</v>
      </c>
      <c r="I415" s="125" t="b">
        <v>0</v>
      </c>
      <c r="J415" s="125" t="b">
        <v>0</v>
      </c>
      <c r="K415" s="125" t="b">
        <v>0</v>
      </c>
      <c r="L415" s="125" t="b">
        <v>0</v>
      </c>
    </row>
    <row r="416" spans="1:12" ht="15">
      <c r="A416" s="127" t="s">
        <v>1735</v>
      </c>
      <c r="B416" s="126" t="s">
        <v>1800</v>
      </c>
      <c r="C416" s="125">
        <v>2</v>
      </c>
      <c r="D416" s="129">
        <v>0</v>
      </c>
      <c r="E416" s="129">
        <v>0.5440680443502757</v>
      </c>
      <c r="F416" s="125" t="s">
        <v>1294</v>
      </c>
      <c r="G416" s="125" t="b">
        <v>0</v>
      </c>
      <c r="H416" s="125" t="b">
        <v>0</v>
      </c>
      <c r="I416" s="125" t="b">
        <v>0</v>
      </c>
      <c r="J416" s="125" t="b">
        <v>0</v>
      </c>
      <c r="K416" s="125" t="b">
        <v>0</v>
      </c>
      <c r="L416" s="125" t="b">
        <v>0</v>
      </c>
    </row>
    <row r="417" spans="1:12" ht="15">
      <c r="A417" s="127" t="s">
        <v>1722</v>
      </c>
      <c r="B417" s="126" t="s">
        <v>1735</v>
      </c>
      <c r="C417" s="125">
        <v>2</v>
      </c>
      <c r="D417" s="129">
        <v>0</v>
      </c>
      <c r="E417" s="129">
        <v>0.5440680443502757</v>
      </c>
      <c r="F417" s="125" t="s">
        <v>1294</v>
      </c>
      <c r="G417" s="125" t="b">
        <v>0</v>
      </c>
      <c r="H417" s="125" t="b">
        <v>0</v>
      </c>
      <c r="I417" s="125" t="b">
        <v>0</v>
      </c>
      <c r="J417" s="125" t="b">
        <v>0</v>
      </c>
      <c r="K417" s="125" t="b">
        <v>0</v>
      </c>
      <c r="L417" s="12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1871</v>
      </c>
      <c r="B1" s="7" t="s">
        <v>700</v>
      </c>
    </row>
    <row r="2" spans="1:2" ht="15">
      <c r="A2" s="119" t="s">
        <v>412</v>
      </c>
      <c r="B2" s="125">
        <v>130</v>
      </c>
    </row>
    <row r="3" spans="1:2" ht="15">
      <c r="A3" s="128" t="s">
        <v>183</v>
      </c>
      <c r="B3" s="125">
        <v>110</v>
      </c>
    </row>
    <row r="4" spans="1:2" ht="15">
      <c r="A4" s="128" t="s">
        <v>162</v>
      </c>
      <c r="B4" s="125">
        <v>76</v>
      </c>
    </row>
    <row r="5" spans="1:2" ht="15">
      <c r="A5" s="128" t="s">
        <v>380</v>
      </c>
      <c r="B5" s="125">
        <v>26</v>
      </c>
    </row>
    <row r="6" spans="1:2" ht="15">
      <c r="A6" s="128" t="s">
        <v>560</v>
      </c>
      <c r="B6" s="125">
        <v>22</v>
      </c>
    </row>
    <row r="7" spans="1:2" ht="15">
      <c r="A7" s="128" t="s">
        <v>317</v>
      </c>
      <c r="B7" s="125">
        <v>22</v>
      </c>
    </row>
    <row r="8" spans="1:2" ht="15">
      <c r="A8" s="128" t="s">
        <v>199</v>
      </c>
      <c r="B8" s="125">
        <v>20</v>
      </c>
    </row>
    <row r="9" spans="1:2" ht="15">
      <c r="A9" s="128" t="s">
        <v>262</v>
      </c>
      <c r="B9" s="125">
        <v>20</v>
      </c>
    </row>
    <row r="10" spans="1:2" ht="15">
      <c r="A10" s="128" t="s">
        <v>250</v>
      </c>
      <c r="B10" s="125">
        <v>10</v>
      </c>
    </row>
    <row r="11" spans="1:2" ht="15">
      <c r="A11" s="128" t="s">
        <v>387</v>
      </c>
      <c r="B11" s="125">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7" t="s">
        <v>1872</v>
      </c>
      <c r="B1" s="7" t="s">
        <v>1665</v>
      </c>
      <c r="C1" s="7" t="s">
        <v>29</v>
      </c>
      <c r="D1" s="7" t="s">
        <v>69</v>
      </c>
    </row>
    <row r="2" spans="1:4" ht="15">
      <c r="A2" t="s">
        <v>183</v>
      </c>
      <c r="B2" t="s">
        <v>1873</v>
      </c>
      <c r="C2" s="52" t="s">
        <v>1874</v>
      </c>
      <c r="D2" s="79">
        <v>43660.63070601852</v>
      </c>
    </row>
    <row r="3" spans="1:4" ht="15">
      <c r="A3" t="s">
        <v>183</v>
      </c>
      <c r="B3" t="s">
        <v>1875</v>
      </c>
      <c r="C3" s="52" t="s">
        <v>1874</v>
      </c>
      <c r="D3" s="79">
        <v>43660.63070601852</v>
      </c>
    </row>
    <row r="4" spans="1:4" ht="15">
      <c r="A4" t="s">
        <v>183</v>
      </c>
      <c r="B4" t="s">
        <v>1876</v>
      </c>
      <c r="C4" s="52" t="s">
        <v>1874</v>
      </c>
      <c r="D4" s="79">
        <v>43660.63070601852</v>
      </c>
    </row>
    <row r="5" spans="1:4" ht="15">
      <c r="A5" t="s">
        <v>183</v>
      </c>
      <c r="B5" t="s">
        <v>1877</v>
      </c>
      <c r="C5" s="52" t="s">
        <v>1874</v>
      </c>
      <c r="D5" s="79">
        <v>43660.63070601852</v>
      </c>
    </row>
    <row r="6" spans="1:4" ht="15">
      <c r="A6" t="s">
        <v>183</v>
      </c>
      <c r="B6" t="s">
        <v>1878</v>
      </c>
      <c r="C6" s="52" t="s">
        <v>1874</v>
      </c>
      <c r="D6" s="79">
        <v>43660.63070601852</v>
      </c>
    </row>
    <row r="7" spans="1:4" ht="15">
      <c r="A7" t="s">
        <v>183</v>
      </c>
      <c r="B7" t="s">
        <v>1879</v>
      </c>
      <c r="C7" s="52" t="s">
        <v>1874</v>
      </c>
      <c r="D7" s="79">
        <v>43660.63070601852</v>
      </c>
    </row>
    <row r="8" spans="1:4" ht="15">
      <c r="A8" t="s">
        <v>183</v>
      </c>
      <c r="B8" t="s">
        <v>1880</v>
      </c>
      <c r="C8" s="52" t="s">
        <v>1874</v>
      </c>
      <c r="D8" s="79">
        <v>43660.63070601852</v>
      </c>
    </row>
    <row r="9" spans="1:4" ht="15">
      <c r="A9" t="s">
        <v>183</v>
      </c>
      <c r="B9" t="s">
        <v>1881</v>
      </c>
      <c r="C9" s="52" t="s">
        <v>1874</v>
      </c>
      <c r="D9" s="79">
        <v>43660.63070601852</v>
      </c>
    </row>
    <row r="10" spans="1:4" ht="15">
      <c r="A10" t="s">
        <v>183</v>
      </c>
      <c r="B10" t="s">
        <v>1882</v>
      </c>
      <c r="C10" s="52" t="s">
        <v>1874</v>
      </c>
      <c r="D10" s="79">
        <v>43660.63070601852</v>
      </c>
    </row>
    <row r="11" spans="1:4" ht="15">
      <c r="A11" t="s">
        <v>183</v>
      </c>
      <c r="B11" t="s">
        <v>1883</v>
      </c>
      <c r="C11" s="52" t="s">
        <v>1874</v>
      </c>
      <c r="D11" s="79">
        <v>43660.63070601852</v>
      </c>
    </row>
    <row r="12" spans="1:4" ht="15">
      <c r="A12" t="s">
        <v>183</v>
      </c>
      <c r="B12" t="s">
        <v>1884</v>
      </c>
      <c r="C12" s="52" t="s">
        <v>1885</v>
      </c>
      <c r="D12" s="79">
        <v>43656.98128472222</v>
      </c>
    </row>
    <row r="13" spans="1:4" ht="15">
      <c r="A13" t="s">
        <v>183</v>
      </c>
      <c r="B13" t="s">
        <v>1886</v>
      </c>
      <c r="C13" s="52" t="s">
        <v>1885</v>
      </c>
      <c r="D13" s="79">
        <v>43656.98128472222</v>
      </c>
    </row>
    <row r="14" spans="1:4" ht="15">
      <c r="A14" t="s">
        <v>183</v>
      </c>
      <c r="B14" t="s">
        <v>1887</v>
      </c>
      <c r="C14" s="52" t="s">
        <v>1885</v>
      </c>
      <c r="D14" s="79">
        <v>43656.98128472222</v>
      </c>
    </row>
    <row r="15" spans="1:4" ht="15">
      <c r="A15" t="s">
        <v>183</v>
      </c>
      <c r="B15">
        <v>60</v>
      </c>
      <c r="C15" s="52" t="s">
        <v>1885</v>
      </c>
      <c r="D15" s="79">
        <v>43656.98128472222</v>
      </c>
    </row>
    <row r="16" spans="1:4" ht="15">
      <c r="A16" t="s">
        <v>183</v>
      </c>
      <c r="B16" t="s">
        <v>1888</v>
      </c>
      <c r="C16" s="52" t="s">
        <v>1885</v>
      </c>
      <c r="D16" s="79">
        <v>43656.98128472222</v>
      </c>
    </row>
    <row r="17" spans="1:4" ht="15">
      <c r="A17" t="s">
        <v>183</v>
      </c>
      <c r="B17" t="s">
        <v>1889</v>
      </c>
      <c r="C17" s="52" t="s">
        <v>1885</v>
      </c>
      <c r="D17" s="79">
        <v>43656.98128472222</v>
      </c>
    </row>
    <row r="18" spans="1:4" ht="15">
      <c r="A18" t="s">
        <v>183</v>
      </c>
      <c r="B18" t="s">
        <v>1890</v>
      </c>
      <c r="C18" s="52" t="s">
        <v>1885</v>
      </c>
      <c r="D18" s="79">
        <v>43656.98128472222</v>
      </c>
    </row>
    <row r="19" spans="1:4" ht="15">
      <c r="A19" t="s">
        <v>183</v>
      </c>
      <c r="B19" t="s">
        <v>1891</v>
      </c>
      <c r="C19" s="52" t="s">
        <v>1892</v>
      </c>
      <c r="D19" s="79">
        <v>43657.011030092595</v>
      </c>
    </row>
    <row r="20" spans="1:4" ht="15">
      <c r="A20" t="s">
        <v>183</v>
      </c>
      <c r="B20" t="s">
        <v>1893</v>
      </c>
      <c r="C20" s="52" t="s">
        <v>1892</v>
      </c>
      <c r="D20" s="79">
        <v>43657.011030092595</v>
      </c>
    </row>
    <row r="21" spans="1:4" ht="15">
      <c r="A21" t="s">
        <v>183</v>
      </c>
      <c r="B21" t="s">
        <v>1793</v>
      </c>
      <c r="C21" s="52" t="s">
        <v>1892</v>
      </c>
      <c r="D21" s="79">
        <v>43657.011030092595</v>
      </c>
    </row>
    <row r="22" spans="1:4" ht="15">
      <c r="A22" t="s">
        <v>183</v>
      </c>
      <c r="B22" t="s">
        <v>1886</v>
      </c>
      <c r="C22" s="52" t="s">
        <v>1892</v>
      </c>
      <c r="D22" s="79">
        <v>43657.011030092595</v>
      </c>
    </row>
    <row r="23" spans="1:4" ht="15">
      <c r="A23" t="s">
        <v>183</v>
      </c>
      <c r="B23" t="s">
        <v>1894</v>
      </c>
      <c r="C23" s="52" t="s">
        <v>1892</v>
      </c>
      <c r="D23" s="79">
        <v>43657.011030092595</v>
      </c>
    </row>
    <row r="24" spans="1:4" ht="15">
      <c r="A24" t="s">
        <v>183</v>
      </c>
      <c r="B24" t="s">
        <v>1512</v>
      </c>
      <c r="C24" s="52" t="s">
        <v>1892</v>
      </c>
      <c r="D24" s="79">
        <v>43657.011030092595</v>
      </c>
    </row>
    <row r="25" spans="1:4" ht="15">
      <c r="A25" t="s">
        <v>183</v>
      </c>
      <c r="B25" t="s">
        <v>1895</v>
      </c>
      <c r="C25" s="52" t="s">
        <v>1892</v>
      </c>
      <c r="D25" s="79">
        <v>43657.011030092595</v>
      </c>
    </row>
    <row r="26" spans="1:4" ht="15">
      <c r="A26" t="s">
        <v>183</v>
      </c>
      <c r="B26" t="s">
        <v>1896</v>
      </c>
      <c r="C26" s="52" t="s">
        <v>1892</v>
      </c>
      <c r="D26" s="79">
        <v>43657.011030092595</v>
      </c>
    </row>
    <row r="27" spans="1:4" ht="15">
      <c r="A27" t="s">
        <v>183</v>
      </c>
      <c r="B27" t="s">
        <v>1897</v>
      </c>
      <c r="C27" s="52" t="s">
        <v>1892</v>
      </c>
      <c r="D27" s="79">
        <v>43657.011030092595</v>
      </c>
    </row>
    <row r="28" spans="1:4" ht="15">
      <c r="A28" t="s">
        <v>183</v>
      </c>
      <c r="B28" t="s">
        <v>1890</v>
      </c>
      <c r="C28" s="52" t="s">
        <v>1892</v>
      </c>
      <c r="D28" s="79">
        <v>43657.011030092595</v>
      </c>
    </row>
    <row r="29" spans="1:4" ht="15">
      <c r="A29" t="s">
        <v>183</v>
      </c>
      <c r="B29" t="s">
        <v>1881</v>
      </c>
      <c r="C29" s="52" t="s">
        <v>1892</v>
      </c>
      <c r="D29" s="79">
        <v>43657.011030092595</v>
      </c>
    </row>
    <row r="30" spans="1:4" ht="15">
      <c r="A30" t="s">
        <v>183</v>
      </c>
      <c r="B30" t="s">
        <v>1898</v>
      </c>
      <c r="C30" s="52" t="s">
        <v>1899</v>
      </c>
      <c r="D30" s="79">
        <v>43657.00068287037</v>
      </c>
    </row>
    <row r="31" spans="1:4" ht="15">
      <c r="A31" t="s">
        <v>183</v>
      </c>
      <c r="B31" t="s">
        <v>1510</v>
      </c>
      <c r="C31" s="52" t="s">
        <v>1899</v>
      </c>
      <c r="D31" s="79">
        <v>43657.00068287037</v>
      </c>
    </row>
    <row r="32" spans="1:4" ht="15">
      <c r="A32" t="s">
        <v>183</v>
      </c>
      <c r="B32" t="s">
        <v>1512</v>
      </c>
      <c r="C32" s="52" t="s">
        <v>1899</v>
      </c>
      <c r="D32" s="79">
        <v>43657.00068287037</v>
      </c>
    </row>
    <row r="33" spans="1:4" ht="15">
      <c r="A33" t="s">
        <v>183</v>
      </c>
      <c r="B33" t="s">
        <v>1900</v>
      </c>
      <c r="C33" s="52" t="s">
        <v>1899</v>
      </c>
      <c r="D33" s="79">
        <v>43657.00068287037</v>
      </c>
    </row>
    <row r="34" spans="1:4" ht="15">
      <c r="A34" t="s">
        <v>183</v>
      </c>
      <c r="B34" t="s">
        <v>1901</v>
      </c>
      <c r="C34" s="52" t="s">
        <v>1899</v>
      </c>
      <c r="D34" s="79">
        <v>43657.00068287037</v>
      </c>
    </row>
    <row r="35" spans="1:4" ht="15">
      <c r="A35" t="s">
        <v>183</v>
      </c>
      <c r="B35" t="s">
        <v>1890</v>
      </c>
      <c r="C35" s="52" t="s">
        <v>1899</v>
      </c>
      <c r="D35" s="79">
        <v>43657.00068287037</v>
      </c>
    </row>
    <row r="36" spans="1:4" ht="15">
      <c r="A36" t="s">
        <v>183</v>
      </c>
      <c r="B36" t="s">
        <v>1881</v>
      </c>
      <c r="C36" s="52" t="s">
        <v>1899</v>
      </c>
      <c r="D36" s="79">
        <v>43657.00068287037</v>
      </c>
    </row>
    <row r="37" spans="1:4" ht="15">
      <c r="A37" t="s">
        <v>183</v>
      </c>
      <c r="B37" t="s">
        <v>1902</v>
      </c>
      <c r="C37" s="52" t="s">
        <v>1903</v>
      </c>
      <c r="D37" s="79">
        <v>43656.995034722226</v>
      </c>
    </row>
    <row r="38" spans="1:4" ht="15">
      <c r="A38" t="s">
        <v>183</v>
      </c>
      <c r="B38" t="s">
        <v>1904</v>
      </c>
      <c r="C38" s="52" t="s">
        <v>1903</v>
      </c>
      <c r="D38" s="79">
        <v>43656.995034722226</v>
      </c>
    </row>
    <row r="39" spans="1:4" ht="15">
      <c r="A39" t="s">
        <v>183</v>
      </c>
      <c r="B39" t="s">
        <v>1883</v>
      </c>
      <c r="C39" s="52" t="s">
        <v>1903</v>
      </c>
      <c r="D39" s="79">
        <v>43656.995034722226</v>
      </c>
    </row>
    <row r="40" spans="1:4" ht="15">
      <c r="A40" t="s">
        <v>183</v>
      </c>
      <c r="B40" t="s">
        <v>1905</v>
      </c>
      <c r="C40" s="52" t="s">
        <v>1903</v>
      </c>
      <c r="D40" s="79">
        <v>43656.995034722226</v>
      </c>
    </row>
    <row r="41" spans="1:4" ht="15">
      <c r="A41" t="s">
        <v>183</v>
      </c>
      <c r="B41" t="s">
        <v>1906</v>
      </c>
      <c r="C41" s="52" t="s">
        <v>1903</v>
      </c>
      <c r="D41" s="79">
        <v>43656.995034722226</v>
      </c>
    </row>
    <row r="42" spans="1:4" ht="15">
      <c r="A42" t="s">
        <v>183</v>
      </c>
      <c r="B42" t="s">
        <v>1890</v>
      </c>
      <c r="C42" s="52" t="s">
        <v>1903</v>
      </c>
      <c r="D42" s="79">
        <v>43656.995034722226</v>
      </c>
    </row>
    <row r="43" spans="1:4" ht="15">
      <c r="A43" t="s">
        <v>183</v>
      </c>
      <c r="B43" t="s">
        <v>1881</v>
      </c>
      <c r="C43" s="52" t="s">
        <v>1903</v>
      </c>
      <c r="D43" s="79">
        <v>43656.995034722226</v>
      </c>
    </row>
    <row r="44" spans="1:4" ht="15">
      <c r="A44" t="s">
        <v>183</v>
      </c>
      <c r="B44" t="s">
        <v>1907</v>
      </c>
      <c r="C44" s="52" t="s">
        <v>1908</v>
      </c>
      <c r="D44" s="79">
        <v>43656.98375</v>
      </c>
    </row>
    <row r="45" spans="1:4" ht="15">
      <c r="A45" t="s">
        <v>183</v>
      </c>
      <c r="B45" t="s">
        <v>1894</v>
      </c>
      <c r="C45" s="52" t="s">
        <v>1908</v>
      </c>
      <c r="D45" s="79">
        <v>43656.98375</v>
      </c>
    </row>
    <row r="46" spans="1:4" ht="15">
      <c r="A46" t="s">
        <v>183</v>
      </c>
      <c r="B46" t="s">
        <v>1909</v>
      </c>
      <c r="C46" s="52" t="s">
        <v>1908</v>
      </c>
      <c r="D46" s="79">
        <v>43656.98375</v>
      </c>
    </row>
    <row r="47" spans="1:4" ht="15">
      <c r="A47" t="s">
        <v>183</v>
      </c>
      <c r="B47" t="s">
        <v>1887</v>
      </c>
      <c r="C47" s="52" t="s">
        <v>1908</v>
      </c>
      <c r="D47" s="79">
        <v>43656.98375</v>
      </c>
    </row>
    <row r="48" spans="1:4" ht="15">
      <c r="A48" t="s">
        <v>183</v>
      </c>
      <c r="B48" t="s">
        <v>1890</v>
      </c>
      <c r="C48" s="52" t="s">
        <v>1908</v>
      </c>
      <c r="D48" s="79">
        <v>43656.98375</v>
      </c>
    </row>
    <row r="49" spans="1:4" ht="15">
      <c r="A49" t="s">
        <v>183</v>
      </c>
      <c r="B49" t="s">
        <v>1881</v>
      </c>
      <c r="C49" s="52" t="s">
        <v>1908</v>
      </c>
      <c r="D49" s="79">
        <v>43656.98375</v>
      </c>
    </row>
    <row r="50" spans="1:4" ht="15">
      <c r="A50" t="s">
        <v>183</v>
      </c>
      <c r="B50" t="s">
        <v>1890</v>
      </c>
      <c r="C50" s="52" t="s">
        <v>1910</v>
      </c>
      <c r="D50" s="79">
        <v>43656.97730324074</v>
      </c>
    </row>
    <row r="51" spans="1:4" ht="15">
      <c r="A51" t="s">
        <v>183</v>
      </c>
      <c r="B51" t="s">
        <v>1886</v>
      </c>
      <c r="C51" s="52" t="s">
        <v>1910</v>
      </c>
      <c r="D51" s="79">
        <v>43656.97730324074</v>
      </c>
    </row>
    <row r="52" spans="1:4" ht="15">
      <c r="A52" t="s">
        <v>183</v>
      </c>
      <c r="B52" t="s">
        <v>1894</v>
      </c>
      <c r="C52" s="52" t="s">
        <v>1910</v>
      </c>
      <c r="D52" s="79">
        <v>43656.97730324074</v>
      </c>
    </row>
    <row r="53" spans="1:4" ht="15">
      <c r="A53" t="s">
        <v>183</v>
      </c>
      <c r="B53" t="s">
        <v>1512</v>
      </c>
      <c r="C53" s="52" t="s">
        <v>1910</v>
      </c>
      <c r="D53" s="79">
        <v>43656.97730324074</v>
      </c>
    </row>
    <row r="54" spans="1:4" ht="15">
      <c r="A54" t="s">
        <v>183</v>
      </c>
      <c r="B54" t="s">
        <v>1881</v>
      </c>
      <c r="C54" s="52" t="s">
        <v>1910</v>
      </c>
      <c r="D54" s="79">
        <v>43656.97730324074</v>
      </c>
    </row>
    <row r="55" spans="1:4" ht="15">
      <c r="A55" t="s">
        <v>1911</v>
      </c>
      <c r="B55" t="s">
        <v>1881</v>
      </c>
      <c r="C55" s="52" t="s">
        <v>1912</v>
      </c>
      <c r="D55" s="79">
        <v>43654.69541666667</v>
      </c>
    </row>
    <row r="56" spans="1:4" ht="15">
      <c r="A56" t="s">
        <v>1911</v>
      </c>
      <c r="B56" t="s">
        <v>1913</v>
      </c>
      <c r="C56" s="52" t="s">
        <v>1912</v>
      </c>
      <c r="D56" s="79">
        <v>43654.69541666667</v>
      </c>
    </row>
    <row r="57" spans="1:4" ht="15">
      <c r="A57" t="s">
        <v>1911</v>
      </c>
      <c r="B57" t="s">
        <v>1914</v>
      </c>
      <c r="C57" s="52" t="s">
        <v>1912</v>
      </c>
      <c r="D57" s="79">
        <v>43654.69541666667</v>
      </c>
    </row>
    <row r="58" spans="1:4" ht="15">
      <c r="A58" t="s">
        <v>1911</v>
      </c>
      <c r="B58" t="s">
        <v>1915</v>
      </c>
      <c r="C58" s="52" t="s">
        <v>1912</v>
      </c>
      <c r="D58" s="79">
        <v>43654.69541666667</v>
      </c>
    </row>
    <row r="59" spans="1:4" ht="15">
      <c r="A59" t="s">
        <v>1911</v>
      </c>
      <c r="B59" t="s">
        <v>1916</v>
      </c>
      <c r="C59" s="52" t="s">
        <v>1912</v>
      </c>
      <c r="D59" s="79">
        <v>43654.69541666667</v>
      </c>
    </row>
    <row r="60" spans="1:4" ht="15">
      <c r="A60" t="s">
        <v>1911</v>
      </c>
      <c r="B60" t="s">
        <v>1917</v>
      </c>
      <c r="C60" s="52" t="s">
        <v>1912</v>
      </c>
      <c r="D60" s="79">
        <v>43654.69541666667</v>
      </c>
    </row>
    <row r="61" spans="1:4" ht="15">
      <c r="A61" t="s">
        <v>1911</v>
      </c>
      <c r="B61" t="s">
        <v>1918</v>
      </c>
      <c r="C61" s="52" t="s">
        <v>1912</v>
      </c>
      <c r="D61" s="79">
        <v>43654.69541666667</v>
      </c>
    </row>
    <row r="62" spans="1:4" ht="15">
      <c r="A62" t="s">
        <v>1911</v>
      </c>
      <c r="B62" t="s">
        <v>1919</v>
      </c>
      <c r="C62" s="52" t="s">
        <v>1912</v>
      </c>
      <c r="D62" s="79">
        <v>43654.69541666667</v>
      </c>
    </row>
    <row r="63" spans="1:4" ht="15">
      <c r="A63" t="s">
        <v>1911</v>
      </c>
      <c r="B63" t="s">
        <v>1920</v>
      </c>
      <c r="C63" s="52" t="s">
        <v>1912</v>
      </c>
      <c r="D63" s="79">
        <v>43654.69541666667</v>
      </c>
    </row>
    <row r="64" spans="1:4" ht="15">
      <c r="A64" t="s">
        <v>1911</v>
      </c>
      <c r="B64" t="s">
        <v>1921</v>
      </c>
      <c r="C64" s="52" t="s">
        <v>1912</v>
      </c>
      <c r="D64" s="79">
        <v>43654.69541666667</v>
      </c>
    </row>
    <row r="65" spans="1:4" ht="15">
      <c r="A65" t="s">
        <v>1911</v>
      </c>
      <c r="B65" t="s">
        <v>1922</v>
      </c>
      <c r="C65" s="52" t="s">
        <v>1912</v>
      </c>
      <c r="D65" s="79">
        <v>43654.69541666667</v>
      </c>
    </row>
    <row r="66" spans="1:4" ht="15">
      <c r="A66" t="s">
        <v>1911</v>
      </c>
      <c r="B66" t="s">
        <v>1923</v>
      </c>
      <c r="C66" s="52" t="s">
        <v>1912</v>
      </c>
      <c r="D66" s="79">
        <v>43654.69541666667</v>
      </c>
    </row>
    <row r="67" spans="1:4" ht="15">
      <c r="A67" t="s">
        <v>1911</v>
      </c>
      <c r="B67" t="s">
        <v>1924</v>
      </c>
      <c r="C67" s="52" t="s">
        <v>1912</v>
      </c>
      <c r="D67" s="79">
        <v>43654.69541666667</v>
      </c>
    </row>
    <row r="68" spans="1:4" ht="15">
      <c r="A68" t="s">
        <v>1911</v>
      </c>
      <c r="B68" t="s">
        <v>1925</v>
      </c>
      <c r="C68" s="52" t="s">
        <v>1912</v>
      </c>
      <c r="D68" s="79">
        <v>43654.69541666667</v>
      </c>
    </row>
    <row r="69" spans="1:4" ht="15">
      <c r="A69" t="s">
        <v>1911</v>
      </c>
      <c r="B69" t="s">
        <v>1926</v>
      </c>
      <c r="C69" s="52" t="s">
        <v>1912</v>
      </c>
      <c r="D69" s="79">
        <v>43654.69541666667</v>
      </c>
    </row>
    <row r="70" spans="1:4" ht="15">
      <c r="A70" t="s">
        <v>1911</v>
      </c>
      <c r="B70" t="s">
        <v>1927</v>
      </c>
      <c r="C70" s="52" t="s">
        <v>1912</v>
      </c>
      <c r="D70" s="79">
        <v>43654.69541666667</v>
      </c>
    </row>
    <row r="71" spans="1:4" ht="15">
      <c r="A71" t="s">
        <v>1911</v>
      </c>
      <c r="B71" t="s">
        <v>1928</v>
      </c>
      <c r="C71" s="52" t="s">
        <v>1912</v>
      </c>
      <c r="D71" s="79">
        <v>43654.69541666667</v>
      </c>
    </row>
    <row r="72" spans="1:4" ht="15">
      <c r="A72" t="s">
        <v>1911</v>
      </c>
      <c r="B72" t="s">
        <v>1929</v>
      </c>
      <c r="C72" s="52" t="s">
        <v>1912</v>
      </c>
      <c r="D72" s="79">
        <v>43654.69541666667</v>
      </c>
    </row>
    <row r="73" spans="1:4" ht="15">
      <c r="A73" t="s">
        <v>1911</v>
      </c>
      <c r="B73" t="s">
        <v>1930</v>
      </c>
      <c r="C73" s="52" t="s">
        <v>1912</v>
      </c>
      <c r="D73" s="79">
        <v>43654.69541666667</v>
      </c>
    </row>
    <row r="74" spans="1:4" ht="15">
      <c r="A74" t="s">
        <v>1911</v>
      </c>
      <c r="B74" t="s">
        <v>1931</v>
      </c>
      <c r="C74" s="52" t="s">
        <v>1912</v>
      </c>
      <c r="D74" s="79">
        <v>43654.69541666667</v>
      </c>
    </row>
    <row r="75" spans="1:4" ht="15">
      <c r="A75" t="s">
        <v>1911</v>
      </c>
      <c r="B75" t="s">
        <v>1932</v>
      </c>
      <c r="C75" s="52" t="s">
        <v>1912</v>
      </c>
      <c r="D75" s="79">
        <v>43654.69541666667</v>
      </c>
    </row>
    <row r="76" spans="1:4" ht="15">
      <c r="A76" t="s">
        <v>1911</v>
      </c>
      <c r="B76" t="s">
        <v>1933</v>
      </c>
      <c r="C76" s="52" t="s">
        <v>1912</v>
      </c>
      <c r="D76" s="79">
        <v>43654.69541666667</v>
      </c>
    </row>
    <row r="77" spans="1:4" ht="15">
      <c r="A77" t="s">
        <v>1911</v>
      </c>
      <c r="B77" t="s">
        <v>1934</v>
      </c>
      <c r="C77" s="52" t="s">
        <v>1912</v>
      </c>
      <c r="D77" s="79">
        <v>43654.69541666667</v>
      </c>
    </row>
    <row r="78" spans="1:4" ht="15">
      <c r="A78" t="s">
        <v>1911</v>
      </c>
      <c r="B78" t="s">
        <v>1935</v>
      </c>
      <c r="C78" s="52" t="s">
        <v>1912</v>
      </c>
      <c r="D78" s="79">
        <v>43654.69541666667</v>
      </c>
    </row>
    <row r="79" spans="1:4" ht="15">
      <c r="A79" t="s">
        <v>1911</v>
      </c>
      <c r="B79" t="s">
        <v>1936</v>
      </c>
      <c r="C79" s="52" t="s">
        <v>1912</v>
      </c>
      <c r="D79" s="79">
        <v>43654.69541666667</v>
      </c>
    </row>
    <row r="80" spans="1:4" ht="15">
      <c r="A80" t="s">
        <v>1911</v>
      </c>
      <c r="B80" t="s">
        <v>1890</v>
      </c>
      <c r="C80" s="52" t="s">
        <v>1912</v>
      </c>
      <c r="D80" s="79">
        <v>43654.69541666667</v>
      </c>
    </row>
    <row r="81" spans="1:4" ht="15">
      <c r="A81" t="s">
        <v>1911</v>
      </c>
      <c r="B81" t="s">
        <v>1877</v>
      </c>
      <c r="C81" s="52" t="s">
        <v>1912</v>
      </c>
      <c r="D81" s="79">
        <v>43654.69541666667</v>
      </c>
    </row>
    <row r="82" spans="1:4" ht="15">
      <c r="A82" t="s">
        <v>1911</v>
      </c>
      <c r="B82" t="s">
        <v>1937</v>
      </c>
      <c r="C82" s="52" t="s">
        <v>1912</v>
      </c>
      <c r="D82" s="79">
        <v>43654.69541666667</v>
      </c>
    </row>
    <row r="83" spans="1:4" ht="15">
      <c r="A83" t="s">
        <v>1911</v>
      </c>
      <c r="B83" t="s">
        <v>1938</v>
      </c>
      <c r="C83" s="52" t="s">
        <v>1912</v>
      </c>
      <c r="D83" s="79">
        <v>43654.69541666667</v>
      </c>
    </row>
    <row r="84" spans="1:4" ht="15">
      <c r="A84" t="s">
        <v>1911</v>
      </c>
      <c r="B84" t="s">
        <v>1939</v>
      </c>
      <c r="C84" s="52" t="s">
        <v>1912</v>
      </c>
      <c r="D84" s="79">
        <v>43654.69541666667</v>
      </c>
    </row>
    <row r="85" spans="1:4" ht="15">
      <c r="A85" t="s">
        <v>1911</v>
      </c>
      <c r="B85" t="s">
        <v>1940</v>
      </c>
      <c r="C85" s="52" t="s">
        <v>1912</v>
      </c>
      <c r="D85" s="79">
        <v>43654.69541666667</v>
      </c>
    </row>
    <row r="86" spans="1:4" ht="15">
      <c r="A86" t="s">
        <v>1911</v>
      </c>
      <c r="B86" t="s">
        <v>1941</v>
      </c>
      <c r="C86" s="52" t="s">
        <v>1912</v>
      </c>
      <c r="D86" s="79">
        <v>43654.69541666667</v>
      </c>
    </row>
    <row r="87" spans="1:4" ht="15">
      <c r="A87" t="s">
        <v>1911</v>
      </c>
      <c r="B87" t="s">
        <v>1942</v>
      </c>
      <c r="C87" s="52" t="s">
        <v>1912</v>
      </c>
      <c r="D87" s="79">
        <v>43654.69541666667</v>
      </c>
    </row>
    <row r="88" spans="1:4" ht="15">
      <c r="A88" t="s">
        <v>1911</v>
      </c>
      <c r="B88" t="s">
        <v>1943</v>
      </c>
      <c r="C88" s="52" t="s">
        <v>1912</v>
      </c>
      <c r="D88" s="79">
        <v>43654.69541666667</v>
      </c>
    </row>
    <row r="89" spans="1:4" ht="15">
      <c r="A89" t="s">
        <v>1911</v>
      </c>
      <c r="B89" t="s">
        <v>1879</v>
      </c>
      <c r="C89" s="52" t="s">
        <v>1912</v>
      </c>
      <c r="D89" s="79">
        <v>43654.69541666667</v>
      </c>
    </row>
    <row r="90" spans="1:4" ht="15">
      <c r="A90" t="s">
        <v>1911</v>
      </c>
      <c r="B90" t="s">
        <v>1944</v>
      </c>
      <c r="C90" s="52" t="s">
        <v>1912</v>
      </c>
      <c r="D90" s="79">
        <v>43654.69541666667</v>
      </c>
    </row>
    <row r="91" spans="1:4" ht="15">
      <c r="A91" t="s">
        <v>1911</v>
      </c>
      <c r="B91" t="s">
        <v>1945</v>
      </c>
      <c r="C91" s="52" t="s">
        <v>1912</v>
      </c>
      <c r="D91" s="79">
        <v>43654.69541666667</v>
      </c>
    </row>
    <row r="92" spans="1:4" ht="15">
      <c r="A92" t="s">
        <v>1911</v>
      </c>
      <c r="B92" t="s">
        <v>1946</v>
      </c>
      <c r="C92" s="52" t="s">
        <v>1912</v>
      </c>
      <c r="D92" s="79">
        <v>43654.69541666667</v>
      </c>
    </row>
    <row r="93" spans="1:4" ht="15">
      <c r="A93" t="s">
        <v>1911</v>
      </c>
      <c r="B93" t="s">
        <v>1947</v>
      </c>
      <c r="C93" s="52" t="s">
        <v>1912</v>
      </c>
      <c r="D93" s="79">
        <v>43654.69541666667</v>
      </c>
    </row>
    <row r="94" spans="1:4" ht="15">
      <c r="A94" t="s">
        <v>1911</v>
      </c>
      <c r="B94" t="s">
        <v>1881</v>
      </c>
      <c r="C94" s="52" t="s">
        <v>1948</v>
      </c>
      <c r="D94" s="79">
        <v>43654.694375</v>
      </c>
    </row>
    <row r="95" spans="1:4" ht="15">
      <c r="A95" t="s">
        <v>1911</v>
      </c>
      <c r="B95" t="s">
        <v>1913</v>
      </c>
      <c r="C95" s="52" t="s">
        <v>1948</v>
      </c>
      <c r="D95" s="79">
        <v>43654.694375</v>
      </c>
    </row>
    <row r="96" spans="1:4" ht="15">
      <c r="A96" t="s">
        <v>1911</v>
      </c>
      <c r="B96" t="s">
        <v>1914</v>
      </c>
      <c r="C96" s="52" t="s">
        <v>1948</v>
      </c>
      <c r="D96" s="79">
        <v>43654.694375</v>
      </c>
    </row>
    <row r="97" spans="1:4" ht="15">
      <c r="A97" t="s">
        <v>1911</v>
      </c>
      <c r="B97" t="s">
        <v>1915</v>
      </c>
      <c r="C97" s="52" t="s">
        <v>1948</v>
      </c>
      <c r="D97" s="79">
        <v>43654.694375</v>
      </c>
    </row>
    <row r="98" spans="1:4" ht="15">
      <c r="A98" t="s">
        <v>1911</v>
      </c>
      <c r="B98" t="s">
        <v>1916</v>
      </c>
      <c r="C98" s="52" t="s">
        <v>1948</v>
      </c>
      <c r="D98" s="79">
        <v>43654.694375</v>
      </c>
    </row>
    <row r="99" spans="1:4" ht="15">
      <c r="A99" t="s">
        <v>1911</v>
      </c>
      <c r="B99" t="s">
        <v>1917</v>
      </c>
      <c r="C99" s="52" t="s">
        <v>1948</v>
      </c>
      <c r="D99" s="79">
        <v>43654.694375</v>
      </c>
    </row>
    <row r="100" spans="1:4" ht="15">
      <c r="A100" t="s">
        <v>1911</v>
      </c>
      <c r="B100" t="s">
        <v>1918</v>
      </c>
      <c r="C100" s="52" t="s">
        <v>1948</v>
      </c>
      <c r="D100" s="79">
        <v>43654.694375</v>
      </c>
    </row>
    <row r="101" spans="1:4" ht="15">
      <c r="A101" t="s">
        <v>1911</v>
      </c>
      <c r="B101" t="s">
        <v>1919</v>
      </c>
      <c r="C101" s="52" t="s">
        <v>1948</v>
      </c>
      <c r="D101" s="79">
        <v>43654.694375</v>
      </c>
    </row>
    <row r="102" spans="1:4" ht="15">
      <c r="A102" t="s">
        <v>1911</v>
      </c>
      <c r="B102" t="s">
        <v>1920</v>
      </c>
      <c r="C102" s="52" t="s">
        <v>1948</v>
      </c>
      <c r="D102" s="79">
        <v>43654.694375</v>
      </c>
    </row>
    <row r="103" spans="1:4" ht="15">
      <c r="A103" t="s">
        <v>1911</v>
      </c>
      <c r="B103" t="s">
        <v>1949</v>
      </c>
      <c r="C103" s="52" t="s">
        <v>1948</v>
      </c>
      <c r="D103" s="79">
        <v>43654.694375</v>
      </c>
    </row>
    <row r="104" spans="1:4" ht="15">
      <c r="A104" t="s">
        <v>1911</v>
      </c>
      <c r="B104" t="s">
        <v>1922</v>
      </c>
      <c r="C104" s="52" t="s">
        <v>1948</v>
      </c>
      <c r="D104" s="79">
        <v>43654.694375</v>
      </c>
    </row>
    <row r="105" spans="1:4" ht="15">
      <c r="A105" t="s">
        <v>1911</v>
      </c>
      <c r="B105" t="s">
        <v>1923</v>
      </c>
      <c r="C105" s="52" t="s">
        <v>1948</v>
      </c>
      <c r="D105" s="79">
        <v>43654.694375</v>
      </c>
    </row>
    <row r="106" spans="1:4" ht="15">
      <c r="A106" t="s">
        <v>1911</v>
      </c>
      <c r="B106" t="s">
        <v>1924</v>
      </c>
      <c r="C106" s="52" t="s">
        <v>1948</v>
      </c>
      <c r="D106" s="79">
        <v>43654.694375</v>
      </c>
    </row>
    <row r="107" spans="1:4" ht="15">
      <c r="A107" t="s">
        <v>1911</v>
      </c>
      <c r="B107" t="s">
        <v>1925</v>
      </c>
      <c r="C107" s="52" t="s">
        <v>1948</v>
      </c>
      <c r="D107" s="79">
        <v>43654.694375</v>
      </c>
    </row>
    <row r="108" spans="1:4" ht="15">
      <c r="A108" t="s">
        <v>1911</v>
      </c>
      <c r="B108" t="s">
        <v>1926</v>
      </c>
      <c r="C108" s="52" t="s">
        <v>1948</v>
      </c>
      <c r="D108" s="79">
        <v>43654.694375</v>
      </c>
    </row>
    <row r="109" spans="1:4" ht="15">
      <c r="A109" t="s">
        <v>1911</v>
      </c>
      <c r="B109" t="s">
        <v>1927</v>
      </c>
      <c r="C109" s="52" t="s">
        <v>1948</v>
      </c>
      <c r="D109" s="79">
        <v>43654.694375</v>
      </c>
    </row>
    <row r="110" spans="1:4" ht="15">
      <c r="A110" t="s">
        <v>1911</v>
      </c>
      <c r="B110" t="s">
        <v>1928</v>
      </c>
      <c r="C110" s="52" t="s">
        <v>1948</v>
      </c>
      <c r="D110" s="79">
        <v>43654.694375</v>
      </c>
    </row>
    <row r="111" spans="1:4" ht="15">
      <c r="A111" t="s">
        <v>1911</v>
      </c>
      <c r="B111" t="s">
        <v>1929</v>
      </c>
      <c r="C111" s="52" t="s">
        <v>1948</v>
      </c>
      <c r="D111" s="79">
        <v>43654.694375</v>
      </c>
    </row>
    <row r="112" spans="1:4" ht="15">
      <c r="A112" t="s">
        <v>1911</v>
      </c>
      <c r="B112" t="s">
        <v>1930</v>
      </c>
      <c r="C112" s="52" t="s">
        <v>1948</v>
      </c>
      <c r="D112" s="79">
        <v>43654.694375</v>
      </c>
    </row>
    <row r="113" spans="1:4" ht="15">
      <c r="A113" t="s">
        <v>1911</v>
      </c>
      <c r="B113" t="s">
        <v>1931</v>
      </c>
      <c r="C113" s="52" t="s">
        <v>1948</v>
      </c>
      <c r="D113" s="79">
        <v>43654.694375</v>
      </c>
    </row>
    <row r="114" spans="1:4" ht="15">
      <c r="A114" t="s">
        <v>1911</v>
      </c>
      <c r="B114" t="s">
        <v>1932</v>
      </c>
      <c r="C114" s="52" t="s">
        <v>1948</v>
      </c>
      <c r="D114" s="79">
        <v>43654.694375</v>
      </c>
    </row>
    <row r="115" spans="1:4" ht="15">
      <c r="A115" t="s">
        <v>1911</v>
      </c>
      <c r="B115" t="s">
        <v>1933</v>
      </c>
      <c r="C115" s="52" t="s">
        <v>1948</v>
      </c>
      <c r="D115" s="79">
        <v>43654.694375</v>
      </c>
    </row>
    <row r="116" spans="1:4" ht="15">
      <c r="A116" t="s">
        <v>1911</v>
      </c>
      <c r="B116" t="s">
        <v>1934</v>
      </c>
      <c r="C116" s="52" t="s">
        <v>1948</v>
      </c>
      <c r="D116" s="79">
        <v>43654.694375</v>
      </c>
    </row>
    <row r="117" spans="1:4" ht="15">
      <c r="A117" t="s">
        <v>1911</v>
      </c>
      <c r="B117" t="s">
        <v>1935</v>
      </c>
      <c r="C117" s="52" t="s">
        <v>1948</v>
      </c>
      <c r="D117" s="79">
        <v>43654.694375</v>
      </c>
    </row>
    <row r="118" spans="1:4" ht="15">
      <c r="A118" t="s">
        <v>1911</v>
      </c>
      <c r="B118" t="s">
        <v>1936</v>
      </c>
      <c r="C118" s="52" t="s">
        <v>1948</v>
      </c>
      <c r="D118" s="79">
        <v>43654.694375</v>
      </c>
    </row>
    <row r="119" spans="1:4" ht="15">
      <c r="A119" t="s">
        <v>1911</v>
      </c>
      <c r="B119" t="s">
        <v>1890</v>
      </c>
      <c r="C119" s="52" t="s">
        <v>1948</v>
      </c>
      <c r="D119" s="79">
        <v>43654.694375</v>
      </c>
    </row>
    <row r="120" spans="1:4" ht="15">
      <c r="A120" t="s">
        <v>1911</v>
      </c>
      <c r="B120" t="s">
        <v>1877</v>
      </c>
      <c r="C120" s="52" t="s">
        <v>1948</v>
      </c>
      <c r="D120" s="79">
        <v>43654.694375</v>
      </c>
    </row>
    <row r="121" spans="1:4" ht="15">
      <c r="A121" t="s">
        <v>1911</v>
      </c>
      <c r="B121" t="s">
        <v>1937</v>
      </c>
      <c r="C121" s="52" t="s">
        <v>1948</v>
      </c>
      <c r="D121" s="79">
        <v>43654.694375</v>
      </c>
    </row>
    <row r="122" spans="1:4" ht="15">
      <c r="A122" t="s">
        <v>1911</v>
      </c>
      <c r="B122" t="s">
        <v>1938</v>
      </c>
      <c r="C122" s="52" t="s">
        <v>1948</v>
      </c>
      <c r="D122" s="79">
        <v>43654.694375</v>
      </c>
    </row>
    <row r="123" spans="1:4" ht="15">
      <c r="A123" t="s">
        <v>1911</v>
      </c>
      <c r="B123" t="s">
        <v>1939</v>
      </c>
      <c r="C123" s="52" t="s">
        <v>1948</v>
      </c>
      <c r="D123" s="79">
        <v>43654.694375</v>
      </c>
    </row>
    <row r="124" spans="1:4" ht="15">
      <c r="A124" t="s">
        <v>1911</v>
      </c>
      <c r="B124" t="s">
        <v>1940</v>
      </c>
      <c r="C124" s="52" t="s">
        <v>1948</v>
      </c>
      <c r="D124" s="79">
        <v>43654.694375</v>
      </c>
    </row>
    <row r="125" spans="1:4" ht="15">
      <c r="A125" t="s">
        <v>1911</v>
      </c>
      <c r="B125" t="s">
        <v>1941</v>
      </c>
      <c r="C125" s="52" t="s">
        <v>1948</v>
      </c>
      <c r="D125" s="79">
        <v>43654.694375</v>
      </c>
    </row>
    <row r="126" spans="1:4" ht="15">
      <c r="A126" t="s">
        <v>1911</v>
      </c>
      <c r="B126" t="s">
        <v>1942</v>
      </c>
      <c r="C126" s="52" t="s">
        <v>1948</v>
      </c>
      <c r="D126" s="79">
        <v>43654.694375</v>
      </c>
    </row>
    <row r="127" spans="1:4" ht="15">
      <c r="A127" t="s">
        <v>1911</v>
      </c>
      <c r="B127" t="s">
        <v>1943</v>
      </c>
      <c r="C127" s="52" t="s">
        <v>1948</v>
      </c>
      <c r="D127" s="79">
        <v>43654.694375</v>
      </c>
    </row>
    <row r="128" spans="1:4" ht="15">
      <c r="A128" t="s">
        <v>1911</v>
      </c>
      <c r="B128" t="s">
        <v>1879</v>
      </c>
      <c r="C128" s="52" t="s">
        <v>1948</v>
      </c>
      <c r="D128" s="79">
        <v>43654.694375</v>
      </c>
    </row>
    <row r="129" spans="1:4" ht="15">
      <c r="A129" t="s">
        <v>1911</v>
      </c>
      <c r="B129" t="s">
        <v>1944</v>
      </c>
      <c r="C129" s="52" t="s">
        <v>1948</v>
      </c>
      <c r="D129" s="79">
        <v>43654.694375</v>
      </c>
    </row>
    <row r="130" spans="1:4" ht="15">
      <c r="A130" t="s">
        <v>1911</v>
      </c>
      <c r="B130" t="s">
        <v>1945</v>
      </c>
      <c r="C130" s="52" t="s">
        <v>1948</v>
      </c>
      <c r="D130" s="79">
        <v>43654.694375</v>
      </c>
    </row>
    <row r="131" spans="1:4" ht="15">
      <c r="A131" t="s">
        <v>1911</v>
      </c>
      <c r="B131" t="s">
        <v>1946</v>
      </c>
      <c r="C131" s="52" t="s">
        <v>1948</v>
      </c>
      <c r="D131" s="79">
        <v>43654.694375</v>
      </c>
    </row>
    <row r="132" spans="1:4" ht="15">
      <c r="A132" t="s">
        <v>1911</v>
      </c>
      <c r="B132" t="s">
        <v>1947</v>
      </c>
      <c r="C132" s="52" t="s">
        <v>1948</v>
      </c>
      <c r="D132" s="79">
        <v>43654.694375</v>
      </c>
    </row>
    <row r="133" spans="1:4" ht="15">
      <c r="A133" t="s">
        <v>1950</v>
      </c>
      <c r="B133" t="s">
        <v>1951</v>
      </c>
      <c r="C133" s="52" t="s">
        <v>1952</v>
      </c>
      <c r="D133" s="79">
        <v>43655.71891203704</v>
      </c>
    </row>
    <row r="134" spans="1:4" ht="15">
      <c r="A134" t="s">
        <v>1950</v>
      </c>
      <c r="B134" t="s">
        <v>1953</v>
      </c>
      <c r="C134" s="52" t="s">
        <v>1952</v>
      </c>
      <c r="D134" s="79">
        <v>43655.71891203704</v>
      </c>
    </row>
    <row r="135" spans="1:4" ht="15">
      <c r="A135" t="s">
        <v>1950</v>
      </c>
      <c r="B135" t="s">
        <v>1954</v>
      </c>
      <c r="C135" s="52" t="s">
        <v>1952</v>
      </c>
      <c r="D135" s="79">
        <v>43655.71891203704</v>
      </c>
    </row>
    <row r="136" spans="1:4" ht="15">
      <c r="A136" t="s">
        <v>1950</v>
      </c>
      <c r="B136" t="s">
        <v>1918</v>
      </c>
      <c r="C136" s="52" t="s">
        <v>1952</v>
      </c>
      <c r="D136" s="79">
        <v>43655.71891203704</v>
      </c>
    </row>
    <row r="137" spans="1:4" ht="15">
      <c r="A137" t="s">
        <v>1950</v>
      </c>
      <c r="B137" t="s">
        <v>1955</v>
      </c>
      <c r="C137" s="52" t="s">
        <v>1952</v>
      </c>
      <c r="D137" s="79">
        <v>43655.71891203704</v>
      </c>
    </row>
    <row r="138" spans="1:4" ht="15">
      <c r="A138" t="s">
        <v>1950</v>
      </c>
      <c r="B138" t="s">
        <v>1932</v>
      </c>
      <c r="C138" s="52" t="s">
        <v>1952</v>
      </c>
      <c r="D138" s="79">
        <v>43655.71891203704</v>
      </c>
    </row>
    <row r="139" spans="1:4" ht="15">
      <c r="A139" t="s">
        <v>1950</v>
      </c>
      <c r="B139" t="s">
        <v>1956</v>
      </c>
      <c r="C139" s="52" t="s">
        <v>1952</v>
      </c>
      <c r="D139" s="79">
        <v>43655.71891203704</v>
      </c>
    </row>
    <row r="140" spans="1:4" ht="15">
      <c r="A140" t="s">
        <v>1950</v>
      </c>
      <c r="B140" t="s">
        <v>1926</v>
      </c>
      <c r="C140" s="52" t="s">
        <v>1952</v>
      </c>
      <c r="D140" s="79">
        <v>43655.71891203704</v>
      </c>
    </row>
    <row r="141" spans="1:4" ht="15">
      <c r="A141" t="s">
        <v>1950</v>
      </c>
      <c r="B141" t="s">
        <v>1886</v>
      </c>
      <c r="C141" s="52" t="s">
        <v>1952</v>
      </c>
      <c r="D141" s="79">
        <v>43655.71891203704</v>
      </c>
    </row>
    <row r="142" spans="1:4" ht="15">
      <c r="A142" t="s">
        <v>1950</v>
      </c>
      <c r="B142" t="s">
        <v>1957</v>
      </c>
      <c r="C142" s="52" t="s">
        <v>1952</v>
      </c>
      <c r="D142" s="79">
        <v>43655.71891203704</v>
      </c>
    </row>
    <row r="143" spans="1:4" ht="15">
      <c r="A143" t="s">
        <v>1950</v>
      </c>
      <c r="B143" t="s">
        <v>1894</v>
      </c>
      <c r="C143" s="52" t="s">
        <v>1952</v>
      </c>
      <c r="D143" s="79">
        <v>43655.71891203704</v>
      </c>
    </row>
    <row r="144" spans="1:4" ht="15">
      <c r="A144" t="s">
        <v>1950</v>
      </c>
      <c r="B144" t="s">
        <v>1958</v>
      </c>
      <c r="C144" s="52" t="s">
        <v>1952</v>
      </c>
      <c r="D144" s="79">
        <v>43655.71891203704</v>
      </c>
    </row>
    <row r="145" spans="1:4" ht="15">
      <c r="A145" t="s">
        <v>1950</v>
      </c>
      <c r="B145" t="s">
        <v>1959</v>
      </c>
      <c r="C145" s="52" t="s">
        <v>1952</v>
      </c>
      <c r="D145" s="79">
        <v>43655.71891203704</v>
      </c>
    </row>
    <row r="146" spans="1:4" ht="15">
      <c r="A146" t="s">
        <v>1950</v>
      </c>
      <c r="B146" t="s">
        <v>1960</v>
      </c>
      <c r="C146" s="52" t="s">
        <v>1952</v>
      </c>
      <c r="D146" s="79">
        <v>43655.71891203704</v>
      </c>
    </row>
    <row r="147" spans="1:4" ht="15">
      <c r="A147" t="s">
        <v>1950</v>
      </c>
      <c r="B147" t="s">
        <v>1961</v>
      </c>
      <c r="C147" s="52" t="s">
        <v>1952</v>
      </c>
      <c r="D147" s="79">
        <v>43655.71891203704</v>
      </c>
    </row>
    <row r="148" spans="1:4" ht="15">
      <c r="A148" t="s">
        <v>1950</v>
      </c>
      <c r="B148" t="s">
        <v>1962</v>
      </c>
      <c r="C148" s="52" t="s">
        <v>1952</v>
      </c>
      <c r="D148" s="79">
        <v>43655.71891203704</v>
      </c>
    </row>
    <row r="149" spans="1:4" ht="15">
      <c r="A149" t="s">
        <v>1950</v>
      </c>
      <c r="B149" t="s">
        <v>1881</v>
      </c>
      <c r="C149" s="52" t="s">
        <v>1952</v>
      </c>
      <c r="D149" s="79">
        <v>43655.71891203704</v>
      </c>
    </row>
    <row r="150" spans="1:4" ht="15">
      <c r="A150" t="s">
        <v>1950</v>
      </c>
      <c r="B150" t="s">
        <v>1963</v>
      </c>
      <c r="C150" s="52" t="s">
        <v>1952</v>
      </c>
      <c r="D150" s="79">
        <v>43655.71891203704</v>
      </c>
    </row>
    <row r="151" spans="1:4" ht="15">
      <c r="A151" t="s">
        <v>1950</v>
      </c>
      <c r="B151" t="s">
        <v>1964</v>
      </c>
      <c r="C151" s="52" t="s">
        <v>1952</v>
      </c>
      <c r="D151" s="79">
        <v>43655.71891203704</v>
      </c>
    </row>
    <row r="152" spans="1:4" ht="15">
      <c r="A152" t="s">
        <v>1950</v>
      </c>
      <c r="B152" t="s">
        <v>1965</v>
      </c>
      <c r="C152" s="52" t="s">
        <v>1952</v>
      </c>
      <c r="D152" s="79">
        <v>43655.71891203704</v>
      </c>
    </row>
    <row r="153" spans="1:4" ht="15">
      <c r="A153" t="s">
        <v>1911</v>
      </c>
      <c r="B153" t="s">
        <v>1966</v>
      </c>
      <c r="C153" s="52" t="s">
        <v>1967</v>
      </c>
      <c r="D153" s="79">
        <v>43656.997569444444</v>
      </c>
    </row>
    <row r="154" spans="1:4" ht="15">
      <c r="A154" t="s">
        <v>1911</v>
      </c>
      <c r="B154">
        <v>1871</v>
      </c>
      <c r="C154" s="52" t="s">
        <v>1967</v>
      </c>
      <c r="D154" s="79">
        <v>43656.997569444444</v>
      </c>
    </row>
    <row r="155" spans="1:4" ht="15">
      <c r="A155" t="s">
        <v>1911</v>
      </c>
      <c r="B155" t="s">
        <v>1968</v>
      </c>
      <c r="C155" s="52" t="s">
        <v>1967</v>
      </c>
      <c r="D155" s="79">
        <v>43656.997569444444</v>
      </c>
    </row>
    <row r="156" spans="1:4" ht="15">
      <c r="A156" t="s">
        <v>1911</v>
      </c>
      <c r="B156" t="s">
        <v>1969</v>
      </c>
      <c r="C156" s="52" t="s">
        <v>1967</v>
      </c>
      <c r="D156" s="79">
        <v>43656.997569444444</v>
      </c>
    </row>
    <row r="157" spans="1:4" ht="15">
      <c r="A157" t="s">
        <v>1911</v>
      </c>
      <c r="B157" t="s">
        <v>1927</v>
      </c>
      <c r="C157" s="52" t="s">
        <v>1967</v>
      </c>
      <c r="D157" s="79">
        <v>43656.997569444444</v>
      </c>
    </row>
    <row r="158" spans="1:4" ht="15">
      <c r="A158" t="s">
        <v>1911</v>
      </c>
      <c r="B158" t="s">
        <v>1512</v>
      </c>
      <c r="C158" s="52" t="s">
        <v>1967</v>
      </c>
      <c r="D158" s="79">
        <v>43656.997569444444</v>
      </c>
    </row>
    <row r="159" spans="1:4" ht="15">
      <c r="A159" t="s">
        <v>1911</v>
      </c>
      <c r="B159" t="s">
        <v>1932</v>
      </c>
      <c r="C159" s="52" t="s">
        <v>1967</v>
      </c>
      <c r="D159" s="79">
        <v>43656.997569444444</v>
      </c>
    </row>
    <row r="160" spans="1:4" ht="15">
      <c r="A160" t="s">
        <v>1911</v>
      </c>
      <c r="B160" t="s">
        <v>1886</v>
      </c>
      <c r="C160" s="52" t="s">
        <v>1967</v>
      </c>
      <c r="D160" s="79">
        <v>43656.997569444444</v>
      </c>
    </row>
    <row r="161" spans="1:4" ht="15">
      <c r="A161" t="s">
        <v>1911</v>
      </c>
      <c r="B161" t="s">
        <v>1894</v>
      </c>
      <c r="C161" s="52" t="s">
        <v>1967</v>
      </c>
      <c r="D161" s="79">
        <v>43656.997569444444</v>
      </c>
    </row>
    <row r="162" spans="1:4" ht="15">
      <c r="A162" t="s">
        <v>1911</v>
      </c>
      <c r="B162" t="s">
        <v>1970</v>
      </c>
      <c r="C162" s="52" t="s">
        <v>1967</v>
      </c>
      <c r="D162" s="79">
        <v>43656.997569444444</v>
      </c>
    </row>
    <row r="163" spans="1:4" ht="15">
      <c r="A163" t="s">
        <v>1911</v>
      </c>
      <c r="B163" t="s">
        <v>1971</v>
      </c>
      <c r="C163" s="52" t="s">
        <v>1967</v>
      </c>
      <c r="D163" s="79">
        <v>43656.997569444444</v>
      </c>
    </row>
    <row r="164" spans="1:4" ht="15">
      <c r="A164" t="s">
        <v>1911</v>
      </c>
      <c r="B164" t="s">
        <v>1935</v>
      </c>
      <c r="C164" s="52" t="s">
        <v>1967</v>
      </c>
      <c r="D164" s="79">
        <v>43656.997569444444</v>
      </c>
    </row>
    <row r="165" spans="1:4" ht="15">
      <c r="A165" t="s">
        <v>1911</v>
      </c>
      <c r="B165" t="s">
        <v>1950</v>
      </c>
      <c r="C165" s="52" t="s">
        <v>1967</v>
      </c>
      <c r="D165" s="79">
        <v>43656.997569444444</v>
      </c>
    </row>
    <row r="166" spans="1:4" ht="15">
      <c r="A166" t="s">
        <v>1911</v>
      </c>
      <c r="B166" t="s">
        <v>1879</v>
      </c>
      <c r="C166" s="52" t="s">
        <v>1967</v>
      </c>
      <c r="D166" s="79">
        <v>43656.997569444444</v>
      </c>
    </row>
    <row r="167" spans="1:4" ht="15">
      <c r="A167" t="s">
        <v>1911</v>
      </c>
      <c r="B167" t="s">
        <v>1972</v>
      </c>
      <c r="C167" s="52" t="s">
        <v>1967</v>
      </c>
      <c r="D167" s="79">
        <v>43656.997569444444</v>
      </c>
    </row>
    <row r="168" spans="1:4" ht="15">
      <c r="A168" t="s">
        <v>1911</v>
      </c>
      <c r="B168" t="s">
        <v>1973</v>
      </c>
      <c r="C168" s="52" t="s">
        <v>1967</v>
      </c>
      <c r="D168" s="79">
        <v>43656.997569444444</v>
      </c>
    </row>
    <row r="169" spans="1:4" ht="15">
      <c r="A169" t="s">
        <v>1911</v>
      </c>
      <c r="B169" t="s">
        <v>1880</v>
      </c>
      <c r="C169" s="52" t="s">
        <v>1967</v>
      </c>
      <c r="D169" s="79">
        <v>43656.997569444444</v>
      </c>
    </row>
    <row r="170" spans="1:4" ht="15">
      <c r="A170" t="s">
        <v>1911</v>
      </c>
      <c r="B170" t="s">
        <v>1974</v>
      </c>
      <c r="C170" s="52" t="s">
        <v>1967</v>
      </c>
      <c r="D170" s="79">
        <v>43656.997569444444</v>
      </c>
    </row>
    <row r="171" spans="1:4" ht="15">
      <c r="A171" t="s">
        <v>1911</v>
      </c>
      <c r="B171" t="s">
        <v>1975</v>
      </c>
      <c r="C171" s="52" t="s">
        <v>1967</v>
      </c>
      <c r="D171" s="79">
        <v>43656.997569444444</v>
      </c>
    </row>
    <row r="172" spans="1:4" ht="15">
      <c r="A172" t="s">
        <v>1976</v>
      </c>
      <c r="B172" t="s">
        <v>1966</v>
      </c>
      <c r="C172" s="52" t="s">
        <v>1977</v>
      </c>
      <c r="D172" s="79">
        <v>43656.988344907404</v>
      </c>
    </row>
    <row r="173" spans="1:4" ht="15">
      <c r="A173" t="s">
        <v>1976</v>
      </c>
      <c r="B173">
        <v>1871</v>
      </c>
      <c r="C173" s="52" t="s">
        <v>1977</v>
      </c>
      <c r="D173" s="79">
        <v>43656.988344907404</v>
      </c>
    </row>
    <row r="174" spans="1:4" ht="15">
      <c r="A174" t="s">
        <v>1976</v>
      </c>
      <c r="B174" t="s">
        <v>1968</v>
      </c>
      <c r="C174" s="52" t="s">
        <v>1977</v>
      </c>
      <c r="D174" s="79">
        <v>43656.988344907404</v>
      </c>
    </row>
    <row r="175" spans="1:4" ht="15">
      <c r="A175" t="s">
        <v>1976</v>
      </c>
      <c r="B175" t="s">
        <v>1969</v>
      </c>
      <c r="C175" s="52" t="s">
        <v>1977</v>
      </c>
      <c r="D175" s="79">
        <v>43656.988344907404</v>
      </c>
    </row>
    <row r="176" spans="1:4" ht="15">
      <c r="A176" t="s">
        <v>1976</v>
      </c>
      <c r="B176" t="s">
        <v>1927</v>
      </c>
      <c r="C176" s="52" t="s">
        <v>1977</v>
      </c>
      <c r="D176" s="79">
        <v>43656.988344907404</v>
      </c>
    </row>
    <row r="177" spans="1:4" ht="15">
      <c r="A177" t="s">
        <v>1976</v>
      </c>
      <c r="B177" t="s">
        <v>1512</v>
      </c>
      <c r="C177" s="52" t="s">
        <v>1977</v>
      </c>
      <c r="D177" s="79">
        <v>43656.988344907404</v>
      </c>
    </row>
    <row r="178" spans="1:4" ht="15">
      <c r="A178" t="s">
        <v>1976</v>
      </c>
      <c r="B178" t="s">
        <v>1932</v>
      </c>
      <c r="C178" s="52" t="s">
        <v>1977</v>
      </c>
      <c r="D178" s="79">
        <v>43656.988344907404</v>
      </c>
    </row>
    <row r="179" spans="1:4" ht="15">
      <c r="A179" t="s">
        <v>1976</v>
      </c>
      <c r="B179" t="s">
        <v>1886</v>
      </c>
      <c r="C179" s="52" t="s">
        <v>1977</v>
      </c>
      <c r="D179" s="79">
        <v>43656.988344907404</v>
      </c>
    </row>
    <row r="180" spans="1:4" ht="15">
      <c r="A180" t="s">
        <v>1976</v>
      </c>
      <c r="B180" t="s">
        <v>1894</v>
      </c>
      <c r="C180" s="52" t="s">
        <v>1977</v>
      </c>
      <c r="D180" s="79">
        <v>43656.988344907404</v>
      </c>
    </row>
    <row r="181" spans="1:4" ht="15">
      <c r="A181" t="s">
        <v>1976</v>
      </c>
      <c r="B181" t="s">
        <v>1970</v>
      </c>
      <c r="C181" s="52" t="s">
        <v>1977</v>
      </c>
      <c r="D181" s="79">
        <v>43656.988344907404</v>
      </c>
    </row>
    <row r="182" spans="1:4" ht="15">
      <c r="A182" t="s">
        <v>1976</v>
      </c>
      <c r="B182" t="s">
        <v>1971</v>
      </c>
      <c r="C182" s="52" t="s">
        <v>1977</v>
      </c>
      <c r="D182" s="79">
        <v>43656.988344907404</v>
      </c>
    </row>
    <row r="183" spans="1:4" ht="15">
      <c r="A183" t="s">
        <v>1976</v>
      </c>
      <c r="B183" t="s">
        <v>1935</v>
      </c>
      <c r="C183" s="52" t="s">
        <v>1977</v>
      </c>
      <c r="D183" s="79">
        <v>43656.988344907404</v>
      </c>
    </row>
    <row r="184" spans="1:4" ht="15">
      <c r="A184" t="s">
        <v>1976</v>
      </c>
      <c r="B184" t="s">
        <v>1950</v>
      </c>
      <c r="C184" s="52" t="s">
        <v>1977</v>
      </c>
      <c r="D184" s="79">
        <v>43656.988344907404</v>
      </c>
    </row>
    <row r="185" spans="1:4" ht="15">
      <c r="A185" t="s">
        <v>1976</v>
      </c>
      <c r="B185" t="s">
        <v>1879</v>
      </c>
      <c r="C185" s="52" t="s">
        <v>1977</v>
      </c>
      <c r="D185" s="79">
        <v>43656.988344907404</v>
      </c>
    </row>
    <row r="186" spans="1:4" ht="15">
      <c r="A186" t="s">
        <v>1976</v>
      </c>
      <c r="B186" t="s">
        <v>1972</v>
      </c>
      <c r="C186" s="52" t="s">
        <v>1977</v>
      </c>
      <c r="D186" s="79">
        <v>43656.988344907404</v>
      </c>
    </row>
    <row r="187" spans="1:4" ht="15">
      <c r="A187" t="s">
        <v>1976</v>
      </c>
      <c r="B187" t="s">
        <v>1973</v>
      </c>
      <c r="C187" s="52" t="s">
        <v>1977</v>
      </c>
      <c r="D187" s="79">
        <v>43656.988344907404</v>
      </c>
    </row>
    <row r="188" spans="1:4" ht="15">
      <c r="A188" t="s">
        <v>1976</v>
      </c>
      <c r="B188" t="s">
        <v>1880</v>
      </c>
      <c r="C188" s="52" t="s">
        <v>1977</v>
      </c>
      <c r="D188" s="79">
        <v>43656.988344907404</v>
      </c>
    </row>
    <row r="189" spans="1:4" ht="15">
      <c r="A189" t="s">
        <v>1976</v>
      </c>
      <c r="B189" t="s">
        <v>1974</v>
      </c>
      <c r="C189" s="52" t="s">
        <v>1977</v>
      </c>
      <c r="D189" s="79">
        <v>43656.988344907404</v>
      </c>
    </row>
    <row r="190" spans="1:4" ht="15">
      <c r="A190" t="s">
        <v>1976</v>
      </c>
      <c r="B190" t="s">
        <v>1975</v>
      </c>
      <c r="C190" s="52" t="s">
        <v>1977</v>
      </c>
      <c r="D190" s="79">
        <v>43656.988344907404</v>
      </c>
    </row>
    <row r="191" spans="1:4" ht="15">
      <c r="A191" t="s">
        <v>1976</v>
      </c>
      <c r="B191" t="s">
        <v>1939</v>
      </c>
      <c r="C191" s="52" t="s">
        <v>1978</v>
      </c>
      <c r="D191" s="79">
        <v>43654.829733796294</v>
      </c>
    </row>
    <row r="192" spans="1:4" ht="15">
      <c r="A192" t="s">
        <v>1976</v>
      </c>
      <c r="B192" t="s">
        <v>1979</v>
      </c>
      <c r="C192" s="52" t="s">
        <v>1978</v>
      </c>
      <c r="D192" s="79">
        <v>43654.829733796294</v>
      </c>
    </row>
    <row r="193" spans="1:4" ht="15">
      <c r="A193" t="s">
        <v>1976</v>
      </c>
      <c r="B193" t="s">
        <v>1886</v>
      </c>
      <c r="C193" s="52" t="s">
        <v>1978</v>
      </c>
      <c r="D193" s="79">
        <v>43654.829733796294</v>
      </c>
    </row>
    <row r="194" spans="1:4" ht="15">
      <c r="A194" t="s">
        <v>1976</v>
      </c>
      <c r="B194" t="s">
        <v>1957</v>
      </c>
      <c r="C194" s="52" t="s">
        <v>1978</v>
      </c>
      <c r="D194" s="79">
        <v>43654.829733796294</v>
      </c>
    </row>
    <row r="195" spans="1:4" ht="15">
      <c r="A195" t="s">
        <v>1976</v>
      </c>
      <c r="B195" t="s">
        <v>1894</v>
      </c>
      <c r="C195" s="52" t="s">
        <v>1978</v>
      </c>
      <c r="D195" s="79">
        <v>43654.829733796294</v>
      </c>
    </row>
    <row r="196" spans="1:4" ht="15">
      <c r="A196" t="s">
        <v>1976</v>
      </c>
      <c r="B196" t="s">
        <v>1980</v>
      </c>
      <c r="C196" s="52" t="s">
        <v>1978</v>
      </c>
      <c r="D196" s="79">
        <v>43654.829733796294</v>
      </c>
    </row>
    <row r="197" spans="1:4" ht="15">
      <c r="A197" t="s">
        <v>1976</v>
      </c>
      <c r="B197" t="s">
        <v>1981</v>
      </c>
      <c r="C197" s="52" t="s">
        <v>1978</v>
      </c>
      <c r="D197" s="79">
        <v>43654.829733796294</v>
      </c>
    </row>
    <row r="198" spans="1:4" ht="15">
      <c r="A198" t="s">
        <v>1976</v>
      </c>
      <c r="B198" t="s">
        <v>1982</v>
      </c>
      <c r="C198" s="52" t="s">
        <v>1978</v>
      </c>
      <c r="D198" s="79">
        <v>43654.829733796294</v>
      </c>
    </row>
    <row r="199" spans="1:4" ht="15">
      <c r="A199" t="s">
        <v>1976</v>
      </c>
      <c r="B199" t="s">
        <v>1890</v>
      </c>
      <c r="C199" s="52" t="s">
        <v>1978</v>
      </c>
      <c r="D199" s="79">
        <v>43654.829733796294</v>
      </c>
    </row>
    <row r="200" spans="1:4" ht="15">
      <c r="A200" t="s">
        <v>1976</v>
      </c>
      <c r="B200" t="s">
        <v>1911</v>
      </c>
      <c r="C200" s="52" t="s">
        <v>1978</v>
      </c>
      <c r="D200" s="79">
        <v>43654.829733796294</v>
      </c>
    </row>
    <row r="201" spans="1:4" ht="15">
      <c r="A201" t="s">
        <v>1976</v>
      </c>
      <c r="B201" t="s">
        <v>1983</v>
      </c>
      <c r="C201" s="52" t="s">
        <v>1978</v>
      </c>
      <c r="D201" s="79">
        <v>43654.829733796294</v>
      </c>
    </row>
    <row r="202" spans="1:4" ht="15">
      <c r="A202" t="s">
        <v>1976</v>
      </c>
      <c r="B202" t="s">
        <v>1984</v>
      </c>
      <c r="C202" s="52" t="s">
        <v>1978</v>
      </c>
      <c r="D202" s="79">
        <v>43654.829733796294</v>
      </c>
    </row>
    <row r="203" spans="1:4" ht="15">
      <c r="A203" t="s">
        <v>1976</v>
      </c>
      <c r="B203" t="s">
        <v>1985</v>
      </c>
      <c r="C203" s="52" t="s">
        <v>1978</v>
      </c>
      <c r="D203" s="79">
        <v>43654.829733796294</v>
      </c>
    </row>
    <row r="204" spans="1:4" ht="15">
      <c r="A204" t="s">
        <v>1976</v>
      </c>
      <c r="B204" t="s">
        <v>1964</v>
      </c>
      <c r="C204" s="52" t="s">
        <v>1978</v>
      </c>
      <c r="D204" s="79">
        <v>43654.829733796294</v>
      </c>
    </row>
    <row r="205" spans="1:4" ht="15">
      <c r="A205" t="s">
        <v>1976</v>
      </c>
      <c r="B205" t="s">
        <v>1986</v>
      </c>
      <c r="C205" s="52" t="s">
        <v>1978</v>
      </c>
      <c r="D205" s="79">
        <v>43654.829733796294</v>
      </c>
    </row>
    <row r="206" spans="1:4" ht="15">
      <c r="A206" t="s">
        <v>1976</v>
      </c>
      <c r="B206" t="s">
        <v>1987</v>
      </c>
      <c r="C206" s="52" t="s">
        <v>1978</v>
      </c>
      <c r="D206" s="79">
        <v>43654.829733796294</v>
      </c>
    </row>
    <row r="207" spans="1:4" ht="15">
      <c r="A207" t="s">
        <v>1976</v>
      </c>
      <c r="B207" t="s">
        <v>1881</v>
      </c>
      <c r="C207" s="52" t="s">
        <v>1978</v>
      </c>
      <c r="D207" s="79">
        <v>43654.829733796294</v>
      </c>
    </row>
    <row r="208" spans="1:4" ht="15">
      <c r="A208" t="s">
        <v>1976</v>
      </c>
      <c r="B208" t="s">
        <v>1962</v>
      </c>
      <c r="C208" s="52" t="s">
        <v>1978</v>
      </c>
      <c r="D208" s="79">
        <v>43654.829733796294</v>
      </c>
    </row>
    <row r="209" spans="1:4" ht="15">
      <c r="A209" t="s">
        <v>1976</v>
      </c>
      <c r="B209">
        <v>5</v>
      </c>
      <c r="C209" s="52" t="s">
        <v>1978</v>
      </c>
      <c r="D209" s="79">
        <v>43654.829733796294</v>
      </c>
    </row>
    <row r="210" spans="1:4" ht="15">
      <c r="A210" t="s">
        <v>1976</v>
      </c>
      <c r="B210" t="s">
        <v>1988</v>
      </c>
      <c r="C210" s="52" t="s">
        <v>1978</v>
      </c>
      <c r="D210" s="79">
        <v>43654.829733796294</v>
      </c>
    </row>
    <row r="211" spans="1:4" ht="15">
      <c r="A211" t="s">
        <v>1976</v>
      </c>
      <c r="B211" t="s">
        <v>1953</v>
      </c>
      <c r="C211" s="52" t="s">
        <v>1978</v>
      </c>
      <c r="D211" s="79">
        <v>43654.829733796294</v>
      </c>
    </row>
    <row r="212" spans="1:4" ht="15">
      <c r="A212" t="s">
        <v>1976</v>
      </c>
      <c r="B212" t="s">
        <v>1989</v>
      </c>
      <c r="C212" s="52" t="s">
        <v>1978</v>
      </c>
      <c r="D212" s="79">
        <v>43654.829733796294</v>
      </c>
    </row>
    <row r="213" spans="1:4" ht="15">
      <c r="A213" t="s">
        <v>1976</v>
      </c>
      <c r="B213" t="s">
        <v>1935</v>
      </c>
      <c r="C213" s="52" t="s">
        <v>1978</v>
      </c>
      <c r="D213" s="79">
        <v>43654.829733796294</v>
      </c>
    </row>
    <row r="214" spans="1:4" ht="15">
      <c r="A214" t="s">
        <v>1976</v>
      </c>
      <c r="B214" t="s">
        <v>1990</v>
      </c>
      <c r="C214" s="52" t="s">
        <v>1978</v>
      </c>
      <c r="D214" s="79">
        <v>43654.829733796294</v>
      </c>
    </row>
    <row r="215" spans="1:4" ht="15">
      <c r="A215" t="s">
        <v>1976</v>
      </c>
      <c r="B215" t="s">
        <v>1991</v>
      </c>
      <c r="C215" s="52" t="s">
        <v>1978</v>
      </c>
      <c r="D215" s="79">
        <v>43654.829733796294</v>
      </c>
    </row>
    <row r="216" spans="1:4" ht="15">
      <c r="A216" t="s">
        <v>1976</v>
      </c>
      <c r="B216" t="s">
        <v>1992</v>
      </c>
      <c r="C216" s="52" t="s">
        <v>1978</v>
      </c>
      <c r="D216" s="79">
        <v>43654.829733796294</v>
      </c>
    </row>
    <row r="217" spans="1:4" ht="15">
      <c r="A217" t="s">
        <v>1976</v>
      </c>
      <c r="B217" t="s">
        <v>1927</v>
      </c>
      <c r="C217" s="52" t="s">
        <v>1978</v>
      </c>
      <c r="D217" s="79">
        <v>43654.829733796294</v>
      </c>
    </row>
    <row r="218" spans="1:4" ht="15">
      <c r="A218" t="s">
        <v>1976</v>
      </c>
      <c r="B218" t="s">
        <v>1993</v>
      </c>
      <c r="C218" s="52" t="s">
        <v>1978</v>
      </c>
      <c r="D218" s="79">
        <v>43654.829733796294</v>
      </c>
    </row>
    <row r="219" spans="1:4" ht="15">
      <c r="A219" t="s">
        <v>1976</v>
      </c>
      <c r="B219" t="s">
        <v>1895</v>
      </c>
      <c r="C219" s="52" t="s">
        <v>1978</v>
      </c>
      <c r="D219" s="79">
        <v>43654.829733796294</v>
      </c>
    </row>
    <row r="220" spans="1:4" ht="15">
      <c r="A220" t="s">
        <v>1976</v>
      </c>
      <c r="B220" t="s">
        <v>1932</v>
      </c>
      <c r="C220" s="52" t="s">
        <v>1978</v>
      </c>
      <c r="D220" s="79">
        <v>43654.829733796294</v>
      </c>
    </row>
    <row r="221" spans="1:4" ht="15">
      <c r="A221" t="s">
        <v>1976</v>
      </c>
      <c r="B221" t="s">
        <v>1994</v>
      </c>
      <c r="C221" s="52" t="s">
        <v>1978</v>
      </c>
      <c r="D221" s="79">
        <v>43654.829733796294</v>
      </c>
    </row>
    <row r="222" spans="1:4" ht="15">
      <c r="A222" t="s">
        <v>1976</v>
      </c>
      <c r="B222" t="s">
        <v>1923</v>
      </c>
      <c r="C222" s="52" t="s">
        <v>1978</v>
      </c>
      <c r="D222" s="79">
        <v>43654.829733796294</v>
      </c>
    </row>
    <row r="223" spans="1:4" ht="15">
      <c r="A223" t="s">
        <v>1976</v>
      </c>
      <c r="B223" t="s">
        <v>1995</v>
      </c>
      <c r="C223" s="52" t="s">
        <v>1978</v>
      </c>
      <c r="D223" s="79">
        <v>43654.829733796294</v>
      </c>
    </row>
    <row r="224" spans="1:4" ht="15">
      <c r="A224" t="s">
        <v>1976</v>
      </c>
      <c r="B224" t="s">
        <v>1996</v>
      </c>
      <c r="C224" s="52" t="s">
        <v>1978</v>
      </c>
      <c r="D224" s="79">
        <v>43654.829733796294</v>
      </c>
    </row>
    <row r="225" spans="1:4" ht="15">
      <c r="A225" t="s">
        <v>1976</v>
      </c>
      <c r="B225" t="s">
        <v>1549</v>
      </c>
      <c r="C225" s="52" t="s">
        <v>1978</v>
      </c>
      <c r="D225" s="79">
        <v>43654.829733796294</v>
      </c>
    </row>
    <row r="226" spans="1:4" ht="15">
      <c r="A226" t="s">
        <v>1976</v>
      </c>
      <c r="B226" t="s">
        <v>1997</v>
      </c>
      <c r="C226" s="52" t="s">
        <v>1978</v>
      </c>
      <c r="D226" s="79">
        <v>43654.829733796294</v>
      </c>
    </row>
    <row r="227" spans="1:4" ht="15">
      <c r="A227" t="s">
        <v>1976</v>
      </c>
      <c r="B227" t="s">
        <v>1998</v>
      </c>
      <c r="C227" s="52" t="s">
        <v>1978</v>
      </c>
      <c r="D227" s="79">
        <v>43654.829733796294</v>
      </c>
    </row>
    <row r="228" spans="1:4" ht="15">
      <c r="A228" t="s">
        <v>1976</v>
      </c>
      <c r="B228" t="s">
        <v>1999</v>
      </c>
      <c r="C228" s="52" t="s">
        <v>1978</v>
      </c>
      <c r="D228" s="79">
        <v>43654.829733796294</v>
      </c>
    </row>
    <row r="229" spans="1:4" ht="15">
      <c r="A229" t="s">
        <v>1911</v>
      </c>
      <c r="B229" t="s">
        <v>2000</v>
      </c>
      <c r="C229" s="52" t="s">
        <v>2001</v>
      </c>
      <c r="D229" s="79">
        <v>43654.77043981481</v>
      </c>
    </row>
    <row r="230" spans="1:4" ht="15">
      <c r="A230" t="s">
        <v>1911</v>
      </c>
      <c r="B230" t="s">
        <v>2002</v>
      </c>
      <c r="C230" s="52" t="s">
        <v>2001</v>
      </c>
      <c r="D230" s="79">
        <v>43654.77043981481</v>
      </c>
    </row>
    <row r="231" spans="1:4" ht="15">
      <c r="A231" t="s">
        <v>1911</v>
      </c>
      <c r="B231" t="s">
        <v>1935</v>
      </c>
      <c r="C231" s="52" t="s">
        <v>2001</v>
      </c>
      <c r="D231" s="79">
        <v>43654.77043981481</v>
      </c>
    </row>
    <row r="232" spans="1:4" ht="15">
      <c r="A232" t="s">
        <v>1911</v>
      </c>
      <c r="B232" t="s">
        <v>1881</v>
      </c>
      <c r="C232" s="52" t="s">
        <v>2001</v>
      </c>
      <c r="D232" s="79">
        <v>43654.77043981481</v>
      </c>
    </row>
    <row r="233" spans="1:4" ht="15">
      <c r="A233" t="s">
        <v>1911</v>
      </c>
      <c r="B233" t="s">
        <v>1926</v>
      </c>
      <c r="C233" s="52" t="s">
        <v>2001</v>
      </c>
      <c r="D233" s="79">
        <v>43654.77043981481</v>
      </c>
    </row>
    <row r="234" spans="1:4" ht="15">
      <c r="A234" t="s">
        <v>1911</v>
      </c>
      <c r="B234" t="s">
        <v>2003</v>
      </c>
      <c r="C234" s="52" t="s">
        <v>2001</v>
      </c>
      <c r="D234" s="79">
        <v>43654.77043981481</v>
      </c>
    </row>
    <row r="235" spans="1:4" ht="15">
      <c r="A235" t="s">
        <v>1911</v>
      </c>
      <c r="B235" t="s">
        <v>1984</v>
      </c>
      <c r="C235" s="52" t="s">
        <v>2001</v>
      </c>
      <c r="D235" s="79">
        <v>43654.77043981481</v>
      </c>
    </row>
    <row r="236" spans="1:4" ht="15">
      <c r="A236" t="s">
        <v>1911</v>
      </c>
      <c r="B236" t="s">
        <v>2004</v>
      </c>
      <c r="C236" s="52" t="s">
        <v>2001</v>
      </c>
      <c r="D236" s="79">
        <v>43654.77043981481</v>
      </c>
    </row>
    <row r="237" spans="1:4" ht="15">
      <c r="A237" t="s">
        <v>1911</v>
      </c>
      <c r="B237" t="s">
        <v>1911</v>
      </c>
      <c r="C237" s="52" t="s">
        <v>2001</v>
      </c>
      <c r="D237" s="79">
        <v>43654.77043981481</v>
      </c>
    </row>
    <row r="238" spans="1:4" ht="15">
      <c r="A238" t="s">
        <v>1911</v>
      </c>
      <c r="B238" t="s">
        <v>2005</v>
      </c>
      <c r="C238" s="52" t="s">
        <v>2001</v>
      </c>
      <c r="D238" s="79">
        <v>43654.77043981481</v>
      </c>
    </row>
    <row r="239" spans="1:4" ht="15">
      <c r="A239" t="s">
        <v>1911</v>
      </c>
      <c r="B239" t="s">
        <v>1980</v>
      </c>
      <c r="C239" s="52" t="s">
        <v>2001</v>
      </c>
      <c r="D239" s="79">
        <v>43654.77043981481</v>
      </c>
    </row>
    <row r="240" spans="1:4" ht="15">
      <c r="A240" t="s">
        <v>1911</v>
      </c>
      <c r="B240" t="s">
        <v>1981</v>
      </c>
      <c r="C240" s="52" t="s">
        <v>2001</v>
      </c>
      <c r="D240" s="79">
        <v>43654.77043981481</v>
      </c>
    </row>
    <row r="241" spans="1:4" ht="15">
      <c r="A241" t="s">
        <v>1911</v>
      </c>
      <c r="B241" t="s">
        <v>1982</v>
      </c>
      <c r="C241" s="52" t="s">
        <v>2001</v>
      </c>
      <c r="D241" s="79">
        <v>43654.77043981481</v>
      </c>
    </row>
    <row r="242" spans="1:4" ht="15">
      <c r="A242" t="s">
        <v>1911</v>
      </c>
      <c r="B242" t="s">
        <v>1890</v>
      </c>
      <c r="C242" s="52" t="s">
        <v>2001</v>
      </c>
      <c r="D242" s="79">
        <v>43654.77043981481</v>
      </c>
    </row>
    <row r="243" spans="1:4" ht="15">
      <c r="A243" t="s">
        <v>1911</v>
      </c>
      <c r="B243" t="s">
        <v>2006</v>
      </c>
      <c r="C243" s="52" t="s">
        <v>2001</v>
      </c>
      <c r="D243" s="79">
        <v>43654.77043981481</v>
      </c>
    </row>
    <row r="244" spans="1:4" ht="15">
      <c r="A244" t="s">
        <v>1911</v>
      </c>
      <c r="B244" t="s">
        <v>2007</v>
      </c>
      <c r="C244" s="52" t="s">
        <v>2001</v>
      </c>
      <c r="D244" s="79">
        <v>43654.77043981481</v>
      </c>
    </row>
    <row r="245" spans="1:4" ht="15">
      <c r="A245" t="s">
        <v>1911</v>
      </c>
      <c r="B245" t="s">
        <v>2008</v>
      </c>
      <c r="C245" s="52" t="s">
        <v>2001</v>
      </c>
      <c r="D245" s="79">
        <v>43654.77043981481</v>
      </c>
    </row>
    <row r="246" spans="1:4" ht="15">
      <c r="A246" t="s">
        <v>1911</v>
      </c>
      <c r="B246" t="s">
        <v>1930</v>
      </c>
      <c r="C246" s="52" t="s">
        <v>2001</v>
      </c>
      <c r="D246" s="79">
        <v>43654.77043981481</v>
      </c>
    </row>
    <row r="247" spans="1:4" ht="15">
      <c r="A247" t="s">
        <v>1911</v>
      </c>
      <c r="B247" t="s">
        <v>2009</v>
      </c>
      <c r="C247" s="52" t="s">
        <v>2001</v>
      </c>
      <c r="D247" s="79">
        <v>43654.77043981481</v>
      </c>
    </row>
    <row r="248" spans="1:4" ht="15">
      <c r="A248" t="s">
        <v>1911</v>
      </c>
      <c r="B248" t="s">
        <v>2010</v>
      </c>
      <c r="C248" s="52" t="s">
        <v>2001</v>
      </c>
      <c r="D248" s="79">
        <v>43654.77043981481</v>
      </c>
    </row>
    <row r="249" spans="1:4" ht="15">
      <c r="A249" t="s">
        <v>1911</v>
      </c>
      <c r="B249" t="s">
        <v>1931</v>
      </c>
      <c r="C249" s="52" t="s">
        <v>2001</v>
      </c>
      <c r="D249" s="79">
        <v>43654.77043981481</v>
      </c>
    </row>
    <row r="250" spans="1:4" ht="15">
      <c r="A250" t="s">
        <v>1911</v>
      </c>
      <c r="B250" t="s">
        <v>1933</v>
      </c>
      <c r="C250" s="52" t="s">
        <v>2001</v>
      </c>
      <c r="D250" s="79">
        <v>43654.77043981481</v>
      </c>
    </row>
    <row r="251" spans="1:4" ht="15">
      <c r="A251" t="s">
        <v>1911</v>
      </c>
      <c r="B251" t="s">
        <v>1957</v>
      </c>
      <c r="C251" s="52" t="s">
        <v>2001</v>
      </c>
      <c r="D251" s="79">
        <v>43654.77043981481</v>
      </c>
    </row>
    <row r="252" spans="1:4" ht="15">
      <c r="A252" t="s">
        <v>1911</v>
      </c>
      <c r="B252" t="s">
        <v>2011</v>
      </c>
      <c r="C252" s="52" t="s">
        <v>2001</v>
      </c>
      <c r="D252" s="79">
        <v>43654.77043981481</v>
      </c>
    </row>
    <row r="253" spans="1:4" ht="15">
      <c r="A253" t="s">
        <v>1911</v>
      </c>
      <c r="B253" t="s">
        <v>2012</v>
      </c>
      <c r="C253" s="52" t="s">
        <v>2001</v>
      </c>
      <c r="D253" s="79">
        <v>43654.77043981481</v>
      </c>
    </row>
    <row r="254" spans="1:4" ht="15">
      <c r="A254" t="s">
        <v>1911</v>
      </c>
      <c r="B254" t="s">
        <v>2013</v>
      </c>
      <c r="C254" s="52" t="s">
        <v>2001</v>
      </c>
      <c r="D254" s="79">
        <v>43654.77043981481</v>
      </c>
    </row>
    <row r="255" spans="1:4" ht="15">
      <c r="A255" t="s">
        <v>1911</v>
      </c>
      <c r="B255" t="s">
        <v>1947</v>
      </c>
      <c r="C255" s="52" t="s">
        <v>2001</v>
      </c>
      <c r="D255" s="79">
        <v>43654.77043981481</v>
      </c>
    </row>
    <row r="256" spans="1:4" ht="15">
      <c r="A256" t="s">
        <v>1911</v>
      </c>
      <c r="B256" t="s">
        <v>1913</v>
      </c>
      <c r="C256" s="52" t="s">
        <v>2001</v>
      </c>
      <c r="D256" s="79">
        <v>43654.77043981481</v>
      </c>
    </row>
    <row r="257" spans="1:4" ht="15">
      <c r="A257" t="s">
        <v>1911</v>
      </c>
      <c r="B257" t="s">
        <v>2014</v>
      </c>
      <c r="C257" s="52" t="s">
        <v>2001</v>
      </c>
      <c r="D257" s="79">
        <v>43654.77043981481</v>
      </c>
    </row>
    <row r="258" spans="1:4" ht="15">
      <c r="A258" t="s">
        <v>1911</v>
      </c>
      <c r="B258" t="s">
        <v>2015</v>
      </c>
      <c r="C258" s="52" t="s">
        <v>2001</v>
      </c>
      <c r="D258" s="79">
        <v>43654.77043981481</v>
      </c>
    </row>
    <row r="259" spans="1:4" ht="15">
      <c r="A259" t="s">
        <v>1911</v>
      </c>
      <c r="B259" t="s">
        <v>1936</v>
      </c>
      <c r="C259" s="52" t="s">
        <v>2001</v>
      </c>
      <c r="D259" s="79">
        <v>43654.77043981481</v>
      </c>
    </row>
    <row r="260" spans="1:4" ht="15">
      <c r="A260" t="s">
        <v>1911</v>
      </c>
      <c r="B260" t="s">
        <v>2016</v>
      </c>
      <c r="C260" s="52" t="s">
        <v>2001</v>
      </c>
      <c r="D260" s="79">
        <v>43654.77043981481</v>
      </c>
    </row>
    <row r="261" spans="1:4" ht="15">
      <c r="A261" t="s">
        <v>1911</v>
      </c>
      <c r="B261" t="s">
        <v>2017</v>
      </c>
      <c r="C261" s="52" t="s">
        <v>2001</v>
      </c>
      <c r="D261" s="79">
        <v>43654.77043981481</v>
      </c>
    </row>
    <row r="262" spans="1:4" ht="15">
      <c r="A262" t="s">
        <v>1911</v>
      </c>
      <c r="B262" t="s">
        <v>2018</v>
      </c>
      <c r="C262" s="52" t="s">
        <v>2001</v>
      </c>
      <c r="D262" s="79">
        <v>43654.77043981481</v>
      </c>
    </row>
    <row r="263" spans="1:4" ht="15">
      <c r="A263" t="s">
        <v>2019</v>
      </c>
      <c r="B263" t="s">
        <v>2000</v>
      </c>
      <c r="C263" s="52" t="s">
        <v>2020</v>
      </c>
      <c r="D263" s="79">
        <v>43655.006423611114</v>
      </c>
    </row>
    <row r="264" spans="1:4" ht="15">
      <c r="A264" t="s">
        <v>2019</v>
      </c>
      <c r="B264" t="s">
        <v>2002</v>
      </c>
      <c r="C264" s="52" t="s">
        <v>2020</v>
      </c>
      <c r="D264" s="79">
        <v>43655.006423611114</v>
      </c>
    </row>
    <row r="265" spans="1:4" ht="15">
      <c r="A265" t="s">
        <v>2019</v>
      </c>
      <c r="B265" t="s">
        <v>1935</v>
      </c>
      <c r="C265" s="52" t="s">
        <v>2020</v>
      </c>
      <c r="D265" s="79">
        <v>43655.006423611114</v>
      </c>
    </row>
    <row r="266" spans="1:4" ht="15">
      <c r="A266" t="s">
        <v>2019</v>
      </c>
      <c r="B266" t="s">
        <v>1881</v>
      </c>
      <c r="C266" s="52" t="s">
        <v>2020</v>
      </c>
      <c r="D266" s="79">
        <v>43655.006423611114</v>
      </c>
    </row>
    <row r="267" spans="1:4" ht="15">
      <c r="A267" t="s">
        <v>2019</v>
      </c>
      <c r="B267" t="s">
        <v>1926</v>
      </c>
      <c r="C267" s="52" t="s">
        <v>2020</v>
      </c>
      <c r="D267" s="79">
        <v>43655.006423611114</v>
      </c>
    </row>
    <row r="268" spans="1:4" ht="15">
      <c r="A268" t="s">
        <v>2019</v>
      </c>
      <c r="B268" t="s">
        <v>2003</v>
      </c>
      <c r="C268" s="52" t="s">
        <v>2020</v>
      </c>
      <c r="D268" s="79">
        <v>43655.006423611114</v>
      </c>
    </row>
    <row r="269" spans="1:4" ht="15">
      <c r="A269" t="s">
        <v>2019</v>
      </c>
      <c r="B269" t="s">
        <v>1984</v>
      </c>
      <c r="C269" s="52" t="s">
        <v>2020</v>
      </c>
      <c r="D269" s="79">
        <v>43655.006423611114</v>
      </c>
    </row>
    <row r="270" spans="1:4" ht="15">
      <c r="A270" t="s">
        <v>2019</v>
      </c>
      <c r="B270" t="s">
        <v>2004</v>
      </c>
      <c r="C270" s="52" t="s">
        <v>2020</v>
      </c>
      <c r="D270" s="79">
        <v>43655.006423611114</v>
      </c>
    </row>
    <row r="271" spans="1:4" ht="15">
      <c r="A271" t="s">
        <v>2019</v>
      </c>
      <c r="B271" t="s">
        <v>1911</v>
      </c>
      <c r="C271" s="52" t="s">
        <v>2020</v>
      </c>
      <c r="D271" s="79">
        <v>43655.006423611114</v>
      </c>
    </row>
    <row r="272" spans="1:4" ht="15">
      <c r="A272" t="s">
        <v>2019</v>
      </c>
      <c r="B272" t="s">
        <v>2005</v>
      </c>
      <c r="C272" s="52" t="s">
        <v>2020</v>
      </c>
      <c r="D272" s="79">
        <v>43655.006423611114</v>
      </c>
    </row>
    <row r="273" spans="1:4" ht="15">
      <c r="A273" t="s">
        <v>2019</v>
      </c>
      <c r="B273" t="s">
        <v>1980</v>
      </c>
      <c r="C273" s="52" t="s">
        <v>2020</v>
      </c>
      <c r="D273" s="79">
        <v>43655.006423611114</v>
      </c>
    </row>
    <row r="274" spans="1:4" ht="15">
      <c r="A274" t="s">
        <v>2019</v>
      </c>
      <c r="B274" t="s">
        <v>1981</v>
      </c>
      <c r="C274" s="52" t="s">
        <v>2020</v>
      </c>
      <c r="D274" s="79">
        <v>43655.006423611114</v>
      </c>
    </row>
    <row r="275" spans="1:4" ht="15">
      <c r="A275" t="s">
        <v>2019</v>
      </c>
      <c r="B275" t="s">
        <v>1982</v>
      </c>
      <c r="C275" s="52" t="s">
        <v>2020</v>
      </c>
      <c r="D275" s="79">
        <v>43655.006423611114</v>
      </c>
    </row>
    <row r="276" spans="1:4" ht="15">
      <c r="A276" t="s">
        <v>2019</v>
      </c>
      <c r="B276" t="s">
        <v>1890</v>
      </c>
      <c r="C276" s="52" t="s">
        <v>2020</v>
      </c>
      <c r="D276" s="79">
        <v>43655.006423611114</v>
      </c>
    </row>
    <row r="277" spans="1:4" ht="15">
      <c r="A277" t="s">
        <v>2019</v>
      </c>
      <c r="B277" t="s">
        <v>2006</v>
      </c>
      <c r="C277" s="52" t="s">
        <v>2020</v>
      </c>
      <c r="D277" s="79">
        <v>43655.006423611114</v>
      </c>
    </row>
    <row r="278" spans="1:4" ht="15">
      <c r="A278" t="s">
        <v>2019</v>
      </c>
      <c r="B278" t="s">
        <v>2007</v>
      </c>
      <c r="C278" s="52" t="s">
        <v>2020</v>
      </c>
      <c r="D278" s="79">
        <v>43655.006423611114</v>
      </c>
    </row>
    <row r="279" spans="1:4" ht="15">
      <c r="A279" t="s">
        <v>2019</v>
      </c>
      <c r="B279" t="s">
        <v>2008</v>
      </c>
      <c r="C279" s="52" t="s">
        <v>2020</v>
      </c>
      <c r="D279" s="79">
        <v>43655.006423611114</v>
      </c>
    </row>
    <row r="280" spans="1:4" ht="15">
      <c r="A280" t="s">
        <v>2019</v>
      </c>
      <c r="B280" t="s">
        <v>1930</v>
      </c>
      <c r="C280" s="52" t="s">
        <v>2020</v>
      </c>
      <c r="D280" s="79">
        <v>43655.006423611114</v>
      </c>
    </row>
    <row r="281" spans="1:4" ht="15">
      <c r="A281" t="s">
        <v>2019</v>
      </c>
      <c r="B281" t="s">
        <v>2009</v>
      </c>
      <c r="C281" s="52" t="s">
        <v>2020</v>
      </c>
      <c r="D281" s="79">
        <v>43655.006423611114</v>
      </c>
    </row>
    <row r="282" spans="1:4" ht="15">
      <c r="A282" t="s">
        <v>2019</v>
      </c>
      <c r="B282" t="s">
        <v>2010</v>
      </c>
      <c r="C282" s="52" t="s">
        <v>2020</v>
      </c>
      <c r="D282" s="79">
        <v>43655.006423611114</v>
      </c>
    </row>
    <row r="283" spans="1:4" ht="15">
      <c r="A283" t="s">
        <v>2019</v>
      </c>
      <c r="B283" t="s">
        <v>1931</v>
      </c>
      <c r="C283" s="52" t="s">
        <v>2020</v>
      </c>
      <c r="D283" s="79">
        <v>43655.006423611114</v>
      </c>
    </row>
    <row r="284" spans="1:4" ht="15">
      <c r="A284" t="s">
        <v>2019</v>
      </c>
      <c r="B284" t="s">
        <v>1933</v>
      </c>
      <c r="C284" s="52" t="s">
        <v>2020</v>
      </c>
      <c r="D284" s="79">
        <v>43655.006423611114</v>
      </c>
    </row>
    <row r="285" spans="1:4" ht="15">
      <c r="A285" t="s">
        <v>2019</v>
      </c>
      <c r="B285" t="s">
        <v>1957</v>
      </c>
      <c r="C285" s="52" t="s">
        <v>2020</v>
      </c>
      <c r="D285" s="79">
        <v>43655.006423611114</v>
      </c>
    </row>
    <row r="286" spans="1:4" ht="15">
      <c r="A286" t="s">
        <v>2019</v>
      </c>
      <c r="B286" t="s">
        <v>2011</v>
      </c>
      <c r="C286" s="52" t="s">
        <v>2020</v>
      </c>
      <c r="D286" s="79">
        <v>43655.006423611114</v>
      </c>
    </row>
    <row r="287" spans="1:4" ht="15">
      <c r="A287" t="s">
        <v>2019</v>
      </c>
      <c r="B287" t="s">
        <v>2012</v>
      </c>
      <c r="C287" s="52" t="s">
        <v>2020</v>
      </c>
      <c r="D287" s="79">
        <v>43655.006423611114</v>
      </c>
    </row>
    <row r="288" spans="1:4" ht="15">
      <c r="A288" t="s">
        <v>2019</v>
      </c>
      <c r="B288" t="s">
        <v>2013</v>
      </c>
      <c r="C288" s="52" t="s">
        <v>2020</v>
      </c>
      <c r="D288" s="79">
        <v>43655.006423611114</v>
      </c>
    </row>
    <row r="289" spans="1:4" ht="15">
      <c r="A289" t="s">
        <v>2019</v>
      </c>
      <c r="B289" t="s">
        <v>1947</v>
      </c>
      <c r="C289" s="52" t="s">
        <v>2020</v>
      </c>
      <c r="D289" s="79">
        <v>43655.006423611114</v>
      </c>
    </row>
    <row r="290" spans="1:4" ht="15">
      <c r="A290" t="s">
        <v>2019</v>
      </c>
      <c r="B290" t="s">
        <v>1913</v>
      </c>
      <c r="C290" s="52" t="s">
        <v>2020</v>
      </c>
      <c r="D290" s="79">
        <v>43655.006423611114</v>
      </c>
    </row>
    <row r="291" spans="1:4" ht="15">
      <c r="A291" t="s">
        <v>2019</v>
      </c>
      <c r="B291" t="s">
        <v>2014</v>
      </c>
      <c r="C291" s="52" t="s">
        <v>2020</v>
      </c>
      <c r="D291" s="79">
        <v>43655.006423611114</v>
      </c>
    </row>
    <row r="292" spans="1:4" ht="15">
      <c r="A292" t="s">
        <v>2019</v>
      </c>
      <c r="B292" t="s">
        <v>2015</v>
      </c>
      <c r="C292" s="52" t="s">
        <v>2020</v>
      </c>
      <c r="D292" s="79">
        <v>43655.006423611114</v>
      </c>
    </row>
    <row r="293" spans="1:4" ht="15">
      <c r="A293" t="s">
        <v>2019</v>
      </c>
      <c r="B293" t="s">
        <v>1936</v>
      </c>
      <c r="C293" s="52" t="s">
        <v>2020</v>
      </c>
      <c r="D293" s="79">
        <v>43655.006423611114</v>
      </c>
    </row>
    <row r="294" spans="1:4" ht="15">
      <c r="A294" t="s">
        <v>2019</v>
      </c>
      <c r="B294" t="s">
        <v>2016</v>
      </c>
      <c r="C294" s="52" t="s">
        <v>2020</v>
      </c>
      <c r="D294" s="79">
        <v>43655.006423611114</v>
      </c>
    </row>
    <row r="295" spans="1:4" ht="15">
      <c r="A295" t="s">
        <v>2019</v>
      </c>
      <c r="B295" t="s">
        <v>2017</v>
      </c>
      <c r="C295" s="52" t="s">
        <v>2020</v>
      </c>
      <c r="D295" s="79">
        <v>43655.006423611114</v>
      </c>
    </row>
    <row r="296" spans="1:4" ht="15">
      <c r="A296" t="s">
        <v>2019</v>
      </c>
      <c r="B296" t="s">
        <v>2018</v>
      </c>
      <c r="C296" s="52" t="s">
        <v>2020</v>
      </c>
      <c r="D296" s="79">
        <v>43655.006423611114</v>
      </c>
    </row>
    <row r="297" spans="1:4" ht="15">
      <c r="A297" t="s">
        <v>2021</v>
      </c>
      <c r="B297" t="s">
        <v>2022</v>
      </c>
      <c r="C297" s="52" t="s">
        <v>2023</v>
      </c>
      <c r="D297" s="79">
        <v>43655.60502314815</v>
      </c>
    </row>
    <row r="298" spans="1:4" ht="15">
      <c r="A298" t="s">
        <v>2021</v>
      </c>
      <c r="B298" t="s">
        <v>2024</v>
      </c>
      <c r="C298" s="52" t="s">
        <v>2023</v>
      </c>
      <c r="D298" s="79">
        <v>43655.60502314815</v>
      </c>
    </row>
    <row r="299" spans="1:4" ht="15">
      <c r="A299" t="s">
        <v>2021</v>
      </c>
      <c r="B299" t="s">
        <v>2025</v>
      </c>
      <c r="C299" s="52" t="s">
        <v>2023</v>
      </c>
      <c r="D299" s="79">
        <v>43655.60502314815</v>
      </c>
    </row>
    <row r="300" spans="1:4" ht="15">
      <c r="A300" t="s">
        <v>2021</v>
      </c>
      <c r="B300" t="s">
        <v>2009</v>
      </c>
      <c r="C300" s="52" t="s">
        <v>2023</v>
      </c>
      <c r="D300" s="79">
        <v>43655.60502314815</v>
      </c>
    </row>
    <row r="301" spans="1:4" ht="15">
      <c r="A301" t="s">
        <v>2021</v>
      </c>
      <c r="B301" t="s">
        <v>2026</v>
      </c>
      <c r="C301" s="52" t="s">
        <v>2023</v>
      </c>
      <c r="D301" s="79">
        <v>43655.60502314815</v>
      </c>
    </row>
    <row r="302" spans="1:4" ht="15">
      <c r="A302" t="s">
        <v>2021</v>
      </c>
      <c r="B302" t="s">
        <v>2027</v>
      </c>
      <c r="C302" s="52" t="s">
        <v>2023</v>
      </c>
      <c r="D302" s="79">
        <v>43655.60502314815</v>
      </c>
    </row>
    <row r="303" spans="1:4" ht="15">
      <c r="A303" t="s">
        <v>2021</v>
      </c>
      <c r="B303" t="s">
        <v>2028</v>
      </c>
      <c r="C303" s="52" t="s">
        <v>2023</v>
      </c>
      <c r="D303" s="79">
        <v>43655.60502314815</v>
      </c>
    </row>
    <row r="304" spans="1:4" ht="15">
      <c r="A304" t="s">
        <v>2021</v>
      </c>
      <c r="B304" t="s">
        <v>1935</v>
      </c>
      <c r="C304" s="52" t="s">
        <v>2023</v>
      </c>
      <c r="D304" s="79">
        <v>43655.60502314815</v>
      </c>
    </row>
    <row r="305" spans="1:4" ht="15">
      <c r="A305" t="s">
        <v>2021</v>
      </c>
      <c r="B305" t="s">
        <v>2029</v>
      </c>
      <c r="C305" s="52" t="s">
        <v>2023</v>
      </c>
      <c r="D305" s="79">
        <v>43655.60502314815</v>
      </c>
    </row>
    <row r="306" spans="1:4" ht="15">
      <c r="A306" t="s">
        <v>2021</v>
      </c>
      <c r="B306" t="s">
        <v>2030</v>
      </c>
      <c r="C306" s="52" t="s">
        <v>2023</v>
      </c>
      <c r="D306" s="79">
        <v>43655.60502314815</v>
      </c>
    </row>
    <row r="307" spans="1:4" ht="15">
      <c r="A307" t="s">
        <v>2021</v>
      </c>
      <c r="B307" t="s">
        <v>1932</v>
      </c>
      <c r="C307" s="52" t="s">
        <v>2023</v>
      </c>
      <c r="D307" s="79">
        <v>43655.60502314815</v>
      </c>
    </row>
    <row r="308" spans="1:4" ht="15">
      <c r="A308" t="s">
        <v>2021</v>
      </c>
      <c r="B308" t="s">
        <v>2031</v>
      </c>
      <c r="C308" s="52" t="s">
        <v>2023</v>
      </c>
      <c r="D308" s="79">
        <v>43655.60502314815</v>
      </c>
    </row>
    <row r="309" spans="1:4" ht="15">
      <c r="A309" t="s">
        <v>2021</v>
      </c>
      <c r="B309" t="s">
        <v>2032</v>
      </c>
      <c r="C309" s="52" t="s">
        <v>2023</v>
      </c>
      <c r="D309" s="79">
        <v>43655.60502314815</v>
      </c>
    </row>
    <row r="310" spans="1:4" ht="15">
      <c r="A310" t="s">
        <v>2021</v>
      </c>
      <c r="B310" t="s">
        <v>2033</v>
      </c>
      <c r="C310" s="52" t="s">
        <v>2023</v>
      </c>
      <c r="D310" s="79">
        <v>43655.60502314815</v>
      </c>
    </row>
    <row r="311" spans="1:4" ht="15">
      <c r="A311" t="s">
        <v>2021</v>
      </c>
      <c r="B311" t="s">
        <v>2034</v>
      </c>
      <c r="C311" s="52" t="s">
        <v>2023</v>
      </c>
      <c r="D311" s="79">
        <v>43655.60502314815</v>
      </c>
    </row>
    <row r="312" spans="1:4" ht="15">
      <c r="A312" t="s">
        <v>2021</v>
      </c>
      <c r="B312" t="s">
        <v>2015</v>
      </c>
      <c r="C312" s="52" t="s">
        <v>2023</v>
      </c>
      <c r="D312" s="79">
        <v>43655.60502314815</v>
      </c>
    </row>
    <row r="313" spans="1:4" ht="15">
      <c r="A313" t="s">
        <v>2021</v>
      </c>
      <c r="B313" t="s">
        <v>2035</v>
      </c>
      <c r="C313" s="52" t="s">
        <v>2023</v>
      </c>
      <c r="D313" s="79">
        <v>43655.60502314815</v>
      </c>
    </row>
    <row r="314" spans="1:4" ht="15">
      <c r="A314" t="s">
        <v>2021</v>
      </c>
      <c r="B314" t="s">
        <v>2036</v>
      </c>
      <c r="C314" s="52" t="s">
        <v>2023</v>
      </c>
      <c r="D314" s="79">
        <v>43655.60502314815</v>
      </c>
    </row>
    <row r="315" spans="1:4" ht="15">
      <c r="A315" t="s">
        <v>2021</v>
      </c>
      <c r="B315" t="s">
        <v>2037</v>
      </c>
      <c r="C315" s="52" t="s">
        <v>2023</v>
      </c>
      <c r="D315" s="79">
        <v>43655.60502314815</v>
      </c>
    </row>
    <row r="316" spans="1:4" ht="15">
      <c r="A316" t="s">
        <v>2021</v>
      </c>
      <c r="B316" t="s">
        <v>2038</v>
      </c>
      <c r="C316" s="52" t="s">
        <v>2023</v>
      </c>
      <c r="D316" s="79">
        <v>43655.60502314815</v>
      </c>
    </row>
    <row r="317" spans="1:4" ht="15">
      <c r="A317" t="s">
        <v>2021</v>
      </c>
      <c r="B317" t="s">
        <v>1982</v>
      </c>
      <c r="C317" s="52" t="s">
        <v>2023</v>
      </c>
      <c r="D317" s="79">
        <v>43655.60502314815</v>
      </c>
    </row>
    <row r="318" spans="1:4" ht="15">
      <c r="A318" t="s">
        <v>2021</v>
      </c>
      <c r="B318" t="s">
        <v>2039</v>
      </c>
      <c r="C318" s="52" t="s">
        <v>2023</v>
      </c>
      <c r="D318" s="79">
        <v>43655.60502314815</v>
      </c>
    </row>
    <row r="319" spans="1:4" ht="15">
      <c r="A319" t="s">
        <v>2021</v>
      </c>
      <c r="B319" t="s">
        <v>2040</v>
      </c>
      <c r="C319" s="52" t="s">
        <v>2023</v>
      </c>
      <c r="D319" s="79">
        <v>43655.60502314815</v>
      </c>
    </row>
    <row r="320" spans="1:4" ht="15">
      <c r="A320" t="s">
        <v>2021</v>
      </c>
      <c r="B320" t="s">
        <v>2041</v>
      </c>
      <c r="C320" s="52" t="s">
        <v>2023</v>
      </c>
      <c r="D320" s="79">
        <v>43655.60502314815</v>
      </c>
    </row>
    <row r="321" spans="1:4" ht="15">
      <c r="A321" t="s">
        <v>2021</v>
      </c>
      <c r="B321" t="s">
        <v>2042</v>
      </c>
      <c r="C321" s="52" t="s">
        <v>2023</v>
      </c>
      <c r="D321" s="79">
        <v>43655.60502314815</v>
      </c>
    </row>
    <row r="322" spans="1:4" ht="15">
      <c r="A322" t="s">
        <v>2021</v>
      </c>
      <c r="B322" t="s">
        <v>2043</v>
      </c>
      <c r="C322" s="52" t="s">
        <v>2023</v>
      </c>
      <c r="D322" s="79">
        <v>43655.60502314815</v>
      </c>
    </row>
    <row r="323" spans="1:4" ht="15">
      <c r="A323" t="s">
        <v>2021</v>
      </c>
      <c r="B323" t="s">
        <v>2044</v>
      </c>
      <c r="C323" s="52" t="s">
        <v>2023</v>
      </c>
      <c r="D323" s="79">
        <v>43655.60502314815</v>
      </c>
    </row>
    <row r="324" spans="1:4" ht="15">
      <c r="A324" t="s">
        <v>2021</v>
      </c>
      <c r="B324" t="s">
        <v>1877</v>
      </c>
      <c r="C324" s="52" t="s">
        <v>2023</v>
      </c>
      <c r="D324" s="79">
        <v>43655.60502314815</v>
      </c>
    </row>
    <row r="325" spans="1:4" ht="15">
      <c r="A325" t="s">
        <v>2021</v>
      </c>
      <c r="B325" t="s">
        <v>2045</v>
      </c>
      <c r="C325" s="52" t="s">
        <v>2023</v>
      </c>
      <c r="D325" s="79">
        <v>43655.60502314815</v>
      </c>
    </row>
    <row r="326" spans="1:4" ht="15">
      <c r="A326" t="s">
        <v>2021</v>
      </c>
      <c r="B326" t="s">
        <v>2046</v>
      </c>
      <c r="C326" s="52" t="s">
        <v>2023</v>
      </c>
      <c r="D326" s="79">
        <v>43655.60502314815</v>
      </c>
    </row>
    <row r="327" spans="1:4" ht="15">
      <c r="A327" t="s">
        <v>2021</v>
      </c>
      <c r="B327" t="s">
        <v>2047</v>
      </c>
      <c r="C327" s="52" t="s">
        <v>2023</v>
      </c>
      <c r="D327" s="79">
        <v>43655.60502314815</v>
      </c>
    </row>
    <row r="328" spans="1:4" ht="15">
      <c r="A328" t="s">
        <v>2021</v>
      </c>
      <c r="B328" t="s">
        <v>2048</v>
      </c>
      <c r="C328" s="52" t="s">
        <v>2023</v>
      </c>
      <c r="D328" s="79">
        <v>43655.60502314815</v>
      </c>
    </row>
    <row r="329" spans="1:4" ht="15">
      <c r="A329" t="s">
        <v>2021</v>
      </c>
      <c r="B329" t="s">
        <v>2049</v>
      </c>
      <c r="C329" s="52" t="s">
        <v>2023</v>
      </c>
      <c r="D329" s="79">
        <v>43655.60502314815</v>
      </c>
    </row>
    <row r="330" spans="1:4" ht="15">
      <c r="A330" t="s">
        <v>2021</v>
      </c>
      <c r="B330" t="s">
        <v>2050</v>
      </c>
      <c r="C330" s="52" t="s">
        <v>2023</v>
      </c>
      <c r="D330" s="79">
        <v>43655.60502314815</v>
      </c>
    </row>
    <row r="331" spans="1:4" ht="15">
      <c r="A331" t="s">
        <v>2021</v>
      </c>
      <c r="B331" t="s">
        <v>1880</v>
      </c>
      <c r="C331" s="52" t="s">
        <v>2023</v>
      </c>
      <c r="D331" s="79">
        <v>43655.60502314815</v>
      </c>
    </row>
    <row r="332" spans="1:4" ht="15">
      <c r="A332" t="s">
        <v>2019</v>
      </c>
      <c r="B332" t="s">
        <v>1939</v>
      </c>
      <c r="C332" s="52" t="s">
        <v>2051</v>
      </c>
      <c r="D332" s="79">
        <v>43654.72467592593</v>
      </c>
    </row>
    <row r="333" spans="1:4" ht="15">
      <c r="A333" t="s">
        <v>2019</v>
      </c>
      <c r="B333" t="s">
        <v>1979</v>
      </c>
      <c r="C333" s="52" t="s">
        <v>2051</v>
      </c>
      <c r="D333" s="79">
        <v>43654.72467592593</v>
      </c>
    </row>
    <row r="334" spans="1:4" ht="15">
      <c r="A334" t="s">
        <v>2019</v>
      </c>
      <c r="B334" t="s">
        <v>1886</v>
      </c>
      <c r="C334" s="52" t="s">
        <v>2051</v>
      </c>
      <c r="D334" s="79">
        <v>43654.72467592593</v>
      </c>
    </row>
    <row r="335" spans="1:4" ht="15">
      <c r="A335" t="s">
        <v>2019</v>
      </c>
      <c r="B335" t="s">
        <v>1957</v>
      </c>
      <c r="C335" s="52" t="s">
        <v>2051</v>
      </c>
      <c r="D335" s="79">
        <v>43654.72467592593</v>
      </c>
    </row>
    <row r="336" spans="1:4" ht="15">
      <c r="A336" t="s">
        <v>2019</v>
      </c>
      <c r="B336" t="s">
        <v>1894</v>
      </c>
      <c r="C336" s="52" t="s">
        <v>2051</v>
      </c>
      <c r="D336" s="79">
        <v>43654.72467592593</v>
      </c>
    </row>
    <row r="337" spans="1:4" ht="15">
      <c r="A337" t="s">
        <v>2019</v>
      </c>
      <c r="B337" t="s">
        <v>1980</v>
      </c>
      <c r="C337" s="52" t="s">
        <v>2051</v>
      </c>
      <c r="D337" s="79">
        <v>43654.72467592593</v>
      </c>
    </row>
    <row r="338" spans="1:4" ht="15">
      <c r="A338" t="s">
        <v>2019</v>
      </c>
      <c r="B338" t="s">
        <v>1981</v>
      </c>
      <c r="C338" s="52" t="s">
        <v>2051</v>
      </c>
      <c r="D338" s="79">
        <v>43654.72467592593</v>
      </c>
    </row>
    <row r="339" spans="1:4" ht="15">
      <c r="A339" t="s">
        <v>2019</v>
      </c>
      <c r="B339" t="s">
        <v>1982</v>
      </c>
      <c r="C339" s="52" t="s">
        <v>2051</v>
      </c>
      <c r="D339" s="79">
        <v>43654.72467592593</v>
      </c>
    </row>
    <row r="340" spans="1:4" ht="15">
      <c r="A340" t="s">
        <v>2019</v>
      </c>
      <c r="B340" t="s">
        <v>1890</v>
      </c>
      <c r="C340" s="52" t="s">
        <v>2051</v>
      </c>
      <c r="D340" s="79">
        <v>43654.72467592593</v>
      </c>
    </row>
    <row r="341" spans="1:4" ht="15">
      <c r="A341" t="s">
        <v>2019</v>
      </c>
      <c r="B341" t="s">
        <v>1911</v>
      </c>
      <c r="C341" s="52" t="s">
        <v>2051</v>
      </c>
      <c r="D341" s="79">
        <v>43654.72467592593</v>
      </c>
    </row>
    <row r="342" spans="1:4" ht="15">
      <c r="A342" t="s">
        <v>2019</v>
      </c>
      <c r="B342" t="s">
        <v>1983</v>
      </c>
      <c r="C342" s="52" t="s">
        <v>2051</v>
      </c>
      <c r="D342" s="79">
        <v>43654.72467592593</v>
      </c>
    </row>
    <row r="343" spans="1:4" ht="15">
      <c r="A343" t="s">
        <v>2019</v>
      </c>
      <c r="B343" t="s">
        <v>1984</v>
      </c>
      <c r="C343" s="52" t="s">
        <v>2051</v>
      </c>
      <c r="D343" s="79">
        <v>43654.72467592593</v>
      </c>
    </row>
    <row r="344" spans="1:4" ht="15">
      <c r="A344" t="s">
        <v>2019</v>
      </c>
      <c r="B344" t="s">
        <v>1985</v>
      </c>
      <c r="C344" s="52" t="s">
        <v>2051</v>
      </c>
      <c r="D344" s="79">
        <v>43654.72467592593</v>
      </c>
    </row>
    <row r="345" spans="1:4" ht="15">
      <c r="A345" t="s">
        <v>2019</v>
      </c>
      <c r="B345" t="s">
        <v>1964</v>
      </c>
      <c r="C345" s="52" t="s">
        <v>2051</v>
      </c>
      <c r="D345" s="79">
        <v>43654.72467592593</v>
      </c>
    </row>
    <row r="346" spans="1:4" ht="15">
      <c r="A346" t="s">
        <v>2019</v>
      </c>
      <c r="B346" t="s">
        <v>1986</v>
      </c>
      <c r="C346" s="52" t="s">
        <v>2051</v>
      </c>
      <c r="D346" s="79">
        <v>43654.72467592593</v>
      </c>
    </row>
    <row r="347" spans="1:4" ht="15">
      <c r="A347" t="s">
        <v>2019</v>
      </c>
      <c r="B347" t="s">
        <v>1987</v>
      </c>
      <c r="C347" s="52" t="s">
        <v>2051</v>
      </c>
      <c r="D347" s="79">
        <v>43654.72467592593</v>
      </c>
    </row>
    <row r="348" spans="1:4" ht="15">
      <c r="A348" t="s">
        <v>2019</v>
      </c>
      <c r="B348" t="s">
        <v>1881</v>
      </c>
      <c r="C348" s="52" t="s">
        <v>2051</v>
      </c>
      <c r="D348" s="79">
        <v>43654.72467592593</v>
      </c>
    </row>
    <row r="349" spans="1:4" ht="15">
      <c r="A349" t="s">
        <v>2019</v>
      </c>
      <c r="B349" t="s">
        <v>1962</v>
      </c>
      <c r="C349" s="52" t="s">
        <v>2051</v>
      </c>
      <c r="D349" s="79">
        <v>43654.72467592593</v>
      </c>
    </row>
    <row r="350" spans="1:4" ht="15">
      <c r="A350" t="s">
        <v>2019</v>
      </c>
      <c r="B350">
        <v>5</v>
      </c>
      <c r="C350" s="52" t="s">
        <v>2051</v>
      </c>
      <c r="D350" s="79">
        <v>43654.72467592593</v>
      </c>
    </row>
    <row r="351" spans="1:4" ht="15">
      <c r="A351" t="s">
        <v>2019</v>
      </c>
      <c r="B351" t="s">
        <v>1988</v>
      </c>
      <c r="C351" s="52" t="s">
        <v>2051</v>
      </c>
      <c r="D351" s="79">
        <v>43654.72467592593</v>
      </c>
    </row>
    <row r="352" spans="1:4" ht="15">
      <c r="A352" t="s">
        <v>2019</v>
      </c>
      <c r="B352" t="s">
        <v>1953</v>
      </c>
      <c r="C352" s="52" t="s">
        <v>2051</v>
      </c>
      <c r="D352" s="79">
        <v>43654.72467592593</v>
      </c>
    </row>
    <row r="353" spans="1:4" ht="15">
      <c r="A353" t="s">
        <v>2019</v>
      </c>
      <c r="B353" t="s">
        <v>1989</v>
      </c>
      <c r="C353" s="52" t="s">
        <v>2051</v>
      </c>
      <c r="D353" s="79">
        <v>43654.72467592593</v>
      </c>
    </row>
    <row r="354" spans="1:4" ht="15">
      <c r="A354" t="s">
        <v>2019</v>
      </c>
      <c r="B354" t="s">
        <v>1935</v>
      </c>
      <c r="C354" s="52" t="s">
        <v>2051</v>
      </c>
      <c r="D354" s="79">
        <v>43654.72467592593</v>
      </c>
    </row>
    <row r="355" spans="1:4" ht="15">
      <c r="A355" t="s">
        <v>2019</v>
      </c>
      <c r="B355" t="s">
        <v>1990</v>
      </c>
      <c r="C355" s="52" t="s">
        <v>2051</v>
      </c>
      <c r="D355" s="79">
        <v>43654.72467592593</v>
      </c>
    </row>
    <row r="356" spans="1:4" ht="15">
      <c r="A356" t="s">
        <v>2019</v>
      </c>
      <c r="B356" t="s">
        <v>1991</v>
      </c>
      <c r="C356" s="52" t="s">
        <v>2051</v>
      </c>
      <c r="D356" s="79">
        <v>43654.72467592593</v>
      </c>
    </row>
    <row r="357" spans="1:4" ht="15">
      <c r="A357" t="s">
        <v>2019</v>
      </c>
      <c r="B357" t="s">
        <v>1992</v>
      </c>
      <c r="C357" s="52" t="s">
        <v>2051</v>
      </c>
      <c r="D357" s="79">
        <v>43654.72467592593</v>
      </c>
    </row>
    <row r="358" spans="1:4" ht="15">
      <c r="A358" t="s">
        <v>2019</v>
      </c>
      <c r="B358" t="s">
        <v>1927</v>
      </c>
      <c r="C358" s="52" t="s">
        <v>2051</v>
      </c>
      <c r="D358" s="79">
        <v>43654.72467592593</v>
      </c>
    </row>
    <row r="359" spans="1:4" ht="15">
      <c r="A359" t="s">
        <v>2019</v>
      </c>
      <c r="B359" t="s">
        <v>1993</v>
      </c>
      <c r="C359" s="52" t="s">
        <v>2051</v>
      </c>
      <c r="D359" s="79">
        <v>43654.72467592593</v>
      </c>
    </row>
    <row r="360" spans="1:4" ht="15">
      <c r="A360" t="s">
        <v>2019</v>
      </c>
      <c r="B360" t="s">
        <v>1895</v>
      </c>
      <c r="C360" s="52" t="s">
        <v>2051</v>
      </c>
      <c r="D360" s="79">
        <v>43654.72467592593</v>
      </c>
    </row>
    <row r="361" spans="1:4" ht="15">
      <c r="A361" t="s">
        <v>2019</v>
      </c>
      <c r="B361" t="s">
        <v>1932</v>
      </c>
      <c r="C361" s="52" t="s">
        <v>2051</v>
      </c>
      <c r="D361" s="79">
        <v>43654.72467592593</v>
      </c>
    </row>
    <row r="362" spans="1:4" ht="15">
      <c r="A362" t="s">
        <v>2019</v>
      </c>
      <c r="B362" t="s">
        <v>1994</v>
      </c>
      <c r="C362" s="52" t="s">
        <v>2051</v>
      </c>
      <c r="D362" s="79">
        <v>43654.72467592593</v>
      </c>
    </row>
    <row r="363" spans="1:4" ht="15">
      <c r="A363" t="s">
        <v>2019</v>
      </c>
      <c r="B363" t="s">
        <v>1923</v>
      </c>
      <c r="C363" s="52" t="s">
        <v>2051</v>
      </c>
      <c r="D363" s="79">
        <v>43654.72467592593</v>
      </c>
    </row>
    <row r="364" spans="1:4" ht="15">
      <c r="A364" t="s">
        <v>2019</v>
      </c>
      <c r="B364" t="s">
        <v>1995</v>
      </c>
      <c r="C364" s="52" t="s">
        <v>2051</v>
      </c>
      <c r="D364" s="79">
        <v>43654.72467592593</v>
      </c>
    </row>
    <row r="365" spans="1:4" ht="15">
      <c r="A365" t="s">
        <v>2019</v>
      </c>
      <c r="B365" t="s">
        <v>1996</v>
      </c>
      <c r="C365" s="52" t="s">
        <v>2051</v>
      </c>
      <c r="D365" s="79">
        <v>43654.72467592593</v>
      </c>
    </row>
    <row r="366" spans="1:4" ht="15">
      <c r="A366" t="s">
        <v>2019</v>
      </c>
      <c r="B366" t="s">
        <v>1549</v>
      </c>
      <c r="C366" s="52" t="s">
        <v>2051</v>
      </c>
      <c r="D366" s="79">
        <v>43654.72467592593</v>
      </c>
    </row>
    <row r="367" spans="1:4" ht="15">
      <c r="A367" t="s">
        <v>2019</v>
      </c>
      <c r="B367" t="s">
        <v>1997</v>
      </c>
      <c r="C367" s="52" t="s">
        <v>2051</v>
      </c>
      <c r="D367" s="79">
        <v>43654.72467592593</v>
      </c>
    </row>
    <row r="368" spans="1:4" ht="15">
      <c r="A368" t="s">
        <v>2019</v>
      </c>
      <c r="B368" t="s">
        <v>1998</v>
      </c>
      <c r="C368" s="52" t="s">
        <v>2051</v>
      </c>
      <c r="D368" s="79">
        <v>43654.72467592593</v>
      </c>
    </row>
    <row r="369" spans="1:4" ht="15">
      <c r="A369" t="s">
        <v>2019</v>
      </c>
      <c r="B369" t="s">
        <v>1999</v>
      </c>
      <c r="C369" s="52" t="s">
        <v>2051</v>
      </c>
      <c r="D369" s="79">
        <v>43654.72467592593</v>
      </c>
    </row>
    <row r="370" spans="1:4" ht="15">
      <c r="A370" t="s">
        <v>2052</v>
      </c>
      <c r="B370" t="s">
        <v>1939</v>
      </c>
      <c r="C370" s="52" t="s">
        <v>2053</v>
      </c>
      <c r="D370" s="79">
        <v>43654.8299537037</v>
      </c>
    </row>
    <row r="371" spans="1:4" ht="15">
      <c r="A371" t="s">
        <v>2052</v>
      </c>
      <c r="B371" t="s">
        <v>1979</v>
      </c>
      <c r="C371" s="52" t="s">
        <v>2053</v>
      </c>
      <c r="D371" s="79">
        <v>43654.8299537037</v>
      </c>
    </row>
    <row r="372" spans="1:4" ht="15">
      <c r="A372" t="s">
        <v>2052</v>
      </c>
      <c r="B372" t="s">
        <v>1886</v>
      </c>
      <c r="C372" s="52" t="s">
        <v>2053</v>
      </c>
      <c r="D372" s="79">
        <v>43654.8299537037</v>
      </c>
    </row>
    <row r="373" spans="1:4" ht="15">
      <c r="A373" t="s">
        <v>2052</v>
      </c>
      <c r="B373" t="s">
        <v>1957</v>
      </c>
      <c r="C373" s="52" t="s">
        <v>2053</v>
      </c>
      <c r="D373" s="79">
        <v>43654.8299537037</v>
      </c>
    </row>
    <row r="374" spans="1:4" ht="15">
      <c r="A374" t="s">
        <v>2052</v>
      </c>
      <c r="B374" t="s">
        <v>1894</v>
      </c>
      <c r="C374" s="52" t="s">
        <v>2053</v>
      </c>
      <c r="D374" s="79">
        <v>43654.8299537037</v>
      </c>
    </row>
    <row r="375" spans="1:4" ht="15">
      <c r="A375" t="s">
        <v>2052</v>
      </c>
      <c r="B375" t="s">
        <v>1980</v>
      </c>
      <c r="C375" s="52" t="s">
        <v>2053</v>
      </c>
      <c r="D375" s="79">
        <v>43654.8299537037</v>
      </c>
    </row>
    <row r="376" spans="1:4" ht="15">
      <c r="A376" t="s">
        <v>2052</v>
      </c>
      <c r="B376" t="s">
        <v>1981</v>
      </c>
      <c r="C376" s="52" t="s">
        <v>2053</v>
      </c>
      <c r="D376" s="79">
        <v>43654.8299537037</v>
      </c>
    </row>
    <row r="377" spans="1:4" ht="15">
      <c r="A377" t="s">
        <v>2052</v>
      </c>
      <c r="B377" t="s">
        <v>1982</v>
      </c>
      <c r="C377" s="52" t="s">
        <v>2053</v>
      </c>
      <c r="D377" s="79">
        <v>43654.8299537037</v>
      </c>
    </row>
    <row r="378" spans="1:4" ht="15">
      <c r="A378" t="s">
        <v>2052</v>
      </c>
      <c r="B378" t="s">
        <v>1890</v>
      </c>
      <c r="C378" s="52" t="s">
        <v>2053</v>
      </c>
      <c r="D378" s="79">
        <v>43654.8299537037</v>
      </c>
    </row>
    <row r="379" spans="1:4" ht="15">
      <c r="A379" t="s">
        <v>2052</v>
      </c>
      <c r="B379" t="s">
        <v>1911</v>
      </c>
      <c r="C379" s="52" t="s">
        <v>2053</v>
      </c>
      <c r="D379" s="79">
        <v>43654.8299537037</v>
      </c>
    </row>
    <row r="380" spans="1:4" ht="15">
      <c r="A380" t="s">
        <v>2052</v>
      </c>
      <c r="B380" t="s">
        <v>1983</v>
      </c>
      <c r="C380" s="52" t="s">
        <v>2053</v>
      </c>
      <c r="D380" s="79">
        <v>43654.8299537037</v>
      </c>
    </row>
    <row r="381" spans="1:4" ht="15">
      <c r="A381" t="s">
        <v>2052</v>
      </c>
      <c r="B381" t="s">
        <v>1984</v>
      </c>
      <c r="C381" s="52" t="s">
        <v>2053</v>
      </c>
      <c r="D381" s="79">
        <v>43654.8299537037</v>
      </c>
    </row>
    <row r="382" spans="1:4" ht="15">
      <c r="A382" t="s">
        <v>2052</v>
      </c>
      <c r="B382" t="s">
        <v>1985</v>
      </c>
      <c r="C382" s="52" t="s">
        <v>2053</v>
      </c>
      <c r="D382" s="79">
        <v>43654.8299537037</v>
      </c>
    </row>
    <row r="383" spans="1:4" ht="15">
      <c r="A383" t="s">
        <v>2052</v>
      </c>
      <c r="B383" t="s">
        <v>1964</v>
      </c>
      <c r="C383" s="52" t="s">
        <v>2053</v>
      </c>
      <c r="D383" s="79">
        <v>43654.8299537037</v>
      </c>
    </row>
    <row r="384" spans="1:4" ht="15">
      <c r="A384" t="s">
        <v>2052</v>
      </c>
      <c r="B384" t="s">
        <v>1986</v>
      </c>
      <c r="C384" s="52" t="s">
        <v>2053</v>
      </c>
      <c r="D384" s="79">
        <v>43654.8299537037</v>
      </c>
    </row>
    <row r="385" spans="1:4" ht="15">
      <c r="A385" t="s">
        <v>2052</v>
      </c>
      <c r="B385" t="s">
        <v>1987</v>
      </c>
      <c r="C385" s="52" t="s">
        <v>2053</v>
      </c>
      <c r="D385" s="79">
        <v>43654.8299537037</v>
      </c>
    </row>
    <row r="386" spans="1:4" ht="15">
      <c r="A386" t="s">
        <v>2052</v>
      </c>
      <c r="B386" t="s">
        <v>1881</v>
      </c>
      <c r="C386" s="52" t="s">
        <v>2053</v>
      </c>
      <c r="D386" s="79">
        <v>43654.8299537037</v>
      </c>
    </row>
    <row r="387" spans="1:4" ht="15">
      <c r="A387" t="s">
        <v>2052</v>
      </c>
      <c r="B387" t="s">
        <v>1962</v>
      </c>
      <c r="C387" s="52" t="s">
        <v>2053</v>
      </c>
      <c r="D387" s="79">
        <v>43654.8299537037</v>
      </c>
    </row>
    <row r="388" spans="1:4" ht="15">
      <c r="A388" t="s">
        <v>2052</v>
      </c>
      <c r="B388">
        <v>5</v>
      </c>
      <c r="C388" s="52" t="s">
        <v>2053</v>
      </c>
      <c r="D388" s="79">
        <v>43654.8299537037</v>
      </c>
    </row>
    <row r="389" spans="1:4" ht="15">
      <c r="A389" t="s">
        <v>2052</v>
      </c>
      <c r="B389" t="s">
        <v>1988</v>
      </c>
      <c r="C389" s="52" t="s">
        <v>2053</v>
      </c>
      <c r="D389" s="79">
        <v>43654.8299537037</v>
      </c>
    </row>
    <row r="390" spans="1:4" ht="15">
      <c r="A390" t="s">
        <v>2052</v>
      </c>
      <c r="B390" t="s">
        <v>1953</v>
      </c>
      <c r="C390" s="52" t="s">
        <v>2053</v>
      </c>
      <c r="D390" s="79">
        <v>43654.8299537037</v>
      </c>
    </row>
    <row r="391" spans="1:4" ht="15">
      <c r="A391" t="s">
        <v>2052</v>
      </c>
      <c r="B391" t="s">
        <v>1989</v>
      </c>
      <c r="C391" s="52" t="s">
        <v>2053</v>
      </c>
      <c r="D391" s="79">
        <v>43654.8299537037</v>
      </c>
    </row>
    <row r="392" spans="1:4" ht="15">
      <c r="A392" t="s">
        <v>2052</v>
      </c>
      <c r="B392" t="s">
        <v>1935</v>
      </c>
      <c r="C392" s="52" t="s">
        <v>2053</v>
      </c>
      <c r="D392" s="79">
        <v>43654.8299537037</v>
      </c>
    </row>
    <row r="393" spans="1:4" ht="15">
      <c r="A393" t="s">
        <v>2052</v>
      </c>
      <c r="B393" t="s">
        <v>1990</v>
      </c>
      <c r="C393" s="52" t="s">
        <v>2053</v>
      </c>
      <c r="D393" s="79">
        <v>43654.8299537037</v>
      </c>
    </row>
    <row r="394" spans="1:4" ht="15">
      <c r="A394" t="s">
        <v>2052</v>
      </c>
      <c r="B394" t="s">
        <v>1991</v>
      </c>
      <c r="C394" s="52" t="s">
        <v>2053</v>
      </c>
      <c r="D394" s="79">
        <v>43654.8299537037</v>
      </c>
    </row>
    <row r="395" spans="1:4" ht="15">
      <c r="A395" t="s">
        <v>2052</v>
      </c>
      <c r="B395" t="s">
        <v>1992</v>
      </c>
      <c r="C395" s="52" t="s">
        <v>2053</v>
      </c>
      <c r="D395" s="79">
        <v>43654.8299537037</v>
      </c>
    </row>
    <row r="396" spans="1:4" ht="15">
      <c r="A396" t="s">
        <v>2052</v>
      </c>
      <c r="B396" t="s">
        <v>1927</v>
      </c>
      <c r="C396" s="52" t="s">
        <v>2053</v>
      </c>
      <c r="D396" s="79">
        <v>43654.8299537037</v>
      </c>
    </row>
    <row r="397" spans="1:4" ht="15">
      <c r="A397" t="s">
        <v>2052</v>
      </c>
      <c r="B397" t="s">
        <v>1993</v>
      </c>
      <c r="C397" s="52" t="s">
        <v>2053</v>
      </c>
      <c r="D397" s="79">
        <v>43654.8299537037</v>
      </c>
    </row>
    <row r="398" spans="1:4" ht="15">
      <c r="A398" t="s">
        <v>2052</v>
      </c>
      <c r="B398" t="s">
        <v>1895</v>
      </c>
      <c r="C398" s="52" t="s">
        <v>2053</v>
      </c>
      <c r="D398" s="79">
        <v>43654.8299537037</v>
      </c>
    </row>
    <row r="399" spans="1:4" ht="15">
      <c r="A399" t="s">
        <v>2052</v>
      </c>
      <c r="B399" t="s">
        <v>1932</v>
      </c>
      <c r="C399" s="52" t="s">
        <v>2053</v>
      </c>
      <c r="D399" s="79">
        <v>43654.8299537037</v>
      </c>
    </row>
    <row r="400" spans="1:4" ht="15">
      <c r="A400" t="s">
        <v>2052</v>
      </c>
      <c r="B400" t="s">
        <v>1994</v>
      </c>
      <c r="C400" s="52" t="s">
        <v>2053</v>
      </c>
      <c r="D400" s="79">
        <v>43654.8299537037</v>
      </c>
    </row>
    <row r="401" spans="1:4" ht="15">
      <c r="A401" t="s">
        <v>2052</v>
      </c>
      <c r="B401" t="s">
        <v>1923</v>
      </c>
      <c r="C401" s="52" t="s">
        <v>2053</v>
      </c>
      <c r="D401" s="79">
        <v>43654.8299537037</v>
      </c>
    </row>
    <row r="402" spans="1:4" ht="15">
      <c r="A402" t="s">
        <v>2052</v>
      </c>
      <c r="B402" t="s">
        <v>1995</v>
      </c>
      <c r="C402" s="52" t="s">
        <v>2053</v>
      </c>
      <c r="D402" s="79">
        <v>43654.8299537037</v>
      </c>
    </row>
    <row r="403" spans="1:4" ht="15">
      <c r="A403" t="s">
        <v>2052</v>
      </c>
      <c r="B403" t="s">
        <v>1996</v>
      </c>
      <c r="C403" s="52" t="s">
        <v>2053</v>
      </c>
      <c r="D403" s="79">
        <v>43654.8299537037</v>
      </c>
    </row>
    <row r="404" spans="1:4" ht="15">
      <c r="A404" t="s">
        <v>2052</v>
      </c>
      <c r="B404" t="s">
        <v>1549</v>
      </c>
      <c r="C404" s="52" t="s">
        <v>2053</v>
      </c>
      <c r="D404" s="79">
        <v>43654.8299537037</v>
      </c>
    </row>
    <row r="405" spans="1:4" ht="15">
      <c r="A405" t="s">
        <v>2052</v>
      </c>
      <c r="B405" t="s">
        <v>1997</v>
      </c>
      <c r="C405" s="52" t="s">
        <v>2053</v>
      </c>
      <c r="D405" s="79">
        <v>43654.8299537037</v>
      </c>
    </row>
    <row r="406" spans="1:4" ht="15">
      <c r="A406" t="s">
        <v>2052</v>
      </c>
      <c r="B406" t="s">
        <v>1998</v>
      </c>
      <c r="C406" s="52" t="s">
        <v>2053</v>
      </c>
      <c r="D406" s="79">
        <v>43654.8299537037</v>
      </c>
    </row>
    <row r="407" spans="1:4" ht="15">
      <c r="A407" t="s">
        <v>2052</v>
      </c>
      <c r="B407" t="s">
        <v>1999</v>
      </c>
      <c r="C407" s="52" t="s">
        <v>2053</v>
      </c>
      <c r="D407" s="7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1665</v>
      </c>
      <c r="B1" s="7" t="s">
        <v>2054</v>
      </c>
    </row>
    <row r="2" spans="1:2" ht="15">
      <c r="A2" t="s">
        <v>2055</v>
      </c>
      <c r="B2" t="s">
        <v>2056</v>
      </c>
    </row>
    <row r="3" spans="1:2" ht="15">
      <c r="A3" t="s">
        <v>2057</v>
      </c>
      <c r="B3" t="s">
        <v>2056</v>
      </c>
    </row>
    <row r="4" spans="1:2" ht="15">
      <c r="A4" t="s">
        <v>1969</v>
      </c>
      <c r="B4" t="s">
        <v>2056</v>
      </c>
    </row>
    <row r="5" spans="1:2" ht="15">
      <c r="A5" t="s">
        <v>2058</v>
      </c>
      <c r="B5" t="s">
        <v>2056</v>
      </c>
    </row>
    <row r="6" spans="1:2" ht="15">
      <c r="A6" t="s">
        <v>2059</v>
      </c>
      <c r="B6" t="s">
        <v>2056</v>
      </c>
    </row>
    <row r="7" spans="1:2" ht="15">
      <c r="A7" t="s">
        <v>2060</v>
      </c>
      <c r="B7" t="s">
        <v>2056</v>
      </c>
    </row>
    <row r="8" spans="1:2" ht="15">
      <c r="A8" t="s">
        <v>2061</v>
      </c>
      <c r="B8" t="s">
        <v>2056</v>
      </c>
    </row>
    <row r="9" spans="1:2" ht="15">
      <c r="A9" t="s">
        <v>2062</v>
      </c>
      <c r="B9" t="s">
        <v>2056</v>
      </c>
    </row>
    <row r="10" spans="1:2" ht="15">
      <c r="A10" t="s">
        <v>2063</v>
      </c>
      <c r="B10" t="s">
        <v>2056</v>
      </c>
    </row>
    <row r="11" spans="1:2" ht="15">
      <c r="A11" t="s">
        <v>2064</v>
      </c>
      <c r="B11" t="s">
        <v>2056</v>
      </c>
    </row>
    <row r="12" spans="1:2" ht="15">
      <c r="A12" t="s">
        <v>2065</v>
      </c>
      <c r="B12" t="s">
        <v>2056</v>
      </c>
    </row>
    <row r="13" spans="1:2" ht="15">
      <c r="A13" t="s">
        <v>1957</v>
      </c>
      <c r="B13" t="s">
        <v>2056</v>
      </c>
    </row>
    <row r="14" spans="1:2" ht="15">
      <c r="A14" t="s">
        <v>2036</v>
      </c>
      <c r="B14" t="s">
        <v>2056</v>
      </c>
    </row>
    <row r="15" spans="1:2" ht="15">
      <c r="A15" t="s">
        <v>1932</v>
      </c>
      <c r="B15" t="s">
        <v>2056</v>
      </c>
    </row>
    <row r="16" spans="1:2" ht="15">
      <c r="A16" t="s">
        <v>2066</v>
      </c>
      <c r="B16" t="s">
        <v>2056</v>
      </c>
    </row>
    <row r="17" spans="1:2" ht="15">
      <c r="A17" t="s">
        <v>1922</v>
      </c>
      <c r="B17" t="s">
        <v>2056</v>
      </c>
    </row>
    <row r="18" spans="1:2" ht="15">
      <c r="A18" t="s">
        <v>2067</v>
      </c>
      <c r="B18" t="s">
        <v>2056</v>
      </c>
    </row>
    <row r="19" spans="1:2" ht="15">
      <c r="A19" t="s">
        <v>1930</v>
      </c>
      <c r="B19" t="s">
        <v>2056</v>
      </c>
    </row>
    <row r="20" spans="1:2" ht="15">
      <c r="A20" t="s">
        <v>1962</v>
      </c>
      <c r="B20" t="s">
        <v>2056</v>
      </c>
    </row>
    <row r="21" spans="1:2" ht="15">
      <c r="A21" t="s">
        <v>1936</v>
      </c>
      <c r="B21" t="s">
        <v>2056</v>
      </c>
    </row>
    <row r="22" spans="1:2" ht="15">
      <c r="A22" t="s">
        <v>2068</v>
      </c>
      <c r="B22" t="s">
        <v>2056</v>
      </c>
    </row>
    <row r="23" spans="1:2" ht="15">
      <c r="A23" t="s">
        <v>2069</v>
      </c>
      <c r="B23" t="s">
        <v>2056</v>
      </c>
    </row>
    <row r="24" spans="1:2" ht="15">
      <c r="A24" t="s">
        <v>2070</v>
      </c>
      <c r="B24" t="s">
        <v>2056</v>
      </c>
    </row>
    <row r="25" spans="1:2" ht="15">
      <c r="A25" t="s">
        <v>1947</v>
      </c>
      <c r="B25" t="s">
        <v>2056</v>
      </c>
    </row>
    <row r="26" spans="1:2" ht="15">
      <c r="A26" t="s">
        <v>2071</v>
      </c>
      <c r="B26" t="s">
        <v>2056</v>
      </c>
    </row>
    <row r="27" spans="1:2" ht="15">
      <c r="A27" t="s">
        <v>2072</v>
      </c>
      <c r="B27" t="s">
        <v>2056</v>
      </c>
    </row>
    <row r="28" spans="1:2" ht="15">
      <c r="A28" t="s">
        <v>2073</v>
      </c>
      <c r="B28" t="s">
        <v>2056</v>
      </c>
    </row>
    <row r="29" spans="1:2" ht="15">
      <c r="A29" t="s">
        <v>2074</v>
      </c>
      <c r="B29" t="s">
        <v>2056</v>
      </c>
    </row>
    <row r="30" spans="1:2" ht="15">
      <c r="A30" t="s">
        <v>2075</v>
      </c>
      <c r="B30" t="s">
        <v>2056</v>
      </c>
    </row>
    <row r="31" spans="1:2" ht="15">
      <c r="A31" t="s">
        <v>2076</v>
      </c>
      <c r="B31" t="s">
        <v>2056</v>
      </c>
    </row>
    <row r="32" spans="1:2" ht="15">
      <c r="A32" t="s">
        <v>2077</v>
      </c>
      <c r="B32" t="s">
        <v>2056</v>
      </c>
    </row>
    <row r="33" spans="1:2" ht="15">
      <c r="A33" t="s">
        <v>2078</v>
      </c>
      <c r="B33" t="s">
        <v>2056</v>
      </c>
    </row>
    <row r="34" spans="1:2" ht="15">
      <c r="A34" t="s">
        <v>2079</v>
      </c>
      <c r="B34" t="s">
        <v>2056</v>
      </c>
    </row>
    <row r="35" spans="1:2" ht="15">
      <c r="A35" t="s">
        <v>2080</v>
      </c>
      <c r="B35" t="s">
        <v>2056</v>
      </c>
    </row>
    <row r="36" spans="1:2" ht="15">
      <c r="A36" t="s">
        <v>2081</v>
      </c>
      <c r="B36" t="s">
        <v>2056</v>
      </c>
    </row>
    <row r="37" spans="1:2" ht="15">
      <c r="A37" t="s">
        <v>2082</v>
      </c>
      <c r="B37" t="s">
        <v>2056</v>
      </c>
    </row>
    <row r="38" spans="1:2" ht="15">
      <c r="A38" t="s">
        <v>2083</v>
      </c>
      <c r="B38" t="s">
        <v>2056</v>
      </c>
    </row>
    <row r="39" spans="1:2" ht="15">
      <c r="A39" t="s">
        <v>2084</v>
      </c>
      <c r="B39" t="s">
        <v>2056</v>
      </c>
    </row>
    <row r="40" spans="1:2" ht="15">
      <c r="A40" t="s">
        <v>2085</v>
      </c>
      <c r="B40" t="s">
        <v>2056</v>
      </c>
    </row>
    <row r="41" spans="1:2" ht="15">
      <c r="A41" t="s">
        <v>2086</v>
      </c>
      <c r="B41" t="s">
        <v>2056</v>
      </c>
    </row>
    <row r="42" spans="1:2" ht="15">
      <c r="A42" t="s">
        <v>1926</v>
      </c>
      <c r="B42" t="s">
        <v>2056</v>
      </c>
    </row>
    <row r="43" spans="1:2" ht="15">
      <c r="A43" t="s">
        <v>2087</v>
      </c>
      <c r="B43" t="s">
        <v>2056</v>
      </c>
    </row>
    <row r="44" spans="1:2" ht="15">
      <c r="A44" t="s">
        <v>1994</v>
      </c>
      <c r="B44" t="s">
        <v>2056</v>
      </c>
    </row>
    <row r="45" spans="1:2" ht="15">
      <c r="A45" t="s">
        <v>2088</v>
      </c>
      <c r="B45" t="s">
        <v>2056</v>
      </c>
    </row>
    <row r="46" spans="1:2" ht="15">
      <c r="A46" t="s">
        <v>2089</v>
      </c>
      <c r="B46" t="s">
        <v>2056</v>
      </c>
    </row>
    <row r="47" spans="1:2" ht="15">
      <c r="A47" t="s">
        <v>2090</v>
      </c>
      <c r="B47" t="s">
        <v>2056</v>
      </c>
    </row>
    <row r="48" spans="1:2" ht="15">
      <c r="A48" t="s">
        <v>2091</v>
      </c>
      <c r="B48" t="s">
        <v>2056</v>
      </c>
    </row>
    <row r="49" spans="1:2" ht="15">
      <c r="A49" t="s">
        <v>2092</v>
      </c>
      <c r="B49" t="s">
        <v>2056</v>
      </c>
    </row>
    <row r="50" spans="1:2" ht="15">
      <c r="A50" t="s">
        <v>2093</v>
      </c>
      <c r="B50" t="s">
        <v>2056</v>
      </c>
    </row>
    <row r="51" spans="1:2" ht="15">
      <c r="A51" t="s">
        <v>2094</v>
      </c>
      <c r="B51" t="s">
        <v>2056</v>
      </c>
    </row>
    <row r="52" spans="1:2" ht="15">
      <c r="A52" t="s">
        <v>2095</v>
      </c>
      <c r="B52" t="s">
        <v>2056</v>
      </c>
    </row>
    <row r="53" spans="1:2" ht="15">
      <c r="A53" t="s">
        <v>2096</v>
      </c>
      <c r="B53" t="s">
        <v>2056</v>
      </c>
    </row>
    <row r="54" spans="1:2" ht="15">
      <c r="A54" t="s">
        <v>2097</v>
      </c>
      <c r="B54" t="s">
        <v>2056</v>
      </c>
    </row>
    <row r="55" spans="1:2" ht="15">
      <c r="A55" t="s">
        <v>2098</v>
      </c>
      <c r="B55" t="s">
        <v>2056</v>
      </c>
    </row>
    <row r="56" spans="1:2" ht="15">
      <c r="A56" t="s">
        <v>2099</v>
      </c>
      <c r="B56" t="s">
        <v>2056</v>
      </c>
    </row>
    <row r="57" spans="1:2" ht="15">
      <c r="A57" t="s">
        <v>2100</v>
      </c>
      <c r="B57" t="s">
        <v>2056</v>
      </c>
    </row>
    <row r="58" spans="1:2" ht="15">
      <c r="A58" t="s">
        <v>2028</v>
      </c>
      <c r="B58" t="s">
        <v>2056</v>
      </c>
    </row>
    <row r="59" spans="1:2" ht="15">
      <c r="A59" t="s">
        <v>2101</v>
      </c>
      <c r="B59" t="s">
        <v>2056</v>
      </c>
    </row>
    <row r="60" spans="1:2" ht="15">
      <c r="A60" t="s">
        <v>2102</v>
      </c>
      <c r="B60" t="s">
        <v>2056</v>
      </c>
    </row>
    <row r="61" spans="1:2" ht="15">
      <c r="A61" t="s">
        <v>2103</v>
      </c>
      <c r="B61" t="s">
        <v>2056</v>
      </c>
    </row>
    <row r="62" spans="1:2" ht="15">
      <c r="A62" t="s">
        <v>2104</v>
      </c>
      <c r="B62" t="s">
        <v>2056</v>
      </c>
    </row>
    <row r="63" spans="1:2" ht="15">
      <c r="A63" t="s">
        <v>2105</v>
      </c>
      <c r="B63" t="s">
        <v>2056</v>
      </c>
    </row>
    <row r="64" spans="1:2" ht="15">
      <c r="A64" t="s">
        <v>2106</v>
      </c>
      <c r="B64" t="s">
        <v>2056</v>
      </c>
    </row>
    <row r="65" spans="1:2" ht="15">
      <c r="A65" t="s">
        <v>2107</v>
      </c>
      <c r="B65" t="s">
        <v>2056</v>
      </c>
    </row>
    <row r="66" spans="1:2" ht="15">
      <c r="A66" t="s">
        <v>2108</v>
      </c>
      <c r="B66" t="s">
        <v>2056</v>
      </c>
    </row>
    <row r="67" spans="1:2" ht="15">
      <c r="A67" t="s">
        <v>2109</v>
      </c>
      <c r="B67" t="s">
        <v>2056</v>
      </c>
    </row>
    <row r="68" spans="1:2" ht="15">
      <c r="A68" t="s">
        <v>2110</v>
      </c>
      <c r="B68" t="s">
        <v>2056</v>
      </c>
    </row>
    <row r="69" spans="1:2" ht="15">
      <c r="A69" t="s">
        <v>1877</v>
      </c>
      <c r="B69" t="s">
        <v>2056</v>
      </c>
    </row>
    <row r="70" spans="1:2" ht="15">
      <c r="A70" t="s">
        <v>2111</v>
      </c>
      <c r="B70" t="s">
        <v>2056</v>
      </c>
    </row>
    <row r="71" spans="1:2" ht="15">
      <c r="A71" t="s">
        <v>2044</v>
      </c>
      <c r="B71" t="s">
        <v>2056</v>
      </c>
    </row>
    <row r="72" spans="1:2" ht="15">
      <c r="A72" t="s">
        <v>2112</v>
      </c>
      <c r="B72" t="s">
        <v>2056</v>
      </c>
    </row>
    <row r="73" spans="1:2" ht="15">
      <c r="A73" t="s">
        <v>2113</v>
      </c>
      <c r="B73" t="s">
        <v>2056</v>
      </c>
    </row>
    <row r="74" spans="1:2" ht="15">
      <c r="A74" t="s">
        <v>1941</v>
      </c>
      <c r="B74" t="s">
        <v>2056</v>
      </c>
    </row>
    <row r="75" spans="1:2" ht="15">
      <c r="A75" t="s">
        <v>2114</v>
      </c>
      <c r="B75" t="s">
        <v>2056</v>
      </c>
    </row>
    <row r="76" spans="1:2" ht="15">
      <c r="A76" t="s">
        <v>2115</v>
      </c>
      <c r="B76" t="s">
        <v>2056</v>
      </c>
    </row>
    <row r="77" spans="1:2" ht="15">
      <c r="A77" t="s">
        <v>2116</v>
      </c>
      <c r="B77" t="s">
        <v>2056</v>
      </c>
    </row>
    <row r="78" spans="1:2" ht="15">
      <c r="A78" t="s">
        <v>2117</v>
      </c>
      <c r="B78" t="s">
        <v>2056</v>
      </c>
    </row>
    <row r="79" spans="1:2" ht="15">
      <c r="A79" t="s">
        <v>2118</v>
      </c>
      <c r="B79" t="s">
        <v>2056</v>
      </c>
    </row>
    <row r="80" spans="1:2" ht="15">
      <c r="A80" t="s">
        <v>2119</v>
      </c>
      <c r="B80" t="s">
        <v>2056</v>
      </c>
    </row>
    <row r="81" spans="1:2" ht="15">
      <c r="A81" t="s">
        <v>2120</v>
      </c>
      <c r="B81" t="s">
        <v>2056</v>
      </c>
    </row>
    <row r="82" spans="1:2" ht="15">
      <c r="A82" t="s">
        <v>2121</v>
      </c>
      <c r="B82" t="s">
        <v>2056</v>
      </c>
    </row>
    <row r="83" spans="1:2" ht="15">
      <c r="A83" t="s">
        <v>2122</v>
      </c>
      <c r="B83" t="s">
        <v>2056</v>
      </c>
    </row>
    <row r="84" spans="1:2" ht="15">
      <c r="A84" t="s">
        <v>2123</v>
      </c>
      <c r="B84" t="s">
        <v>2056</v>
      </c>
    </row>
    <row r="85" spans="1:2" ht="15">
      <c r="A85" t="s">
        <v>2124</v>
      </c>
      <c r="B85" t="s">
        <v>2056</v>
      </c>
    </row>
    <row r="86" spans="1:2" ht="15">
      <c r="A86" t="s">
        <v>2026</v>
      </c>
      <c r="B86" t="s">
        <v>2056</v>
      </c>
    </row>
    <row r="87" spans="1:2" ht="15">
      <c r="A87" t="s">
        <v>2125</v>
      </c>
      <c r="B87" t="s">
        <v>2056</v>
      </c>
    </row>
    <row r="88" spans="1:2" ht="15">
      <c r="A88" t="s">
        <v>2126</v>
      </c>
      <c r="B88" t="s">
        <v>2056</v>
      </c>
    </row>
    <row r="89" spans="1:2" ht="15">
      <c r="A89" t="s">
        <v>2127</v>
      </c>
      <c r="B89" t="s">
        <v>2056</v>
      </c>
    </row>
    <row r="90" spans="1:2" ht="15">
      <c r="A90" t="s">
        <v>2128</v>
      </c>
      <c r="B90" t="s">
        <v>2056</v>
      </c>
    </row>
    <row r="91" spans="1:2" ht="15">
      <c r="A91" t="s">
        <v>2129</v>
      </c>
      <c r="B91" t="s">
        <v>2056</v>
      </c>
    </row>
    <row r="92" spans="1:2" ht="15">
      <c r="A92" t="s">
        <v>2130</v>
      </c>
      <c r="B92" t="s">
        <v>2056</v>
      </c>
    </row>
    <row r="93" spans="1:2" ht="15">
      <c r="A93" t="s">
        <v>2131</v>
      </c>
      <c r="B93" t="s">
        <v>2056</v>
      </c>
    </row>
    <row r="94" spans="1:2" ht="15">
      <c r="A94" t="s">
        <v>1982</v>
      </c>
      <c r="B94" t="s">
        <v>2056</v>
      </c>
    </row>
    <row r="95" spans="1:2" ht="15">
      <c r="A95" t="s">
        <v>2132</v>
      </c>
      <c r="B95" t="s">
        <v>2056</v>
      </c>
    </row>
    <row r="96" spans="1:2" ht="15">
      <c r="A96" t="s">
        <v>2133</v>
      </c>
      <c r="B96" t="s">
        <v>2056</v>
      </c>
    </row>
    <row r="97" spans="1:2" ht="15">
      <c r="A97" t="s">
        <v>2016</v>
      </c>
      <c r="B97" t="s">
        <v>2056</v>
      </c>
    </row>
    <row r="98" spans="1:2" ht="15">
      <c r="A98" t="s">
        <v>2134</v>
      </c>
      <c r="B98" t="s">
        <v>2056</v>
      </c>
    </row>
    <row r="99" spans="1:2" ht="15">
      <c r="A99" t="s">
        <v>2135</v>
      </c>
      <c r="B99" t="s">
        <v>2056</v>
      </c>
    </row>
    <row r="100" spans="1:2" ht="15">
      <c r="A100" t="s">
        <v>2136</v>
      </c>
      <c r="B100" t="s">
        <v>2056</v>
      </c>
    </row>
    <row r="101" spans="1:2" ht="15">
      <c r="A101" t="s">
        <v>1997</v>
      </c>
      <c r="B101" t="s">
        <v>2056</v>
      </c>
    </row>
    <row r="102" spans="1:2" ht="15">
      <c r="A102" t="s">
        <v>2137</v>
      </c>
      <c r="B102" t="s">
        <v>2056</v>
      </c>
    </row>
    <row r="103" spans="1:2" ht="15">
      <c r="A103" t="s">
        <v>2138</v>
      </c>
      <c r="B103" t="s">
        <v>2056</v>
      </c>
    </row>
    <row r="104" spans="1:2" ht="15">
      <c r="A104" t="s">
        <v>2139</v>
      </c>
      <c r="B104" t="s">
        <v>2056</v>
      </c>
    </row>
    <row r="105" spans="1:2" ht="15">
      <c r="A105" t="s">
        <v>2140</v>
      </c>
      <c r="B105" t="s">
        <v>2056</v>
      </c>
    </row>
    <row r="106" spans="1:2" ht="15">
      <c r="A106" t="s">
        <v>2141</v>
      </c>
      <c r="B106" t="s">
        <v>2056</v>
      </c>
    </row>
    <row r="107" spans="1:2" ht="15">
      <c r="A107" t="s">
        <v>2142</v>
      </c>
      <c r="B107" t="s">
        <v>2056</v>
      </c>
    </row>
    <row r="108" spans="1:2" ht="15">
      <c r="A108" t="s">
        <v>2143</v>
      </c>
      <c r="B108" t="s">
        <v>2056</v>
      </c>
    </row>
    <row r="109" spans="1:2" ht="15">
      <c r="A109" t="s">
        <v>2144</v>
      </c>
      <c r="B109" t="s">
        <v>2056</v>
      </c>
    </row>
    <row r="110" spans="1:2" ht="15">
      <c r="A110" t="s">
        <v>2145</v>
      </c>
      <c r="B110" t="s">
        <v>2056</v>
      </c>
    </row>
    <row r="111" spans="1:2" ht="15">
      <c r="A111" t="s">
        <v>2146</v>
      </c>
      <c r="B111" t="s">
        <v>2056</v>
      </c>
    </row>
    <row r="112" spans="1:2" ht="15">
      <c r="A112" t="s">
        <v>2147</v>
      </c>
      <c r="B112" t="s">
        <v>2056</v>
      </c>
    </row>
    <row r="113" spans="1:2" ht="15">
      <c r="A113" t="s">
        <v>2148</v>
      </c>
      <c r="B113" t="s">
        <v>2056</v>
      </c>
    </row>
    <row r="114" spans="1:2" ht="15">
      <c r="A114" t="s">
        <v>2149</v>
      </c>
      <c r="B114" t="s">
        <v>2056</v>
      </c>
    </row>
    <row r="115" spans="1:2" ht="15">
      <c r="A115" t="s">
        <v>2150</v>
      </c>
      <c r="B115" t="s">
        <v>2056</v>
      </c>
    </row>
    <row r="116" spans="1:2" ht="15">
      <c r="A116" t="s">
        <v>2151</v>
      </c>
      <c r="B116" t="s">
        <v>2056</v>
      </c>
    </row>
    <row r="117" spans="1:2" ht="15">
      <c r="A117" t="s">
        <v>2152</v>
      </c>
      <c r="B117" t="s">
        <v>2056</v>
      </c>
    </row>
    <row r="118" spans="1:2" ht="15">
      <c r="A118" t="s">
        <v>2153</v>
      </c>
      <c r="B118" t="s">
        <v>2056</v>
      </c>
    </row>
    <row r="119" spans="1:2" ht="15">
      <c r="A119" t="s">
        <v>2154</v>
      </c>
      <c r="B119" t="s">
        <v>2056</v>
      </c>
    </row>
    <row r="120" spans="1:2" ht="15">
      <c r="A120" t="s">
        <v>2155</v>
      </c>
      <c r="B120" t="s">
        <v>2056</v>
      </c>
    </row>
    <row r="121" spans="1:2" ht="15">
      <c r="A121" t="s">
        <v>2156</v>
      </c>
      <c r="B121" t="s">
        <v>2056</v>
      </c>
    </row>
    <row r="122" spans="1:2" ht="15">
      <c r="A122" t="s">
        <v>1927</v>
      </c>
      <c r="B122" t="s">
        <v>2056</v>
      </c>
    </row>
    <row r="123" spans="1:2" ht="15">
      <c r="A123" t="s">
        <v>2031</v>
      </c>
      <c r="B123" t="s">
        <v>2056</v>
      </c>
    </row>
    <row r="124" spans="1:2" ht="15">
      <c r="A124" t="s">
        <v>2030</v>
      </c>
      <c r="B124" t="s">
        <v>2056</v>
      </c>
    </row>
    <row r="125" spans="1:2" ht="15">
      <c r="A125" t="s">
        <v>2157</v>
      </c>
      <c r="B125" t="s">
        <v>2056</v>
      </c>
    </row>
    <row r="126" spans="1:2" ht="15">
      <c r="A126" t="s">
        <v>2158</v>
      </c>
      <c r="B126" t="s">
        <v>2056</v>
      </c>
    </row>
    <row r="127" spans="1:2" ht="15">
      <c r="A127" t="s">
        <v>2159</v>
      </c>
      <c r="B127" t="s">
        <v>2056</v>
      </c>
    </row>
    <row r="128" spans="1:2" ht="15">
      <c r="A128" t="s">
        <v>2160</v>
      </c>
      <c r="B128" t="s">
        <v>2056</v>
      </c>
    </row>
    <row r="129" spans="1:2" ht="15">
      <c r="A129" t="s">
        <v>2034</v>
      </c>
      <c r="B129" t="s">
        <v>2056</v>
      </c>
    </row>
    <row r="130" spans="1:2" ht="15">
      <c r="A130" t="s">
        <v>2161</v>
      </c>
      <c r="B130" t="s">
        <v>2056</v>
      </c>
    </row>
    <row r="131" spans="1:2" ht="15">
      <c r="A131" t="s">
        <v>2162</v>
      </c>
      <c r="B131" t="s">
        <v>2056</v>
      </c>
    </row>
    <row r="132" spans="1:2" ht="15">
      <c r="A132" t="s">
        <v>2163</v>
      </c>
      <c r="B132" t="s">
        <v>2056</v>
      </c>
    </row>
    <row r="133" spans="1:2" ht="15">
      <c r="A133" t="s">
        <v>2164</v>
      </c>
      <c r="B133" t="s">
        <v>2056</v>
      </c>
    </row>
    <row r="134" spans="1:2" ht="15">
      <c r="A134" t="s">
        <v>1984</v>
      </c>
      <c r="B134" t="s">
        <v>2056</v>
      </c>
    </row>
    <row r="135" spans="1:2" ht="15">
      <c r="A135" t="s">
        <v>1935</v>
      </c>
      <c r="B135" t="s">
        <v>2056</v>
      </c>
    </row>
    <row r="136" spans="1:2" ht="15">
      <c r="A136" t="s">
        <v>2165</v>
      </c>
      <c r="B136" t="s">
        <v>2056</v>
      </c>
    </row>
    <row r="137" spans="1:2" ht="15">
      <c r="A137" t="s">
        <v>1989</v>
      </c>
      <c r="B137" t="s">
        <v>2056</v>
      </c>
    </row>
    <row r="138" spans="1:2" ht="15">
      <c r="A138" t="s">
        <v>2166</v>
      </c>
      <c r="B138" t="s">
        <v>2056</v>
      </c>
    </row>
    <row r="139" spans="1:2" ht="15">
      <c r="A139" t="s">
        <v>2167</v>
      </c>
      <c r="B139" t="s">
        <v>2056</v>
      </c>
    </row>
    <row r="140" spans="1:2" ht="15">
      <c r="A140" t="s">
        <v>2168</v>
      </c>
      <c r="B140" t="s">
        <v>2056</v>
      </c>
    </row>
    <row r="141" spans="1:2" ht="15">
      <c r="A141" t="s">
        <v>2009</v>
      </c>
      <c r="B141" t="s">
        <v>2056</v>
      </c>
    </row>
    <row r="142" spans="1:2" ht="15">
      <c r="A142" t="s">
        <v>2169</v>
      </c>
      <c r="B142" t="s">
        <v>2056</v>
      </c>
    </row>
    <row r="143" spans="1:2" ht="15">
      <c r="A143" t="s">
        <v>2170</v>
      </c>
      <c r="B143" t="s">
        <v>2056</v>
      </c>
    </row>
    <row r="144" spans="1:2" ht="15">
      <c r="A144" t="s">
        <v>2171</v>
      </c>
      <c r="B144" t="s">
        <v>2056</v>
      </c>
    </row>
    <row r="145" spans="1:2" ht="15">
      <c r="A145" t="s">
        <v>2172</v>
      </c>
      <c r="B145" t="s">
        <v>2056</v>
      </c>
    </row>
    <row r="146" spans="1:2" ht="15">
      <c r="A146" t="s">
        <v>2173</v>
      </c>
      <c r="B146" t="s">
        <v>2056</v>
      </c>
    </row>
    <row r="147" spans="1:2" ht="15">
      <c r="A147" t="s">
        <v>2174</v>
      </c>
      <c r="B147" t="s">
        <v>2056</v>
      </c>
    </row>
    <row r="148" spans="1:2" ht="15">
      <c r="A148" t="s">
        <v>2175</v>
      </c>
      <c r="B148" t="s">
        <v>2056</v>
      </c>
    </row>
    <row r="149" spans="1:2" ht="15">
      <c r="A149" t="s">
        <v>2176</v>
      </c>
      <c r="B149" t="s">
        <v>2056</v>
      </c>
    </row>
    <row r="150" spans="1:2" ht="15">
      <c r="A150" t="s">
        <v>2177</v>
      </c>
      <c r="B150" t="s">
        <v>2056</v>
      </c>
    </row>
    <row r="151" spans="1:2" ht="15">
      <c r="A151" t="s">
        <v>2178</v>
      </c>
      <c r="B151" t="s">
        <v>2056</v>
      </c>
    </row>
    <row r="152" spans="1:2" ht="15">
      <c r="A152" t="s">
        <v>2179</v>
      </c>
      <c r="B152" t="s">
        <v>2056</v>
      </c>
    </row>
    <row r="153" spans="1:2" ht="15">
      <c r="A153" t="s">
        <v>2180</v>
      </c>
      <c r="B153" t="s">
        <v>2056</v>
      </c>
    </row>
    <row r="154" spans="1:2" ht="15">
      <c r="A154" t="s">
        <v>2181</v>
      </c>
      <c r="B154" t="s">
        <v>2056</v>
      </c>
    </row>
    <row r="155" spans="1:2" ht="15">
      <c r="A155" t="s">
        <v>2182</v>
      </c>
      <c r="B155" t="s">
        <v>2056</v>
      </c>
    </row>
    <row r="156" spans="1:2" ht="15">
      <c r="A156" t="s">
        <v>2014</v>
      </c>
      <c r="B156" t="s">
        <v>2056</v>
      </c>
    </row>
    <row r="157" spans="1:2" ht="15">
      <c r="A157" t="s">
        <v>2183</v>
      </c>
      <c r="B157" t="s">
        <v>2056</v>
      </c>
    </row>
    <row r="158" spans="1:2" ht="15">
      <c r="A158" t="s">
        <v>2184</v>
      </c>
      <c r="B158" t="s">
        <v>2056</v>
      </c>
    </row>
    <row r="159" spans="1:2" ht="15">
      <c r="A159" t="s">
        <v>2185</v>
      </c>
      <c r="B159" t="s">
        <v>2056</v>
      </c>
    </row>
    <row r="160" spans="1:2" ht="15">
      <c r="A160" t="s">
        <v>2186</v>
      </c>
      <c r="B160" t="s">
        <v>2056</v>
      </c>
    </row>
    <row r="161" spans="1:2" ht="15">
      <c r="A161" t="s">
        <v>2187</v>
      </c>
      <c r="B161" t="s">
        <v>2056</v>
      </c>
    </row>
    <row r="162" spans="1:2" ht="15">
      <c r="A162" t="s">
        <v>2188</v>
      </c>
      <c r="B162" t="s">
        <v>2056</v>
      </c>
    </row>
    <row r="163" spans="1:2" ht="15">
      <c r="A163" t="s">
        <v>2015</v>
      </c>
      <c r="B163" t="s">
        <v>2056</v>
      </c>
    </row>
    <row r="164" spans="1:2" ht="15">
      <c r="A164" t="s">
        <v>1879</v>
      </c>
      <c r="B164" t="s">
        <v>2056</v>
      </c>
    </row>
    <row r="165" spans="1:2" ht="15">
      <c r="A165" t="s">
        <v>2189</v>
      </c>
      <c r="B165" t="s">
        <v>2056</v>
      </c>
    </row>
    <row r="166" spans="1:2" ht="15">
      <c r="A166" t="s">
        <v>2190</v>
      </c>
      <c r="B166" t="s">
        <v>2056</v>
      </c>
    </row>
    <row r="167" spans="1:2" ht="15">
      <c r="A167" t="s">
        <v>2191</v>
      </c>
      <c r="B167" t="s">
        <v>2056</v>
      </c>
    </row>
    <row r="168" spans="1:2" ht="15">
      <c r="A168" t="s">
        <v>2192</v>
      </c>
      <c r="B168" t="s">
        <v>2056</v>
      </c>
    </row>
    <row r="169" spans="1:2" ht="15">
      <c r="A169" t="s">
        <v>2193</v>
      </c>
      <c r="B169" t="s">
        <v>2056</v>
      </c>
    </row>
    <row r="170" spans="1:2" ht="15">
      <c r="A170" t="s">
        <v>2008</v>
      </c>
      <c r="B170" t="s">
        <v>2056</v>
      </c>
    </row>
    <row r="171" spans="1:2" ht="15">
      <c r="A171" t="s">
        <v>2194</v>
      </c>
      <c r="B171" t="s">
        <v>2056</v>
      </c>
    </row>
    <row r="172" spans="1:2" ht="15">
      <c r="A172" t="s">
        <v>2195</v>
      </c>
      <c r="B172" t="s">
        <v>2056</v>
      </c>
    </row>
    <row r="173" spans="1:2" ht="15">
      <c r="A173" t="s">
        <v>2196</v>
      </c>
      <c r="B173" t="s">
        <v>2056</v>
      </c>
    </row>
    <row r="174" spans="1:2" ht="15">
      <c r="A174" t="s">
        <v>2197</v>
      </c>
      <c r="B174" t="s">
        <v>2056</v>
      </c>
    </row>
    <row r="175" spans="1:2" ht="15">
      <c r="A175" t="s">
        <v>1923</v>
      </c>
      <c r="B175" t="s">
        <v>2056</v>
      </c>
    </row>
    <row r="176" spans="1:2" ht="15">
      <c r="A176" t="s">
        <v>2198</v>
      </c>
      <c r="B176" t="s">
        <v>2056</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2199</v>
      </c>
      <c r="B1" s="7" t="s">
        <v>1308</v>
      </c>
    </row>
    <row r="2" spans="1:2" ht="15">
      <c r="A2" s="125" t="s">
        <v>2200</v>
      </c>
      <c r="B2" s="125" t="s">
        <v>2201</v>
      </c>
    </row>
    <row r="3" spans="1:2" ht="15">
      <c r="A3" s="124" t="s">
        <v>2202</v>
      </c>
      <c r="B3" s="125" t="s">
        <v>2203</v>
      </c>
    </row>
    <row r="4" spans="1:2" ht="15">
      <c r="A4" s="124" t="s">
        <v>2204</v>
      </c>
      <c r="B4" s="125" t="s">
        <v>2205</v>
      </c>
    </row>
    <row r="5" spans="1:2" ht="15">
      <c r="A5" s="124" t="s">
        <v>2206</v>
      </c>
      <c r="B5" s="125" t="s">
        <v>2207</v>
      </c>
    </row>
    <row r="6" spans="1:2" ht="15">
      <c r="A6" s="124" t="s">
        <v>2208</v>
      </c>
      <c r="B6" s="125" t="s">
        <v>2209</v>
      </c>
    </row>
    <row r="7" spans="1:2" ht="15">
      <c r="A7" s="124" t="s">
        <v>752</v>
      </c>
      <c r="B7" s="125" t="s">
        <v>2210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4944"/>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11.57421875" style="0" customWidth="1"/>
    <col min="33" max="33" width="12.00390625" style="0" customWidth="1"/>
    <col min="34" max="34" width="9.7109375" style="0"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 min="73" max="73" width="9.57421875" style="0" bestFit="1" customWidth="1"/>
    <col min="74" max="74" width="19.140625" style="0" bestFit="1" customWidth="1"/>
    <col min="75" max="75" width="23.8515625" style="0" bestFit="1" customWidth="1"/>
    <col min="76" max="76" width="19.140625" style="0" bestFit="1" customWidth="1"/>
    <col min="77" max="77" width="23.8515625" style="0" bestFit="1" customWidth="1"/>
    <col min="78" max="78" width="19.140625" style="0" bestFit="1" customWidth="1"/>
    <col min="79" max="79" width="23.8515625" style="0" bestFit="1" customWidth="1"/>
    <col min="80" max="80" width="11.00390625" style="0" bestFit="1" customWidth="1"/>
    <col min="81" max="81" width="12.00390625" style="0" bestFit="1" customWidth="1"/>
    <col min="82" max="82" width="10.8515625" style="0" bestFit="1" customWidth="1"/>
    <col min="83" max="83" width="17.140625" style="0" bestFit="1" customWidth="1"/>
    <col min="84" max="84" width="14.7109375" style="0" bestFit="1" customWidth="1"/>
    <col min="85" max="85" width="15.57421875" style="0" bestFit="1" customWidth="1"/>
    <col min="86" max="86" width="23.28125" style="0" bestFit="1" customWidth="1"/>
    <col min="87" max="87" width="21.00390625" style="0" bestFit="1" customWidth="1"/>
    <col min="88" max="90" width="13.8515625" style="0" bestFit="1" customWidth="1"/>
    <col min="91" max="91" width="11.140625" style="0" bestFit="1" customWidth="1"/>
    <col min="92" max="92" width="6.57421875" style="0" bestFit="1" customWidth="1"/>
    <col min="93" max="93" width="10.28125" style="0" bestFit="1" customWidth="1"/>
    <col min="94" max="94" width="13.28125" style="0" bestFit="1" customWidth="1"/>
    <col min="95" max="95" width="8.8515625" style="0" bestFit="1" customWidth="1"/>
    <col min="96" max="96" width="12.421875" style="0" bestFit="1" customWidth="1"/>
    <col min="97" max="97" width="8.7109375" style="0" bestFit="1" customWidth="1"/>
    <col min="98" max="98" width="10.8515625" style="0" bestFit="1" customWidth="1"/>
    <col min="99" max="99" width="11.8515625" style="0" bestFit="1" customWidth="1"/>
    <col min="100" max="100" width="15.00390625" style="0" bestFit="1" customWidth="1"/>
    <col min="101" max="101" width="14.28125" style="0" bestFit="1" customWidth="1"/>
    <col min="102" max="102" width="12.421875" style="0" bestFit="1" customWidth="1"/>
    <col min="103" max="103" width="11.421875" style="0" bestFit="1" customWidth="1"/>
    <col min="104" max="104" width="8.57421875" style="0" bestFit="1" customWidth="1"/>
    <col min="105" max="105" width="10.00390625" style="0" bestFit="1" customWidth="1"/>
    <col min="106" max="106" width="9.28125" style="0" bestFit="1" customWidth="1"/>
    <col min="108" max="108" width="8.7109375" style="0" bestFit="1" customWidth="1"/>
    <col min="109" max="109" width="11.140625" style="0" bestFit="1" customWidth="1"/>
    <col min="110" max="110" width="10.7109375" style="0" bestFit="1" customWidth="1"/>
    <col min="111" max="111" width="13.00390625" style="0" bestFit="1" customWidth="1"/>
    <col min="112" max="112" width="14.57421875" style="0" bestFit="1" customWidth="1"/>
    <col min="113" max="113" width="13.00390625" style="0" bestFit="1" customWidth="1"/>
    <col min="114" max="114" width="9.28125" style="0" bestFit="1" customWidth="1"/>
    <col min="115" max="115" width="10.57421875" style="0" bestFit="1" customWidth="1"/>
    <col min="116" max="116" width="14.140625" style="0" bestFit="1" customWidth="1"/>
    <col min="117" max="117" width="12.00390625" style="0" bestFit="1" customWidth="1"/>
    <col min="118" max="118" width="10.00390625" style="0" bestFit="1" customWidth="1"/>
    <col min="119" max="119" width="13.00390625" style="0" bestFit="1" customWidth="1"/>
    <col min="120" max="121" width="14.00390625" style="0" bestFit="1" customWidth="1"/>
    <col min="122" max="122" width="11.421875" style="0" bestFit="1" customWidth="1"/>
    <col min="123" max="123" width="19.7109375" style="0" bestFit="1" customWidth="1"/>
    <col min="124" max="124" width="12.57421875" style="0" bestFit="1" customWidth="1"/>
    <col min="125" max="125" width="11.7109375" style="0" bestFit="1" customWidth="1"/>
    <col min="126" max="126" width="11.57421875" style="0" bestFit="1" customWidth="1"/>
  </cols>
  <sheetData>
    <row r="1" spans="1:30" ht="15">
      <c r="A1" s="80"/>
      <c r="B1" s="1"/>
      <c r="C1" s="20" t="s">
        <v>0</v>
      </c>
      <c r="D1" s="13"/>
      <c r="E1" s="13"/>
      <c r="F1" s="13"/>
      <c r="G1" s="13"/>
      <c r="H1" s="13"/>
      <c r="I1" s="22" t="s">
        <v>1</v>
      </c>
      <c r="J1" s="21"/>
      <c r="K1" s="21"/>
      <c r="L1" s="21"/>
      <c r="M1" s="24" t="s">
        <v>682</v>
      </c>
      <c r="N1" s="23"/>
      <c r="O1" s="23"/>
      <c r="P1" s="23"/>
      <c r="Q1" s="23"/>
      <c r="R1" s="23"/>
      <c r="S1" s="19" t="s">
        <v>2</v>
      </c>
      <c r="T1" s="16"/>
      <c r="U1" s="17"/>
      <c r="V1" s="18"/>
      <c r="W1" s="16"/>
      <c r="X1" s="16"/>
      <c r="Y1" s="16"/>
      <c r="Z1" s="16"/>
      <c r="AA1" s="16"/>
      <c r="AB1" s="25" t="s">
        <v>3</v>
      </c>
      <c r="AC1" s="15"/>
      <c r="AD1" s="26" t="s">
        <v>4</v>
      </c>
    </row>
    <row r="2" spans="1:126" ht="30" customHeight="1">
      <c r="A2" s="10" t="s">
        <v>683</v>
      </c>
      <c r="B2" t="s">
        <v>684</v>
      </c>
      <c r="C2" s="7" t="s">
        <v>7</v>
      </c>
      <c r="D2" s="7" t="s">
        <v>685</v>
      </c>
      <c r="E2" s="8" t="s">
        <v>686</v>
      </c>
      <c r="F2" s="9" t="s">
        <v>10</v>
      </c>
      <c r="G2" s="7" t="s">
        <v>687</v>
      </c>
      <c r="H2" s="7" t="s">
        <v>11</v>
      </c>
      <c r="I2" s="7" t="s">
        <v>12</v>
      </c>
      <c r="J2" s="7" t="s">
        <v>688</v>
      </c>
      <c r="K2" s="7" t="s">
        <v>689</v>
      </c>
      <c r="L2" s="7" t="s">
        <v>690</v>
      </c>
      <c r="M2" s="7" t="s">
        <v>691</v>
      </c>
      <c r="N2" s="7" t="s">
        <v>692</v>
      </c>
      <c r="O2" s="7" t="s">
        <v>693</v>
      </c>
      <c r="P2" s="7" t="s">
        <v>694</v>
      </c>
      <c r="Q2" s="7" t="s">
        <v>695</v>
      </c>
      <c r="R2" s="7" t="s">
        <v>696</v>
      </c>
      <c r="S2" s="7" t="s">
        <v>697</v>
      </c>
      <c r="T2" s="7" t="s">
        <v>698</v>
      </c>
      <c r="U2" s="7" t="s">
        <v>699</v>
      </c>
      <c r="V2" s="7" t="s">
        <v>700</v>
      </c>
      <c r="W2" s="7" t="s">
        <v>701</v>
      </c>
      <c r="X2" s="7" t="s">
        <v>702</v>
      </c>
      <c r="Y2" s="7" t="s">
        <v>703</v>
      </c>
      <c r="Z2" s="7" t="s">
        <v>704</v>
      </c>
      <c r="AA2" s="7" t="s">
        <v>705</v>
      </c>
      <c r="AB2" s="10" t="s">
        <v>16</v>
      </c>
      <c r="AC2" s="10" t="s">
        <v>17</v>
      </c>
      <c r="AD2" s="7" t="s">
        <v>18</v>
      </c>
      <c r="AE2" s="7" t="s">
        <v>706</v>
      </c>
      <c r="AF2" s="7" t="s">
        <v>707</v>
      </c>
      <c r="AG2" s="7" t="s">
        <v>708</v>
      </c>
      <c r="AH2" s="7" t="s">
        <v>709</v>
      </c>
      <c r="AI2" s="7" t="s">
        <v>710</v>
      </c>
      <c r="AJ2" s="7" t="s">
        <v>711</v>
      </c>
      <c r="AK2" s="7" t="s">
        <v>712</v>
      </c>
      <c r="AL2" s="7" t="s">
        <v>713</v>
      </c>
      <c r="AM2" s="7" t="s">
        <v>714</v>
      </c>
      <c r="AN2" s="7" t="s">
        <v>715</v>
      </c>
      <c r="AO2" s="7" t="s">
        <v>716</v>
      </c>
      <c r="AP2" s="7" t="s">
        <v>717</v>
      </c>
      <c r="AQ2" s="7" t="s">
        <v>718</v>
      </c>
      <c r="AR2" s="7" t="s">
        <v>719</v>
      </c>
      <c r="AS2" s="7" t="s">
        <v>720</v>
      </c>
      <c r="AT2" s="7" t="s">
        <v>47</v>
      </c>
      <c r="AU2" s="7" t="s">
        <v>721</v>
      </c>
      <c r="AV2" s="7" t="s">
        <v>722</v>
      </c>
      <c r="AW2" s="7" t="s">
        <v>723</v>
      </c>
      <c r="AX2" s="7" t="s">
        <v>724</v>
      </c>
      <c r="AY2" s="7" t="s">
        <v>725</v>
      </c>
      <c r="AZ2" s="7" t="s">
        <v>726</v>
      </c>
      <c r="BA2" s="64" t="s">
        <v>727</v>
      </c>
      <c r="BB2" s="64" t="s">
        <v>728</v>
      </c>
      <c r="BC2" s="64" t="s">
        <v>729</v>
      </c>
      <c r="BD2" s="64" t="s">
        <v>730</v>
      </c>
      <c r="BE2" s="64" t="s">
        <v>731</v>
      </c>
      <c r="BF2" s="64" t="s">
        <v>732</v>
      </c>
      <c r="BG2" s="64" t="s">
        <v>733</v>
      </c>
      <c r="BH2" s="64" t="s">
        <v>734</v>
      </c>
      <c r="BI2" s="64" t="s">
        <v>735</v>
      </c>
      <c r="BJ2" s="64" t="s">
        <v>736</v>
      </c>
      <c r="BK2" s="64" t="s">
        <v>32</v>
      </c>
      <c r="BL2" s="64" t="s">
        <v>33</v>
      </c>
      <c r="BM2" s="64" t="s">
        <v>34</v>
      </c>
      <c r="BN2" s="64" t="s">
        <v>35</v>
      </c>
      <c r="BO2" s="64" t="s">
        <v>36</v>
      </c>
      <c r="BP2" s="64" t="s">
        <v>37</v>
      </c>
      <c r="BQ2" s="64" t="s">
        <v>38</v>
      </c>
      <c r="BR2" s="64" t="s">
        <v>39</v>
      </c>
      <c r="BS2" s="64" t="s">
        <v>737</v>
      </c>
      <c r="BT2" s="7" t="s">
        <v>738</v>
      </c>
      <c r="BU2" s="7" t="s">
        <v>739</v>
      </c>
      <c r="BV2" s="64" t="s">
        <v>71</v>
      </c>
      <c r="BW2" s="64" t="s">
        <v>72</v>
      </c>
      <c r="BX2" s="64" t="s">
        <v>73</v>
      </c>
      <c r="BY2" s="64" t="s">
        <v>74</v>
      </c>
      <c r="BZ2" s="64" t="s">
        <v>75</v>
      </c>
      <c r="CA2" s="64" t="s">
        <v>76</v>
      </c>
      <c r="CB2" s="7" t="s">
        <v>740</v>
      </c>
      <c r="CC2" s="7" t="s">
        <v>741</v>
      </c>
      <c r="CD2" s="7" t="s">
        <v>742</v>
      </c>
      <c r="CE2" s="7" t="s">
        <v>743</v>
      </c>
      <c r="CF2" s="7" t="s">
        <v>744</v>
      </c>
      <c r="CG2" s="7" t="s">
        <v>745</v>
      </c>
      <c r="CH2" s="7" t="s">
        <v>746</v>
      </c>
      <c r="CI2" s="7" t="s">
        <v>747</v>
      </c>
      <c r="CJ2" s="7" t="s">
        <v>748</v>
      </c>
      <c r="CK2" s="7" t="s">
        <v>749</v>
      </c>
      <c r="CL2" s="7" t="s">
        <v>750</v>
      </c>
      <c r="CM2" s="7" t="s">
        <v>751</v>
      </c>
      <c r="CN2" s="7" t="s">
        <v>752</v>
      </c>
      <c r="CO2" s="7" t="s">
        <v>753</v>
      </c>
      <c r="CP2" s="7" t="s">
        <v>754</v>
      </c>
      <c r="CQ2" s="7" t="s">
        <v>755</v>
      </c>
      <c r="CR2" s="7" t="s">
        <v>756</v>
      </c>
      <c r="CS2" s="7" t="s">
        <v>757</v>
      </c>
      <c r="CT2" s="7" t="s">
        <v>758</v>
      </c>
      <c r="CU2" s="7" t="s">
        <v>759</v>
      </c>
      <c r="CV2" s="7" t="s">
        <v>760</v>
      </c>
      <c r="CW2" s="7" t="s">
        <v>761</v>
      </c>
      <c r="CX2" s="7" t="s">
        <v>762</v>
      </c>
      <c r="CY2" s="7" t="s">
        <v>763</v>
      </c>
      <c r="CZ2" s="7" t="s">
        <v>764</v>
      </c>
      <c r="DA2" s="7" t="s">
        <v>765</v>
      </c>
      <c r="DB2" s="7" t="s">
        <v>766</v>
      </c>
      <c r="DC2" s="7" t="s">
        <v>767</v>
      </c>
      <c r="DD2" s="7" t="s">
        <v>768</v>
      </c>
      <c r="DE2" s="7" t="s">
        <v>769</v>
      </c>
      <c r="DF2" s="7" t="s">
        <v>770</v>
      </c>
      <c r="DG2" s="7" t="s">
        <v>771</v>
      </c>
      <c r="DH2" s="7" t="s">
        <v>772</v>
      </c>
      <c r="DI2" s="7" t="s">
        <v>773</v>
      </c>
      <c r="DJ2" s="7" t="s">
        <v>774</v>
      </c>
      <c r="DK2" s="7" t="s">
        <v>775</v>
      </c>
      <c r="DL2" s="7" t="s">
        <v>776</v>
      </c>
      <c r="DM2" s="7" t="s">
        <v>777</v>
      </c>
      <c r="DN2" s="7" t="s">
        <v>778</v>
      </c>
      <c r="DO2" s="7" t="s">
        <v>779</v>
      </c>
      <c r="DP2" s="7" t="s">
        <v>780</v>
      </c>
      <c r="DQ2" s="7" t="s">
        <v>781</v>
      </c>
      <c r="DR2" s="7" t="s">
        <v>48</v>
      </c>
      <c r="DS2" s="7" t="s">
        <v>782</v>
      </c>
      <c r="DT2" s="7" t="s">
        <v>783</v>
      </c>
      <c r="DU2" s="7" t="s">
        <v>784</v>
      </c>
      <c r="DV2" s="7" t="s">
        <v>97</v>
      </c>
    </row>
    <row r="3" spans="1:126" ht="41.45" customHeight="1">
      <c r="A3" s="49" t="s">
        <v>133</v>
      </c>
      <c r="C3" s="60"/>
      <c r="D3" s="60" t="s">
        <v>785</v>
      </c>
      <c r="E3" s="66">
        <v>162.4779586769958</v>
      </c>
      <c r="F3" s="67">
        <v>99.99825259552551</v>
      </c>
      <c r="G3" s="53" t="str">
        <f>HYPERLINK("https://pbs.twimg.com/profile_images/1692553845958742016/oGf5OupE_normal.jpg")</f>
        <v>https://pbs.twimg.com/profile_images/1692553845958742016/oGf5OupE_normal.jpg</v>
      </c>
      <c r="H3" s="60"/>
      <c r="I3" s="54" t="s">
        <v>133</v>
      </c>
      <c r="J3" s="68"/>
      <c r="K3" s="68"/>
      <c r="L3" s="54" t="s">
        <v>786</v>
      </c>
      <c r="M3" s="71">
        <v>1.5823516645308437</v>
      </c>
      <c r="N3" s="72">
        <v>6418.79541015625</v>
      </c>
      <c r="O3" s="72">
        <v>1427.3497314453125</v>
      </c>
      <c r="P3" s="73"/>
      <c r="Q3" s="74"/>
      <c r="R3" s="74"/>
      <c r="S3" s="101"/>
      <c r="T3" s="35">
        <v>1</v>
      </c>
      <c r="U3" s="35">
        <v>2</v>
      </c>
      <c r="V3" s="36">
        <v>0</v>
      </c>
      <c r="W3" s="36">
        <v>0.015625</v>
      </c>
      <c r="X3" s="36">
        <v>0</v>
      </c>
      <c r="Y3" s="36">
        <v>0.016458</v>
      </c>
      <c r="Z3" s="36">
        <v>0</v>
      </c>
      <c r="AA3" s="36">
        <v>0</v>
      </c>
      <c r="AB3" s="69">
        <v>3</v>
      </c>
      <c r="AC3" s="69"/>
      <c r="AD3" s="70"/>
      <c r="AE3" t="s">
        <v>787</v>
      </c>
      <c r="AF3">
        <v>188</v>
      </c>
      <c r="AG3">
        <v>9118</v>
      </c>
      <c r="AH3">
        <v>726</v>
      </c>
      <c r="AK3" s="51" t="str">
        <f>HYPERLINK("https://t.co/o04jigk3la")</f>
        <v>https://t.co/o04jigk3la</v>
      </c>
      <c r="AL3" t="s">
        <v>788</v>
      </c>
      <c r="AM3" s="51"/>
      <c r="AO3" s="50">
        <v>39179.122465277775</v>
      </c>
      <c r="AP3" s="51" t="str">
        <f>HYPERLINK("https://pbs.twimg.com/profile_banners/3674531/1388812130")</f>
        <v>https://pbs.twimg.com/profile_banners/3674531/1388812130</v>
      </c>
      <c r="AQ3" t="b">
        <v>0</v>
      </c>
      <c r="AR3" t="b">
        <v>0</v>
      </c>
      <c r="AU3">
        <v>410</v>
      </c>
      <c r="AV3" s="51"/>
      <c r="AW3" t="b">
        <v>0</v>
      </c>
      <c r="AX3" t="s">
        <v>789</v>
      </c>
      <c r="AY3" s="51" t="str">
        <f>HYPERLINK("https://twitter.com/jeremyl")</f>
        <v>https://twitter.com/jeremyl</v>
      </c>
      <c r="AZ3" t="s">
        <v>588</v>
      </c>
      <c r="BA3" s="35" t="s">
        <v>790</v>
      </c>
      <c r="BB3" s="35" t="s">
        <v>790</v>
      </c>
      <c r="BC3" s="35" t="s">
        <v>791</v>
      </c>
      <c r="BD3" s="35" t="s">
        <v>792</v>
      </c>
      <c r="BE3" s="35"/>
      <c r="BF3" s="35"/>
      <c r="BG3" s="65" t="s">
        <v>2245</v>
      </c>
      <c r="BH3" s="65" t="s">
        <v>2245</v>
      </c>
      <c r="BI3" s="65" t="s">
        <v>793</v>
      </c>
      <c r="BJ3" s="65" t="s">
        <v>793</v>
      </c>
      <c r="BK3" s="65"/>
      <c r="BL3" s="75"/>
      <c r="BM3" s="65"/>
      <c r="BN3" s="75"/>
      <c r="BO3" s="65"/>
      <c r="BP3" s="75"/>
      <c r="BQ3" s="65">
        <v>28</v>
      </c>
      <c r="BR3" s="75">
        <v>57.142857142857146</v>
      </c>
      <c r="BS3" s="65">
        <v>49</v>
      </c>
      <c r="BT3" s="126" t="str">
        <f>REPLACE(INDEX(GroupVertices[Group],MATCH(Vertices[[#This Row],[Vertex]],GroupVertices[Vertex],0)),1,1,"")</f>
        <v>13</v>
      </c>
      <c r="BU3" s="52" t="s">
        <v>794</v>
      </c>
      <c r="BV3" s="65">
        <v>0</v>
      </c>
      <c r="BW3" s="75">
        <v>0</v>
      </c>
      <c r="BX3" s="65">
        <v>0</v>
      </c>
      <c r="BY3" s="75">
        <v>0</v>
      </c>
      <c r="BZ3" s="65">
        <v>0</v>
      </c>
      <c r="CA3" s="75">
        <v>0</v>
      </c>
      <c r="CB3" s="52"/>
      <c r="CC3" s="52"/>
      <c r="CD3" s="94" t="str">
        <f>HYPERLINK("https://t.co/GG1wC63PuI")</f>
        <v>https://t.co/GG1wC63PuI</v>
      </c>
      <c r="CE3" s="94" t="str">
        <f>HYPERLINK("https://www.bvp.com/team/jeremy-levine")</f>
        <v>https://www.bvp.com/team/jeremy-levine</v>
      </c>
      <c r="CF3" s="52" t="s">
        <v>795</v>
      </c>
      <c r="CG3" s="94" t="str">
        <f>HYPERLINK("https://t.co/o04jigk3la")</f>
        <v>https://t.co/o04jigk3la</v>
      </c>
      <c r="CH3" s="94" t="str">
        <f>HYPERLINK("http://linkedin.com/in/jeremyl/")</f>
        <v>http://linkedin.com/in/jeremyl/</v>
      </c>
      <c r="CI3" s="52" t="s">
        <v>796</v>
      </c>
      <c r="CJ3" s="52"/>
      <c r="CK3" s="52"/>
      <c r="CL3" s="52"/>
      <c r="CM3" s="52"/>
      <c r="CN3" s="94" t="str">
        <f>HYPERLINK("https://t.co/GG1wC63PuI")</f>
        <v>https://t.co/GG1wC63PuI</v>
      </c>
      <c r="CO3" s="79"/>
      <c r="CP3" s="52"/>
      <c r="CQ3" s="52"/>
      <c r="CR3" s="52"/>
      <c r="CS3" s="52"/>
      <c r="CT3" s="52"/>
      <c r="CU3" s="52"/>
      <c r="CV3" s="52"/>
      <c r="CW3" s="52"/>
      <c r="CX3" s="52"/>
      <c r="CY3" s="52"/>
      <c r="CZ3" s="52"/>
      <c r="DA3" s="52"/>
      <c r="DB3" s="52"/>
      <c r="DC3" s="52"/>
      <c r="DD3" s="94"/>
      <c r="DE3" s="52"/>
      <c r="DF3" s="52"/>
      <c r="DG3" s="52"/>
      <c r="DH3" s="52"/>
      <c r="DI3" s="52">
        <v>138</v>
      </c>
      <c r="DJ3" s="52">
        <v>27</v>
      </c>
      <c r="DK3" s="52" t="b">
        <v>0</v>
      </c>
      <c r="DL3" s="52"/>
      <c r="DM3" s="52"/>
      <c r="DN3" s="52" t="b">
        <v>0</v>
      </c>
      <c r="DO3" s="52" t="b">
        <v>1</v>
      </c>
      <c r="DP3" s="52" t="b">
        <v>0</v>
      </c>
      <c r="DQ3" s="52" t="b">
        <v>0</v>
      </c>
      <c r="DR3" s="52" t="b">
        <v>0</v>
      </c>
      <c r="DS3" s="52"/>
      <c r="DT3" s="52" t="s">
        <v>797</v>
      </c>
      <c r="DU3" s="52" t="b">
        <v>0</v>
      </c>
      <c r="DV3" s="52"/>
    </row>
    <row r="4" spans="1:125" ht="41.45" customHeight="1">
      <c r="A4" s="49" t="s">
        <v>134</v>
      </c>
      <c r="C4" s="60"/>
      <c r="D4" s="60" t="s">
        <v>785</v>
      </c>
      <c r="E4" s="66">
        <v>167.14458197372218</v>
      </c>
      <c r="F4" s="67">
        <v>99.9811915422966</v>
      </c>
      <c r="G4" s="53" t="str">
        <f>HYPERLINK("https://pbs.twimg.com/profile_images/1677798494533484545/dk2p_s0I_normal.jpg")</f>
        <v>https://pbs.twimg.com/profile_images/1677798494533484545/dk2p_s0I_normal.jpg</v>
      </c>
      <c r="H4" s="60"/>
      <c r="I4" s="54" t="s">
        <v>134</v>
      </c>
      <c r="J4" s="68"/>
      <c r="K4" s="68"/>
      <c r="L4" s="54" t="s">
        <v>798</v>
      </c>
      <c r="M4" s="71">
        <v>7.268232003953782</v>
      </c>
      <c r="N4" s="72">
        <v>6418.79541015625</v>
      </c>
      <c r="O4" s="72">
        <v>777.8677978515625</v>
      </c>
      <c r="P4" s="73"/>
      <c r="Q4" s="74"/>
      <c r="R4" s="74"/>
      <c r="S4" s="101"/>
      <c r="T4" s="35">
        <v>1</v>
      </c>
      <c r="U4" s="35">
        <v>0</v>
      </c>
      <c r="V4" s="36">
        <v>0</v>
      </c>
      <c r="W4" s="36">
        <v>0.015625</v>
      </c>
      <c r="X4" s="36">
        <v>0</v>
      </c>
      <c r="Y4" s="36">
        <v>0.014311</v>
      </c>
      <c r="Z4" s="36">
        <v>0</v>
      </c>
      <c r="AA4" s="36">
        <v>0</v>
      </c>
      <c r="AB4" s="69">
        <v>4</v>
      </c>
      <c r="AC4" s="69"/>
      <c r="AD4" s="70"/>
      <c r="AE4" t="s">
        <v>799</v>
      </c>
      <c r="AF4">
        <v>1189</v>
      </c>
      <c r="AG4">
        <v>98143</v>
      </c>
      <c r="AH4">
        <v>11503</v>
      </c>
      <c r="AK4" t="s">
        <v>800</v>
      </c>
      <c r="AO4" s="50">
        <v>40016.674050925925</v>
      </c>
      <c r="AP4" s="85" t="str">
        <f>HYPERLINK("https://pbs.twimg.com/profile_banners/59166197/1617835756")</f>
        <v>https://pbs.twimg.com/profile_banners/59166197/1617835756</v>
      </c>
      <c r="AQ4" t="b">
        <v>0</v>
      </c>
      <c r="AR4" t="b">
        <v>0</v>
      </c>
      <c r="AU4">
        <v>2407</v>
      </c>
      <c r="AW4" t="b">
        <v>0</v>
      </c>
      <c r="AX4" t="s">
        <v>789</v>
      </c>
      <c r="AY4" s="85" t="str">
        <f>HYPERLINK("https://twitter.com/bessemervp")</f>
        <v>https://twitter.com/bessemervp</v>
      </c>
      <c r="AZ4" s="81" t="s">
        <v>137</v>
      </c>
      <c r="BA4" s="35"/>
      <c r="BB4" s="35"/>
      <c r="BC4" s="35"/>
      <c r="BD4" s="35"/>
      <c r="BE4" s="35"/>
      <c r="BF4" s="35"/>
      <c r="BG4" s="35"/>
      <c r="BH4" s="35"/>
      <c r="BI4" s="35"/>
      <c r="BJ4" s="35"/>
      <c r="BK4" s="35"/>
      <c r="BL4" s="36"/>
      <c r="BM4" s="35"/>
      <c r="BN4" s="36"/>
      <c r="BO4" s="35"/>
      <c r="BP4" s="36"/>
      <c r="BQ4" s="35"/>
      <c r="BR4" s="36"/>
      <c r="BS4" s="35"/>
      <c r="BT4" s="125" t="str">
        <f>REPLACE(INDEX(GroupVertices[Group],MATCH(Vertices[[#This Row],[Vertex]],GroupVertices[Vertex],0)),1,1,"")</f>
        <v>13</v>
      </c>
      <c r="BU4" s="98" t="s">
        <v>801</v>
      </c>
      <c r="BV4" s="35"/>
      <c r="BW4" s="36"/>
      <c r="BX4" s="35"/>
      <c r="BY4" s="36"/>
      <c r="BZ4" s="35"/>
      <c r="CA4" s="36"/>
      <c r="CB4" s="82"/>
      <c r="CD4" s="85" t="str">
        <f>HYPERLINK("https://t.co/CFP1S7DjdU")</f>
        <v>https://t.co/CFP1S7DjdU</v>
      </c>
      <c r="CE4" s="85" t="str">
        <f>HYPERLINK("https://www.bvp.com/")</f>
        <v>https://www.bvp.com/</v>
      </c>
      <c r="CF4" t="s">
        <v>802</v>
      </c>
      <c r="CM4">
        <v>1.69982805934253E+18</v>
      </c>
      <c r="CN4" s="85" t="str">
        <f>HYPERLINK("https://t.co/CFP1S7DjdU")</f>
        <v>https://t.co/CFP1S7DjdU</v>
      </c>
      <c r="DI4">
        <v>11219</v>
      </c>
      <c r="DJ4">
        <v>1511</v>
      </c>
      <c r="DK4" t="b">
        <v>1</v>
      </c>
      <c r="DN4" t="b">
        <v>0</v>
      </c>
      <c r="DO4" t="b">
        <v>1</v>
      </c>
      <c r="DP4" t="b">
        <v>1</v>
      </c>
      <c r="DQ4" t="b">
        <v>0</v>
      </c>
      <c r="DR4" t="b">
        <v>0</v>
      </c>
      <c r="DT4" t="s">
        <v>797</v>
      </c>
      <c r="DU4" t="b">
        <v>0</v>
      </c>
    </row>
    <row r="5" spans="1:125" ht="41.45" customHeight="1">
      <c r="A5" s="49" t="s">
        <v>150</v>
      </c>
      <c r="C5" s="60"/>
      <c r="D5" s="60" t="s">
        <v>785</v>
      </c>
      <c r="E5" s="66">
        <v>162.00419353960953</v>
      </c>
      <c r="F5" s="67">
        <v>99.99998466852841</v>
      </c>
      <c r="G5" s="53" t="str">
        <f>HYPERLINK("https://pbs.twimg.com/profile_images/1541444805452042240/4baKQ9s5_normal.jpg")</f>
        <v>https://pbs.twimg.com/profile_images/1541444805452042240/4baKQ9s5_normal.jpg</v>
      </c>
      <c r="H5" s="60"/>
      <c r="I5" s="54" t="s">
        <v>150</v>
      </c>
      <c r="J5" s="68"/>
      <c r="K5" s="68"/>
      <c r="L5" s="54" t="s">
        <v>803</v>
      </c>
      <c r="M5" s="71">
        <v>1.0051094684319442</v>
      </c>
      <c r="N5" s="72">
        <v>9161.48828125</v>
      </c>
      <c r="O5" s="72">
        <v>3934.65185546875</v>
      </c>
      <c r="P5" s="73"/>
      <c r="Q5" s="74"/>
      <c r="R5" s="74"/>
      <c r="S5" s="101"/>
      <c r="T5" s="35">
        <v>0</v>
      </c>
      <c r="U5" s="35">
        <v>1</v>
      </c>
      <c r="V5" s="36">
        <v>0</v>
      </c>
      <c r="W5" s="36">
        <v>0.015625</v>
      </c>
      <c r="X5" s="36">
        <v>0</v>
      </c>
      <c r="Y5" s="36">
        <v>0.014311</v>
      </c>
      <c r="Z5" s="36">
        <v>0</v>
      </c>
      <c r="AA5" s="36">
        <v>0</v>
      </c>
      <c r="AB5" s="69">
        <v>5</v>
      </c>
      <c r="AC5" s="69"/>
      <c r="AD5" s="70"/>
      <c r="AE5" t="s">
        <v>804</v>
      </c>
      <c r="AF5">
        <v>595</v>
      </c>
      <c r="AG5">
        <v>80</v>
      </c>
      <c r="AH5">
        <v>743</v>
      </c>
      <c r="AK5" t="s">
        <v>805</v>
      </c>
      <c r="AL5" t="s">
        <v>806</v>
      </c>
      <c r="AO5" s="50">
        <v>43107.12740740741</v>
      </c>
      <c r="AP5" s="85" t="str">
        <f>HYPERLINK("https://pbs.twimg.com/profile_banners/949838868454563840/1656344066")</f>
        <v>https://pbs.twimg.com/profile_banners/949838868454563840/1656344066</v>
      </c>
      <c r="AQ5" t="b">
        <v>1</v>
      </c>
      <c r="AR5" t="b">
        <v>0</v>
      </c>
      <c r="AU5">
        <v>0</v>
      </c>
      <c r="AW5" t="b">
        <v>0</v>
      </c>
      <c r="AX5" t="s">
        <v>789</v>
      </c>
      <c r="AY5" s="85" t="str">
        <f>HYPERLINK("https://twitter.com/jeremyl_20")</f>
        <v>https://twitter.com/jeremyl_20</v>
      </c>
      <c r="AZ5" s="81" t="s">
        <v>588</v>
      </c>
      <c r="BA5" s="35"/>
      <c r="BB5" s="35"/>
      <c r="BC5" s="35"/>
      <c r="BD5" s="35"/>
      <c r="BE5" s="35"/>
      <c r="BF5" s="35"/>
      <c r="BG5" s="65" t="s">
        <v>807</v>
      </c>
      <c r="BH5" s="65" t="s">
        <v>807</v>
      </c>
      <c r="BI5" s="65" t="s">
        <v>808</v>
      </c>
      <c r="BJ5" s="65" t="s">
        <v>808</v>
      </c>
      <c r="BK5" s="35"/>
      <c r="BL5" s="36"/>
      <c r="BM5" s="35"/>
      <c r="BN5" s="36"/>
      <c r="BO5" s="35"/>
      <c r="BP5" s="36"/>
      <c r="BQ5" s="35">
        <v>5</v>
      </c>
      <c r="BR5" s="36">
        <v>83.33333333333333</v>
      </c>
      <c r="BS5" s="35">
        <v>6</v>
      </c>
      <c r="BT5" s="125" t="str">
        <f>REPLACE(INDEX(GroupVertices[Group],MATCH(Vertices[[#This Row],[Vertex]],GroupVertices[Vertex],0)),1,1,"")</f>
        <v>12</v>
      </c>
      <c r="BU5" s="98" t="s">
        <v>161</v>
      </c>
      <c r="BV5" s="35">
        <v>0</v>
      </c>
      <c r="BW5" s="36">
        <v>0</v>
      </c>
      <c r="BX5" s="35">
        <v>0</v>
      </c>
      <c r="BY5" s="36">
        <v>0</v>
      </c>
      <c r="BZ5" s="35">
        <v>0</v>
      </c>
      <c r="CA5" s="36">
        <v>0</v>
      </c>
      <c r="CB5" s="82"/>
      <c r="CG5" s="85" t="str">
        <f>HYPERLINK("https://t.co/CvHicC9teG")</f>
        <v>https://t.co/CvHicC9teG</v>
      </c>
      <c r="CH5" s="85" t="str">
        <f>HYPERLINK("https://onlyfans.com/jeremylong30")</f>
        <v>https://onlyfans.com/jeremylong30</v>
      </c>
      <c r="CI5" t="s">
        <v>809</v>
      </c>
      <c r="DI5">
        <v>9071</v>
      </c>
      <c r="DJ5">
        <v>1</v>
      </c>
      <c r="DK5" t="b">
        <v>0</v>
      </c>
      <c r="DN5" t="b">
        <v>1</v>
      </c>
      <c r="DO5" t="b">
        <v>1</v>
      </c>
      <c r="DP5" t="b">
        <v>1</v>
      </c>
      <c r="DQ5" t="b">
        <v>0</v>
      </c>
      <c r="DR5" t="b">
        <v>0</v>
      </c>
      <c r="DT5" t="s">
        <v>797</v>
      </c>
      <c r="DU5" t="b">
        <v>0</v>
      </c>
    </row>
    <row r="6" spans="1:125" ht="41.45" customHeight="1">
      <c r="A6" s="49" t="s">
        <v>151</v>
      </c>
      <c r="C6" s="60"/>
      <c r="D6" s="60" t="s">
        <v>785</v>
      </c>
      <c r="E6" s="66">
        <v>236.2257035078671</v>
      </c>
      <c r="F6" s="67">
        <v>99.72863276121093</v>
      </c>
      <c r="G6" s="53" t="str">
        <f>HYPERLINK("https://pbs.twimg.com/profile_images/1315008572204421121/5FFyUXqf_normal.jpg")</f>
        <v>https://pbs.twimg.com/profile_images/1315008572204421121/5FFyUXqf_normal.jpg</v>
      </c>
      <c r="H6" s="60"/>
      <c r="I6" s="54" t="s">
        <v>151</v>
      </c>
      <c r="J6" s="68"/>
      <c r="K6" s="68"/>
      <c r="L6" s="54" t="s">
        <v>810</v>
      </c>
      <c r="M6" s="71">
        <v>91.43765511376827</v>
      </c>
      <c r="N6" s="72">
        <v>9161.48828125</v>
      </c>
      <c r="O6" s="72">
        <v>3073.710693359375</v>
      </c>
      <c r="P6" s="73"/>
      <c r="Q6" s="74"/>
      <c r="R6" s="74"/>
      <c r="S6" s="101"/>
      <c r="T6" s="35">
        <v>2</v>
      </c>
      <c r="U6" s="35">
        <v>1</v>
      </c>
      <c r="V6" s="36">
        <v>0</v>
      </c>
      <c r="W6" s="36">
        <v>0.015625</v>
      </c>
      <c r="X6" s="36">
        <v>0</v>
      </c>
      <c r="Y6" s="36">
        <v>0.016458</v>
      </c>
      <c r="Z6" s="36">
        <v>0</v>
      </c>
      <c r="AA6" s="36">
        <v>0</v>
      </c>
      <c r="AB6" s="69">
        <v>6</v>
      </c>
      <c r="AC6" s="69"/>
      <c r="AD6" s="70"/>
      <c r="AE6" t="s">
        <v>811</v>
      </c>
      <c r="AF6">
        <v>792</v>
      </c>
      <c r="AG6">
        <v>1416001</v>
      </c>
      <c r="AH6">
        <v>10074</v>
      </c>
      <c r="AK6" t="s">
        <v>812</v>
      </c>
      <c r="AL6" t="s">
        <v>813</v>
      </c>
      <c r="AO6" s="50">
        <v>41643.90490740741</v>
      </c>
      <c r="AP6" s="85" t="str">
        <f>HYPERLINK("https://pbs.twimg.com/profile_banners/2276698777/1620564861")</f>
        <v>https://pbs.twimg.com/profile_banners/2276698777/1620564861</v>
      </c>
      <c r="AQ6" t="b">
        <v>0</v>
      </c>
      <c r="AR6" t="b">
        <v>0</v>
      </c>
      <c r="AU6">
        <v>1827</v>
      </c>
      <c r="AW6" t="b">
        <v>0</v>
      </c>
      <c r="AX6" t="s">
        <v>789</v>
      </c>
      <c r="AY6" s="85" t="str">
        <f>HYPERLINK("https://twitter.com/popculture2000s")</f>
        <v>https://twitter.com/popculture2000s</v>
      </c>
      <c r="AZ6" s="81" t="s">
        <v>588</v>
      </c>
      <c r="BA6" s="35"/>
      <c r="BB6" s="35"/>
      <c r="BC6" s="35"/>
      <c r="BD6" s="35"/>
      <c r="BE6" s="35"/>
      <c r="BF6" s="35"/>
      <c r="BG6" s="65" t="s">
        <v>814</v>
      </c>
      <c r="BH6" s="65" t="s">
        <v>814</v>
      </c>
      <c r="BI6" s="65" t="s">
        <v>815</v>
      </c>
      <c r="BJ6" s="65" t="s">
        <v>815</v>
      </c>
      <c r="BK6" s="35"/>
      <c r="BL6" s="36"/>
      <c r="BM6" s="35"/>
      <c r="BN6" s="36"/>
      <c r="BO6" s="35"/>
      <c r="BP6" s="36"/>
      <c r="BQ6" s="35">
        <v>4</v>
      </c>
      <c r="BR6" s="36">
        <v>100</v>
      </c>
      <c r="BS6" s="35">
        <v>4</v>
      </c>
      <c r="BT6" s="125" t="str">
        <f>REPLACE(INDEX(GroupVertices[Group],MATCH(Vertices[[#This Row],[Vertex]],GroupVertices[Vertex],0)),1,1,"")</f>
        <v>12</v>
      </c>
      <c r="BU6" s="98" t="s">
        <v>816</v>
      </c>
      <c r="BV6" s="35">
        <v>0</v>
      </c>
      <c r="BW6" s="36">
        <v>0</v>
      </c>
      <c r="BX6" s="35">
        <v>0</v>
      </c>
      <c r="BY6" s="36">
        <v>0</v>
      </c>
      <c r="BZ6" s="35">
        <v>0</v>
      </c>
      <c r="CA6" s="36">
        <v>0</v>
      </c>
      <c r="CB6" s="82"/>
      <c r="DI6">
        <v>8787</v>
      </c>
      <c r="DJ6">
        <v>5277</v>
      </c>
      <c r="DK6" t="b">
        <v>1</v>
      </c>
      <c r="DN6" t="b">
        <v>1</v>
      </c>
      <c r="DO6" t="b">
        <v>1</v>
      </c>
      <c r="DP6" t="b">
        <v>1</v>
      </c>
      <c r="DQ6" t="b">
        <v>0</v>
      </c>
      <c r="DR6" t="b">
        <v>0</v>
      </c>
      <c r="DT6" t="s">
        <v>817</v>
      </c>
      <c r="DU6" t="b">
        <v>0</v>
      </c>
    </row>
    <row r="7" spans="1:125" ht="41.45" customHeight="1">
      <c r="A7" s="49" t="s">
        <v>162</v>
      </c>
      <c r="C7" s="60"/>
      <c r="D7" s="60" t="s">
        <v>785</v>
      </c>
      <c r="E7" s="66">
        <v>162.42742652470102</v>
      </c>
      <c r="F7" s="67">
        <v>99.99843733975817</v>
      </c>
      <c r="G7" s="53" t="str">
        <f>HYPERLINK("https://pbs.twimg.com/profile_images/1662869898811277321/kHxssA1A_normal.jpg")</f>
        <v>https://pbs.twimg.com/profile_images/1662869898811277321/kHxssA1A_normal.jpg</v>
      </c>
      <c r="H7" s="60"/>
      <c r="I7" s="54" t="s">
        <v>162</v>
      </c>
      <c r="J7" s="68"/>
      <c r="K7" s="68"/>
      <c r="L7" s="54" t="s">
        <v>818</v>
      </c>
      <c r="M7" s="71">
        <v>1.5207825699259157</v>
      </c>
      <c r="N7" s="72">
        <v>4456.076171875</v>
      </c>
      <c r="O7" s="72">
        <v>1752.090576171875</v>
      </c>
      <c r="P7" s="73"/>
      <c r="Q7" s="74"/>
      <c r="R7" s="74"/>
      <c r="S7" s="101"/>
      <c r="T7" s="35">
        <v>0</v>
      </c>
      <c r="U7" s="35">
        <v>5</v>
      </c>
      <c r="V7" s="36">
        <v>76</v>
      </c>
      <c r="W7" s="36">
        <v>0.1125</v>
      </c>
      <c r="X7" s="36">
        <v>0.0001</v>
      </c>
      <c r="Y7" s="36">
        <v>0.021788</v>
      </c>
      <c r="Z7" s="36">
        <v>0</v>
      </c>
      <c r="AA7" s="36">
        <v>0</v>
      </c>
      <c r="AB7" s="69">
        <v>7</v>
      </c>
      <c r="AC7" s="69"/>
      <c r="AD7" s="70"/>
      <c r="AE7" t="s">
        <v>819</v>
      </c>
      <c r="AF7">
        <v>8018</v>
      </c>
      <c r="AG7">
        <v>8154</v>
      </c>
      <c r="AH7">
        <v>176742</v>
      </c>
      <c r="AK7" t="s">
        <v>820</v>
      </c>
      <c r="AL7" t="s">
        <v>821</v>
      </c>
      <c r="AO7" s="50">
        <v>39750.165671296294</v>
      </c>
      <c r="AP7" s="85" t="str">
        <f>HYPERLINK("https://pbs.twimg.com/profile_banners/17035423/1689818093")</f>
        <v>https://pbs.twimg.com/profile_banners/17035423/1689818093</v>
      </c>
      <c r="AQ7" t="b">
        <v>0</v>
      </c>
      <c r="AR7" t="b">
        <v>0</v>
      </c>
      <c r="AU7">
        <v>567</v>
      </c>
      <c r="AW7" t="b">
        <v>0</v>
      </c>
      <c r="AX7" t="s">
        <v>789</v>
      </c>
      <c r="AY7" s="85" t="str">
        <f>HYPERLINK("https://twitter.com/ccooke6685")</f>
        <v>https://twitter.com/ccooke6685</v>
      </c>
      <c r="AZ7" s="81" t="s">
        <v>588</v>
      </c>
      <c r="BA7" s="35"/>
      <c r="BB7" s="35"/>
      <c r="BC7" s="35"/>
      <c r="BD7" s="35"/>
      <c r="BE7" s="35"/>
      <c r="BF7" s="35"/>
      <c r="BG7" s="65" t="s">
        <v>822</v>
      </c>
      <c r="BH7" s="65" t="s">
        <v>823</v>
      </c>
      <c r="BI7" s="65" t="s">
        <v>824</v>
      </c>
      <c r="BJ7" s="65" t="s">
        <v>825</v>
      </c>
      <c r="BK7" s="35"/>
      <c r="BL7" s="36"/>
      <c r="BM7" s="35"/>
      <c r="BN7" s="36"/>
      <c r="BO7" s="35"/>
      <c r="BP7" s="36"/>
      <c r="BQ7" s="35">
        <v>14</v>
      </c>
      <c r="BR7" s="36">
        <v>87.5</v>
      </c>
      <c r="BS7" s="35">
        <v>16</v>
      </c>
      <c r="BT7" s="125" t="str">
        <f>REPLACE(INDEX(GroupVertices[Group],MATCH(Vertices[[#This Row],[Vertex]],GroupVertices[Vertex],0)),1,1,"")</f>
        <v>6</v>
      </c>
      <c r="BU7" s="98" t="s">
        <v>826</v>
      </c>
      <c r="BV7" s="35">
        <v>0</v>
      </c>
      <c r="BW7" s="36">
        <v>0</v>
      </c>
      <c r="BX7" s="35">
        <v>0</v>
      </c>
      <c r="BY7" s="36">
        <v>0</v>
      </c>
      <c r="BZ7" s="35">
        <v>0</v>
      </c>
      <c r="CA7" s="36">
        <v>0</v>
      </c>
      <c r="CB7" s="82"/>
      <c r="CD7" s="85" t="str">
        <f>HYPERLINK("https://t.co/JPS9MzOeMx")</f>
        <v>https://t.co/JPS9MzOeMx</v>
      </c>
      <c r="CE7" s="85" t="str">
        <f>HYPERLINK("https://www.instagram.com/christophercooke8/")</f>
        <v>https://www.instagram.com/christophercooke8/</v>
      </c>
      <c r="CF7" t="s">
        <v>827</v>
      </c>
      <c r="CN7" s="85" t="str">
        <f>HYPERLINK("https://t.co/JPS9MzOeMx")</f>
        <v>https://t.co/JPS9MzOeMx</v>
      </c>
      <c r="DI7">
        <v>405260</v>
      </c>
      <c r="DJ7">
        <v>623</v>
      </c>
      <c r="DK7" t="b">
        <v>0</v>
      </c>
      <c r="DN7" t="b">
        <v>0</v>
      </c>
      <c r="DO7" t="b">
        <v>1</v>
      </c>
      <c r="DP7" t="b">
        <v>1</v>
      </c>
      <c r="DQ7" t="b">
        <v>0</v>
      </c>
      <c r="DR7" t="b">
        <v>0</v>
      </c>
      <c r="DT7" t="s">
        <v>797</v>
      </c>
      <c r="DU7" t="b">
        <v>0</v>
      </c>
    </row>
    <row r="8" spans="1:125" ht="41.45" customHeight="1">
      <c r="A8" s="49" t="s">
        <v>163</v>
      </c>
      <c r="C8" s="60"/>
      <c r="D8" s="60" t="s">
        <v>785</v>
      </c>
      <c r="E8" s="66">
        <v>162.08140708766993</v>
      </c>
      <c r="F8" s="67">
        <v>99.99970237780775</v>
      </c>
      <c r="G8" s="53" t="str">
        <f>HYPERLINK("https://pbs.twimg.com/profile_images/1347891671502041089/AvpfBHcR_normal.jpg")</f>
        <v>https://pbs.twimg.com/profile_images/1347891671502041089/AvpfBHcR_normal.jpg</v>
      </c>
      <c r="H8" s="60"/>
      <c r="I8" s="54" t="s">
        <v>163</v>
      </c>
      <c r="J8" s="68"/>
      <c r="K8" s="68"/>
      <c r="L8" s="54" t="s">
        <v>828</v>
      </c>
      <c r="M8" s="71">
        <v>1.0991875559351174</v>
      </c>
      <c r="N8" s="72">
        <v>4647.7744140625</v>
      </c>
      <c r="O8" s="72">
        <v>3051.054443359375</v>
      </c>
      <c r="P8" s="73"/>
      <c r="Q8" s="74"/>
      <c r="R8" s="74"/>
      <c r="S8" s="101"/>
      <c r="T8" s="35">
        <v>1</v>
      </c>
      <c r="U8" s="35">
        <v>0</v>
      </c>
      <c r="V8" s="36">
        <v>0</v>
      </c>
      <c r="W8" s="36">
        <v>0.072581</v>
      </c>
      <c r="X8" s="36">
        <v>2.9E-05</v>
      </c>
      <c r="Y8" s="36">
        <v>0.013731</v>
      </c>
      <c r="Z8" s="36">
        <v>0</v>
      </c>
      <c r="AA8" s="36">
        <v>0</v>
      </c>
      <c r="AB8" s="69">
        <v>8</v>
      </c>
      <c r="AC8" s="69"/>
      <c r="AD8" s="70"/>
      <c r="AE8" t="s">
        <v>829</v>
      </c>
      <c r="AF8">
        <v>3700</v>
      </c>
      <c r="AG8">
        <v>1553</v>
      </c>
      <c r="AH8">
        <v>19518</v>
      </c>
      <c r="AK8" t="s">
        <v>830</v>
      </c>
      <c r="AO8" s="50">
        <v>41273.67916666667</v>
      </c>
      <c r="AQ8" t="b">
        <v>1</v>
      </c>
      <c r="AR8" t="b">
        <v>0</v>
      </c>
      <c r="AU8">
        <v>4</v>
      </c>
      <c r="AW8" t="b">
        <v>0</v>
      </c>
      <c r="AX8" t="s">
        <v>789</v>
      </c>
      <c r="AY8" s="85" t="str">
        <f>HYPERLINK("https://twitter.com/jokozlowski")</f>
        <v>https://twitter.com/jokozlowski</v>
      </c>
      <c r="AZ8" s="81" t="s">
        <v>137</v>
      </c>
      <c r="BA8" s="35"/>
      <c r="BB8" s="35"/>
      <c r="BC8" s="35"/>
      <c r="BD8" s="35"/>
      <c r="BE8" s="35"/>
      <c r="BF8" s="35"/>
      <c r="BG8" s="35"/>
      <c r="BH8" s="35"/>
      <c r="BI8" s="35"/>
      <c r="BJ8" s="35"/>
      <c r="BK8" s="35"/>
      <c r="BL8" s="36"/>
      <c r="BM8" s="35"/>
      <c r="BN8" s="36"/>
      <c r="BO8" s="35"/>
      <c r="BP8" s="36"/>
      <c r="BQ8" s="35"/>
      <c r="BR8" s="36"/>
      <c r="BS8" s="35"/>
      <c r="BT8" s="125" t="str">
        <f>REPLACE(INDEX(GroupVertices[Group],MATCH(Vertices[[#This Row],[Vertex]],GroupVertices[Vertex],0)),1,1,"")</f>
        <v>6</v>
      </c>
      <c r="BU8" s="98" t="s">
        <v>171</v>
      </c>
      <c r="BV8" s="35"/>
      <c r="BW8" s="36"/>
      <c r="BX8" s="35"/>
      <c r="BY8" s="36"/>
      <c r="BZ8" s="35"/>
      <c r="CA8" s="36"/>
      <c r="CB8" s="82"/>
      <c r="DI8">
        <v>68901</v>
      </c>
      <c r="DJ8">
        <v>1221</v>
      </c>
      <c r="DK8" t="b">
        <v>0</v>
      </c>
      <c r="DN8" t="b">
        <v>0</v>
      </c>
      <c r="DO8" t="b">
        <v>1</v>
      </c>
      <c r="DP8" t="b">
        <v>1</v>
      </c>
      <c r="DQ8" t="b">
        <v>0</v>
      </c>
      <c r="DR8" t="b">
        <v>0</v>
      </c>
      <c r="DT8" t="s">
        <v>797</v>
      </c>
      <c r="DU8" t="b">
        <v>0</v>
      </c>
    </row>
    <row r="9" spans="1:125" ht="41.45" customHeight="1">
      <c r="A9" s="49" t="s">
        <v>179</v>
      </c>
      <c r="C9" s="60"/>
      <c r="D9" s="60" t="s">
        <v>785</v>
      </c>
      <c r="E9" s="66">
        <v>163.02301398774404</v>
      </c>
      <c r="F9" s="67">
        <v>99.99625988750559</v>
      </c>
      <c r="G9" s="53" t="str">
        <f>HYPERLINK("https://pbs.twimg.com/profile_images/1676769121516625920/3JKSsEPQ_normal.jpg")</f>
        <v>https://pbs.twimg.com/profile_images/1676769121516625920/3JKSsEPQ_normal.jpg</v>
      </c>
      <c r="H9" s="60"/>
      <c r="I9" s="54" t="s">
        <v>179</v>
      </c>
      <c r="J9" s="68"/>
      <c r="K9" s="68"/>
      <c r="L9" s="54" t="s">
        <v>831</v>
      </c>
      <c r="M9" s="71">
        <v>2.246454823972795</v>
      </c>
      <c r="N9" s="72">
        <v>4264.3779296875</v>
      </c>
      <c r="O9" s="72">
        <v>453.12689208984375</v>
      </c>
      <c r="P9" s="73"/>
      <c r="Q9" s="74"/>
      <c r="R9" s="74"/>
      <c r="S9" s="101"/>
      <c r="T9" s="35">
        <v>1</v>
      </c>
      <c r="U9" s="35">
        <v>0</v>
      </c>
      <c r="V9" s="36">
        <v>0</v>
      </c>
      <c r="W9" s="36">
        <v>0.072581</v>
      </c>
      <c r="X9" s="36">
        <v>2.9E-05</v>
      </c>
      <c r="Y9" s="36">
        <v>0.013731</v>
      </c>
      <c r="Z9" s="36">
        <v>0</v>
      </c>
      <c r="AA9" s="36">
        <v>0</v>
      </c>
      <c r="AB9" s="69">
        <v>9</v>
      </c>
      <c r="AC9" s="69"/>
      <c r="AD9" s="70"/>
      <c r="AE9" t="s">
        <v>832</v>
      </c>
      <c r="AF9">
        <v>19677</v>
      </c>
      <c r="AG9">
        <v>19516</v>
      </c>
      <c r="AH9">
        <v>317456</v>
      </c>
      <c r="AK9" t="s">
        <v>833</v>
      </c>
      <c r="AL9" t="s">
        <v>834</v>
      </c>
      <c r="AO9" s="50">
        <v>41426.39761574074</v>
      </c>
      <c r="AQ9" t="b">
        <v>0</v>
      </c>
      <c r="AR9" t="b">
        <v>0</v>
      </c>
      <c r="AU9">
        <v>15</v>
      </c>
      <c r="AW9" t="b">
        <v>0</v>
      </c>
      <c r="AX9" t="s">
        <v>789</v>
      </c>
      <c r="AY9" s="85" t="str">
        <f>HYPERLINK("https://twitter.com/effiedog")</f>
        <v>https://twitter.com/effiedog</v>
      </c>
      <c r="AZ9" s="81" t="s">
        <v>137</v>
      </c>
      <c r="BA9" s="35"/>
      <c r="BB9" s="35"/>
      <c r="BC9" s="35"/>
      <c r="BD9" s="35"/>
      <c r="BE9" s="35"/>
      <c r="BF9" s="35"/>
      <c r="BG9" s="35"/>
      <c r="BH9" s="35"/>
      <c r="BI9" s="35"/>
      <c r="BJ9" s="35"/>
      <c r="BK9" s="35"/>
      <c r="BL9" s="36"/>
      <c r="BM9" s="35"/>
      <c r="BN9" s="36"/>
      <c r="BO9" s="35"/>
      <c r="BP9" s="36"/>
      <c r="BQ9" s="35"/>
      <c r="BR9" s="36"/>
      <c r="BS9" s="35"/>
      <c r="BT9" s="125" t="str">
        <f>REPLACE(INDEX(GroupVertices[Group],MATCH(Vertices[[#This Row],[Vertex]],GroupVertices[Vertex],0)),1,1,"")</f>
        <v>6</v>
      </c>
      <c r="BU9" s="98" t="s">
        <v>835</v>
      </c>
      <c r="BV9" s="35"/>
      <c r="BW9" s="36"/>
      <c r="BX9" s="35"/>
      <c r="BY9" s="36"/>
      <c r="BZ9" s="35"/>
      <c r="CA9" s="36"/>
      <c r="CB9" s="82"/>
      <c r="DI9">
        <v>280473</v>
      </c>
      <c r="DJ9">
        <v>4596</v>
      </c>
      <c r="DK9" t="b">
        <v>0</v>
      </c>
      <c r="DN9" t="b">
        <v>0</v>
      </c>
      <c r="DO9" t="b">
        <v>0</v>
      </c>
      <c r="DP9" t="b">
        <v>0</v>
      </c>
      <c r="DQ9" t="b">
        <v>0</v>
      </c>
      <c r="DR9" t="b">
        <v>0</v>
      </c>
      <c r="DT9" t="s">
        <v>797</v>
      </c>
      <c r="DU9" t="b">
        <v>0</v>
      </c>
    </row>
    <row r="10" spans="1:125" ht="41.45" customHeight="1">
      <c r="A10" s="49" t="s">
        <v>181</v>
      </c>
      <c r="C10" s="60"/>
      <c r="D10" s="60" t="s">
        <v>785</v>
      </c>
      <c r="E10" s="66">
        <v>162.1631286908106</v>
      </c>
      <c r="F10" s="67">
        <v>99.99940360575515</v>
      </c>
      <c r="G10" s="53" t="str">
        <f>HYPERLINK("https://pbs.twimg.com/profile_images/943167209479819264/NzUPkf7w_normal.jpg")</f>
        <v>https://pbs.twimg.com/profile_images/943167209479819264/NzUPkf7w_normal.jpg</v>
      </c>
      <c r="H10" s="60"/>
      <c r="I10" s="54" t="s">
        <v>181</v>
      </c>
      <c r="J10" s="68"/>
      <c r="K10" s="68"/>
      <c r="L10" s="54" t="s">
        <v>836</v>
      </c>
      <c r="M10" s="71">
        <v>1.1987583220026305</v>
      </c>
      <c r="N10" s="72">
        <v>3490.699462890625</v>
      </c>
      <c r="O10" s="72">
        <v>2010.0306396484375</v>
      </c>
      <c r="P10" s="73"/>
      <c r="Q10" s="74"/>
      <c r="R10" s="74"/>
      <c r="S10" s="101"/>
      <c r="T10" s="35">
        <v>1</v>
      </c>
      <c r="U10" s="35">
        <v>0</v>
      </c>
      <c r="V10" s="36">
        <v>0</v>
      </c>
      <c r="W10" s="36">
        <v>0.072581</v>
      </c>
      <c r="X10" s="36">
        <v>2.9E-05</v>
      </c>
      <c r="Y10" s="36">
        <v>0.013731</v>
      </c>
      <c r="Z10" s="36">
        <v>0</v>
      </c>
      <c r="AA10" s="36">
        <v>0</v>
      </c>
      <c r="AB10" s="69">
        <v>10</v>
      </c>
      <c r="AC10" s="69"/>
      <c r="AD10" s="70"/>
      <c r="AE10" t="s">
        <v>837</v>
      </c>
      <c r="AF10">
        <v>5000</v>
      </c>
      <c r="AG10">
        <v>3112</v>
      </c>
      <c r="AH10">
        <v>103789</v>
      </c>
      <c r="AK10" t="s">
        <v>838</v>
      </c>
      <c r="AL10" t="s">
        <v>839</v>
      </c>
      <c r="AO10" s="50">
        <v>40051.9903587963</v>
      </c>
      <c r="AP10" s="85" t="str">
        <f>HYPERLINK("https://pbs.twimg.com/profile_banners/69136365/1401391661")</f>
        <v>https://pbs.twimg.com/profile_banners/69136365/1401391661</v>
      </c>
      <c r="AQ10" t="b">
        <v>0</v>
      </c>
      <c r="AR10" t="b">
        <v>0</v>
      </c>
      <c r="AU10">
        <v>89</v>
      </c>
      <c r="AW10" t="b">
        <v>0</v>
      </c>
      <c r="AX10" t="s">
        <v>789</v>
      </c>
      <c r="AY10" s="85" t="str">
        <f>HYPERLINK("https://twitter.com/nebraskasower")</f>
        <v>https://twitter.com/nebraskasower</v>
      </c>
      <c r="AZ10" s="81" t="s">
        <v>137</v>
      </c>
      <c r="BA10" s="35"/>
      <c r="BB10" s="35"/>
      <c r="BC10" s="35"/>
      <c r="BD10" s="35"/>
      <c r="BE10" s="35"/>
      <c r="BF10" s="35"/>
      <c r="BG10" s="35"/>
      <c r="BH10" s="35"/>
      <c r="BI10" s="35"/>
      <c r="BJ10" s="35"/>
      <c r="BK10" s="35"/>
      <c r="BL10" s="36"/>
      <c r="BM10" s="35"/>
      <c r="BN10" s="36"/>
      <c r="BO10" s="35"/>
      <c r="BP10" s="36"/>
      <c r="BQ10" s="35"/>
      <c r="BR10" s="36"/>
      <c r="BS10" s="35"/>
      <c r="BT10" s="125" t="str">
        <f>REPLACE(INDEX(GroupVertices[Group],MATCH(Vertices[[#This Row],[Vertex]],GroupVertices[Vertex],0)),1,1,"")</f>
        <v>6</v>
      </c>
      <c r="BU10" s="98" t="s">
        <v>840</v>
      </c>
      <c r="BV10" s="35"/>
      <c r="BW10" s="36"/>
      <c r="BX10" s="35"/>
      <c r="BY10" s="36"/>
      <c r="BZ10" s="35"/>
      <c r="CA10" s="36"/>
      <c r="CB10" s="82"/>
      <c r="DI10">
        <v>65199</v>
      </c>
      <c r="DJ10">
        <v>4329</v>
      </c>
      <c r="DK10" t="b">
        <v>0</v>
      </c>
      <c r="DN10" t="b">
        <v>0</v>
      </c>
      <c r="DO10" t="b">
        <v>1</v>
      </c>
      <c r="DP10" t="b">
        <v>1</v>
      </c>
      <c r="DQ10" t="b">
        <v>0</v>
      </c>
      <c r="DR10" t="b">
        <v>0</v>
      </c>
      <c r="DT10" t="s">
        <v>797</v>
      </c>
      <c r="DU10" t="b">
        <v>0</v>
      </c>
    </row>
    <row r="11" spans="1:125" ht="41.45" customHeight="1">
      <c r="A11" s="49" t="s">
        <v>182</v>
      </c>
      <c r="C11" s="60"/>
      <c r="D11" s="60" t="s">
        <v>785</v>
      </c>
      <c r="E11" s="66">
        <v>162.50222878748593</v>
      </c>
      <c r="F11" s="67">
        <v>99.99816386463368</v>
      </c>
      <c r="G11" s="53" t="str">
        <f>HYPERLINK("https://pbs.twimg.com/profile_images/1169516640695963648/lvWe6GyN_normal.jpg")</f>
        <v>https://pbs.twimg.com/profile_images/1169516640695963648/lvWe6GyN_normal.jpg</v>
      </c>
      <c r="H11" s="60"/>
      <c r="I11" s="54" t="s">
        <v>182</v>
      </c>
      <c r="J11" s="68"/>
      <c r="K11" s="68"/>
      <c r="L11" s="54" t="s">
        <v>841</v>
      </c>
      <c r="M11" s="71">
        <v>1.611922713080721</v>
      </c>
      <c r="N11" s="72">
        <v>5421.45263671875</v>
      </c>
      <c r="O11" s="72">
        <v>1494.150634765625</v>
      </c>
      <c r="P11" s="73"/>
      <c r="Q11" s="74"/>
      <c r="R11" s="74"/>
      <c r="S11" s="101"/>
      <c r="T11" s="35">
        <v>1</v>
      </c>
      <c r="U11" s="35">
        <v>0</v>
      </c>
      <c r="V11" s="36">
        <v>0</v>
      </c>
      <c r="W11" s="36">
        <v>0.072581</v>
      </c>
      <c r="X11" s="36">
        <v>2.9E-05</v>
      </c>
      <c r="Y11" s="36">
        <v>0.013731</v>
      </c>
      <c r="Z11" s="36">
        <v>0</v>
      </c>
      <c r="AA11" s="36">
        <v>0</v>
      </c>
      <c r="AB11" s="69">
        <v>11</v>
      </c>
      <c r="AC11" s="69"/>
      <c r="AD11" s="70"/>
      <c r="AE11" t="s">
        <v>842</v>
      </c>
      <c r="AF11">
        <v>9454</v>
      </c>
      <c r="AG11">
        <v>9581</v>
      </c>
      <c r="AH11">
        <v>238120</v>
      </c>
      <c r="AK11" t="s">
        <v>843</v>
      </c>
      <c r="AL11" t="s">
        <v>844</v>
      </c>
      <c r="AO11" s="50">
        <v>43713.32115740741</v>
      </c>
      <c r="AP11" s="85" t="str">
        <f>HYPERLINK("https://pbs.twimg.com/profile_banners/1169516073181466625/1620550258")</f>
        <v>https://pbs.twimg.com/profile_banners/1169516073181466625/1620550258</v>
      </c>
      <c r="AQ11" t="b">
        <v>1</v>
      </c>
      <c r="AR11" t="b">
        <v>0</v>
      </c>
      <c r="AU11">
        <v>4</v>
      </c>
      <c r="AW11" t="b">
        <v>0</v>
      </c>
      <c r="AX11" t="s">
        <v>789</v>
      </c>
      <c r="AY11" s="85" t="str">
        <f>HYPERLINK("https://twitter.com/jaximperator")</f>
        <v>https://twitter.com/jaximperator</v>
      </c>
      <c r="AZ11" s="81" t="s">
        <v>137</v>
      </c>
      <c r="BA11" s="35"/>
      <c r="BB11" s="35"/>
      <c r="BC11" s="35"/>
      <c r="BD11" s="35"/>
      <c r="BE11" s="35"/>
      <c r="BF11" s="35"/>
      <c r="BG11" s="35"/>
      <c r="BH11" s="35"/>
      <c r="BI11" s="35"/>
      <c r="BJ11" s="35"/>
      <c r="BK11" s="35"/>
      <c r="BL11" s="36"/>
      <c r="BM11" s="35"/>
      <c r="BN11" s="36"/>
      <c r="BO11" s="35"/>
      <c r="BP11" s="36"/>
      <c r="BQ11" s="35"/>
      <c r="BR11" s="36"/>
      <c r="BS11" s="35"/>
      <c r="BT11" s="125" t="str">
        <f>REPLACE(INDEX(GroupVertices[Group],MATCH(Vertices[[#This Row],[Vertex]],GroupVertices[Vertex],0)),1,1,"")</f>
        <v>6</v>
      </c>
      <c r="BU11" s="98" t="s">
        <v>178</v>
      </c>
      <c r="BV11" s="35"/>
      <c r="BW11" s="36"/>
      <c r="BX11" s="35"/>
      <c r="BY11" s="36"/>
      <c r="BZ11" s="35"/>
      <c r="CA11" s="36"/>
      <c r="CB11" s="82"/>
      <c r="CM11">
        <v>1.37024502889168E+18</v>
      </c>
      <c r="DI11">
        <v>302126</v>
      </c>
      <c r="DJ11">
        <v>23</v>
      </c>
      <c r="DK11" t="b">
        <v>0</v>
      </c>
      <c r="DN11" t="b">
        <v>0</v>
      </c>
      <c r="DO11" t="b">
        <v>1</v>
      </c>
      <c r="DP11" t="b">
        <v>0</v>
      </c>
      <c r="DQ11" t="b">
        <v>0</v>
      </c>
      <c r="DR11" t="b">
        <v>0</v>
      </c>
      <c r="DT11" t="s">
        <v>797</v>
      </c>
      <c r="DU11" t="b">
        <v>0</v>
      </c>
    </row>
    <row r="12" spans="1:125" ht="41.45" customHeight="1">
      <c r="A12" s="49" t="s">
        <v>183</v>
      </c>
      <c r="C12" s="60"/>
      <c r="D12" s="60" t="s">
        <v>785</v>
      </c>
      <c r="E12" s="66">
        <v>162.33899525818512</v>
      </c>
      <c r="F12" s="67">
        <v>99.99876064216534</v>
      </c>
      <c r="G12" s="53" t="str">
        <f>HYPERLINK("https://pbs.twimg.com/profile_images/912667889395798022/pMoB2qc8_normal.jpg")</f>
        <v>https://pbs.twimg.com/profile_images/912667889395798022/pMoB2qc8_normal.jpg</v>
      </c>
      <c r="H12" s="60"/>
      <c r="I12" s="54" t="s">
        <v>183</v>
      </c>
      <c r="J12" s="68"/>
      <c r="K12" s="68"/>
      <c r="L12" s="54" t="s">
        <v>845</v>
      </c>
      <c r="M12" s="71">
        <v>1.4130366543672916</v>
      </c>
      <c r="N12" s="72">
        <v>1437.20703125</v>
      </c>
      <c r="O12" s="72">
        <v>2143.848388671875</v>
      </c>
      <c r="P12" s="73"/>
      <c r="Q12" s="74"/>
      <c r="R12" s="74"/>
      <c r="S12" s="101"/>
      <c r="T12" s="35">
        <v>3</v>
      </c>
      <c r="U12" s="35">
        <v>6</v>
      </c>
      <c r="V12" s="36">
        <v>110</v>
      </c>
      <c r="W12" s="36">
        <v>0.132353</v>
      </c>
      <c r="X12" s="36">
        <v>0.000221</v>
      </c>
      <c r="Y12" s="36">
        <v>0.025188</v>
      </c>
      <c r="Z12" s="36">
        <v>0</v>
      </c>
      <c r="AA12" s="36">
        <v>0</v>
      </c>
      <c r="AB12" s="69">
        <v>12</v>
      </c>
      <c r="AC12" s="69"/>
      <c r="AD12" s="70"/>
      <c r="AE12" t="s">
        <v>846</v>
      </c>
      <c r="AF12">
        <v>1446</v>
      </c>
      <c r="AG12">
        <v>6467</v>
      </c>
      <c r="AH12">
        <v>167343</v>
      </c>
      <c r="AK12" t="s">
        <v>847</v>
      </c>
      <c r="AL12" t="s">
        <v>848</v>
      </c>
      <c r="AO12" s="50">
        <v>39456.03121527778</v>
      </c>
      <c r="AP12" s="85" t="str">
        <f>HYPERLINK("https://pbs.twimg.com/profile_banners/12006842/1693589509")</f>
        <v>https://pbs.twimg.com/profile_banners/12006842/1693589509</v>
      </c>
      <c r="AQ12" t="b">
        <v>0</v>
      </c>
      <c r="AR12" t="b">
        <v>0</v>
      </c>
      <c r="AU12">
        <v>506</v>
      </c>
      <c r="AW12" t="b">
        <v>0</v>
      </c>
      <c r="AX12" t="s">
        <v>789</v>
      </c>
      <c r="AY12" s="85" t="str">
        <f>HYPERLINK("https://twitter.com/jeremyhl")</f>
        <v>https://twitter.com/jeremyhl</v>
      </c>
      <c r="AZ12" s="81" t="s">
        <v>588</v>
      </c>
      <c r="BA12" s="35" t="s">
        <v>849</v>
      </c>
      <c r="BB12" s="35" t="s">
        <v>850</v>
      </c>
      <c r="BC12" s="35" t="s">
        <v>851</v>
      </c>
      <c r="BD12" s="35" t="s">
        <v>2239</v>
      </c>
      <c r="BE12" s="35" t="s">
        <v>852</v>
      </c>
      <c r="BF12" s="35" t="s">
        <v>2241</v>
      </c>
      <c r="BG12" s="65" t="s">
        <v>2219</v>
      </c>
      <c r="BH12" s="65" t="s">
        <v>2246</v>
      </c>
      <c r="BI12" s="65" t="s">
        <v>853</v>
      </c>
      <c r="BJ12" s="65" t="s">
        <v>853</v>
      </c>
      <c r="BK12" s="35"/>
      <c r="BL12" s="36"/>
      <c r="BM12" s="35"/>
      <c r="BN12" s="36"/>
      <c r="BO12" s="35"/>
      <c r="BP12" s="36"/>
      <c r="BQ12" s="35">
        <v>313</v>
      </c>
      <c r="BR12" s="36">
        <v>64.40329218106996</v>
      </c>
      <c r="BS12" s="35">
        <v>486</v>
      </c>
      <c r="BT12" s="125" t="str">
        <f>REPLACE(INDEX(GroupVertices[Group],MATCH(Vertices[[#This Row],[Vertex]],GroupVertices[Vertex],0)),1,1,"")</f>
        <v>2</v>
      </c>
      <c r="BU12" s="98" t="s">
        <v>854</v>
      </c>
      <c r="BV12" s="35">
        <v>0</v>
      </c>
      <c r="BW12" s="36">
        <v>0</v>
      </c>
      <c r="BX12" s="35">
        <v>0</v>
      </c>
      <c r="BY12" s="36">
        <v>0</v>
      </c>
      <c r="BZ12" s="35">
        <v>0</v>
      </c>
      <c r="CA12" s="36">
        <v>0</v>
      </c>
      <c r="CB12" s="82"/>
      <c r="CD12" s="85" t="str">
        <f>HYPERLINK("https://t.co/FXF8LWikG0")</f>
        <v>https://t.co/FXF8LWikG0</v>
      </c>
      <c r="CE12" s="85" t="str">
        <f>HYPERLINK("https://amzn.to/3DHnuRf")</f>
        <v>https://amzn.to/3DHnuRf</v>
      </c>
      <c r="CF12" t="s">
        <v>855</v>
      </c>
      <c r="CG12" s="85" t="str">
        <f>HYPERLINK("https://t.co/AXr4S186OC")</f>
        <v>https://t.co/AXr4S186OC</v>
      </c>
      <c r="CH12" s="85" t="str">
        <f>HYPERLINK("http://amzn.to/2UaIVcv")</f>
        <v>http://amzn.to/2UaIVcv</v>
      </c>
      <c r="CI12" t="s">
        <v>856</v>
      </c>
      <c r="CM12">
        <v>1.68135640857337E+18</v>
      </c>
      <c r="CN12" s="85" t="str">
        <f>HYPERLINK("https://t.co/FXF8LWikG0")</f>
        <v>https://t.co/FXF8LWikG0</v>
      </c>
      <c r="DI12">
        <v>49361</v>
      </c>
      <c r="DJ12">
        <v>19517</v>
      </c>
      <c r="DK12" t="b">
        <v>1</v>
      </c>
      <c r="DL12" t="b">
        <v>1</v>
      </c>
      <c r="DM12" t="b">
        <v>1</v>
      </c>
      <c r="DN12" t="b">
        <v>1</v>
      </c>
      <c r="DO12" t="b">
        <v>1</v>
      </c>
      <c r="DP12" t="b">
        <v>1</v>
      </c>
      <c r="DQ12" t="b">
        <v>0</v>
      </c>
      <c r="DR12" t="b">
        <v>0</v>
      </c>
      <c r="DT12" t="s">
        <v>797</v>
      </c>
      <c r="DU12" t="b">
        <v>1</v>
      </c>
    </row>
    <row r="13" spans="1:125" ht="41.45" customHeight="1">
      <c r="A13" s="49" t="s">
        <v>184</v>
      </c>
      <c r="C13" s="60"/>
      <c r="D13" s="60" t="s">
        <v>785</v>
      </c>
      <c r="E13" s="66">
        <v>162.00566127847287</v>
      </c>
      <c r="F13" s="67">
        <v>99.99997930251335</v>
      </c>
      <c r="G13" s="53" t="str">
        <f>HYPERLINK("https://pbs.twimg.com/profile_images/1652982039820288000/rb6SOCqo_normal.jpg")</f>
        <v>https://pbs.twimg.com/profile_images/1652982039820288000/rb6SOCqo_normal.jpg</v>
      </c>
      <c r="H13" s="60"/>
      <c r="I13" s="54" t="s">
        <v>184</v>
      </c>
      <c r="J13" s="68"/>
      <c r="K13" s="68"/>
      <c r="L13" s="54" t="s">
        <v>857</v>
      </c>
      <c r="M13" s="71">
        <v>1.0068977823831247</v>
      </c>
      <c r="N13" s="72">
        <v>6418.79541015625</v>
      </c>
      <c r="O13" s="72">
        <v>3285.169921875</v>
      </c>
      <c r="P13" s="73"/>
      <c r="Q13" s="74"/>
      <c r="R13" s="74"/>
      <c r="S13" s="101"/>
      <c r="T13" s="35">
        <v>1</v>
      </c>
      <c r="U13" s="35">
        <v>1</v>
      </c>
      <c r="V13" s="36">
        <v>2</v>
      </c>
      <c r="W13" s="36">
        <v>0.03125</v>
      </c>
      <c r="X13" s="36">
        <v>0</v>
      </c>
      <c r="Y13" s="36">
        <v>0.017391</v>
      </c>
      <c r="Z13" s="36">
        <v>0</v>
      </c>
      <c r="AA13" s="36">
        <v>0</v>
      </c>
      <c r="AB13" s="69">
        <v>13</v>
      </c>
      <c r="AC13" s="69"/>
      <c r="AD13" s="70"/>
      <c r="AE13" t="s">
        <v>858</v>
      </c>
      <c r="AF13">
        <v>96</v>
      </c>
      <c r="AG13">
        <v>108</v>
      </c>
      <c r="AH13">
        <v>137</v>
      </c>
      <c r="AK13" t="s">
        <v>859</v>
      </c>
      <c r="AO13" s="50">
        <v>42311.82674768518</v>
      </c>
      <c r="AP13" s="85" t="str">
        <f>HYPERLINK("https://pbs.twimg.com/profile_banners/4106793329/1682936615")</f>
        <v>https://pbs.twimg.com/profile_banners/4106793329/1682936615</v>
      </c>
      <c r="AQ13" t="b">
        <v>1</v>
      </c>
      <c r="AR13" t="b">
        <v>0</v>
      </c>
      <c r="AU13">
        <v>0</v>
      </c>
      <c r="AW13" t="b">
        <v>0</v>
      </c>
      <c r="AX13" t="s">
        <v>789</v>
      </c>
      <c r="AY13" s="85" t="str">
        <f>HYPERLINK("https://twitter.com/louiselyons_")</f>
        <v>https://twitter.com/louiselyons_</v>
      </c>
      <c r="AZ13" s="81" t="s">
        <v>588</v>
      </c>
      <c r="BA13" s="35"/>
      <c r="BB13" s="35"/>
      <c r="BC13" s="35"/>
      <c r="BD13" s="35"/>
      <c r="BE13" s="35"/>
      <c r="BF13" s="35"/>
      <c r="BG13" s="65" t="s">
        <v>860</v>
      </c>
      <c r="BH13" s="65" t="s">
        <v>860</v>
      </c>
      <c r="BI13" s="65" t="s">
        <v>861</v>
      </c>
      <c r="BJ13" s="65" t="s">
        <v>861</v>
      </c>
      <c r="BK13" s="35"/>
      <c r="BL13" s="36"/>
      <c r="BM13" s="35"/>
      <c r="BN13" s="36"/>
      <c r="BO13" s="35"/>
      <c r="BP13" s="36"/>
      <c r="BQ13" s="35">
        <v>12</v>
      </c>
      <c r="BR13" s="36">
        <v>66.66666666666667</v>
      </c>
      <c r="BS13" s="35">
        <v>18</v>
      </c>
      <c r="BT13" s="125" t="str">
        <f>REPLACE(INDEX(GroupVertices[Group],MATCH(Vertices[[#This Row],[Vertex]],GroupVertices[Vertex],0)),1,1,"")</f>
        <v>8</v>
      </c>
      <c r="BU13" s="98" t="s">
        <v>862</v>
      </c>
      <c r="BV13" s="35">
        <v>0</v>
      </c>
      <c r="BW13" s="36">
        <v>0</v>
      </c>
      <c r="BX13" s="35">
        <v>0</v>
      </c>
      <c r="BY13" s="36">
        <v>0</v>
      </c>
      <c r="BZ13" s="35">
        <v>0</v>
      </c>
      <c r="CA13" s="36">
        <v>0</v>
      </c>
      <c r="CB13" s="82"/>
      <c r="DI13">
        <v>69</v>
      </c>
      <c r="DJ13">
        <v>3</v>
      </c>
      <c r="DK13" t="b">
        <v>0</v>
      </c>
      <c r="DN13" t="b">
        <v>0</v>
      </c>
      <c r="DO13" t="b">
        <v>1</v>
      </c>
      <c r="DP13" t="b">
        <v>0</v>
      </c>
      <c r="DQ13" t="b">
        <v>0</v>
      </c>
      <c r="DR13" t="b">
        <v>0</v>
      </c>
      <c r="DT13" t="s">
        <v>797</v>
      </c>
      <c r="DU13" t="b">
        <v>0</v>
      </c>
    </row>
    <row r="14" spans="1:125" ht="41.45" customHeight="1">
      <c r="A14" s="49" t="s">
        <v>185</v>
      </c>
      <c r="C14" s="60"/>
      <c r="D14" s="60" t="s">
        <v>785</v>
      </c>
      <c r="E14" s="66">
        <v>162.03669347158336</v>
      </c>
      <c r="F14" s="67">
        <v>99.99986584962359</v>
      </c>
      <c r="G14" s="53" t="str">
        <f>HYPERLINK("https://pbs.twimg.com/profile_images/1663468196014305280/n_5cCBx0_normal.jpg")</f>
        <v>https://pbs.twimg.com/profile_images/1663468196014305280/n_5cCBx0_normal.jpg</v>
      </c>
      <c r="H14" s="60"/>
      <c r="I14" s="54" t="s">
        <v>185</v>
      </c>
      <c r="J14" s="68"/>
      <c r="K14" s="68"/>
      <c r="L14" s="54" t="s">
        <v>863</v>
      </c>
      <c r="M14" s="71">
        <v>1.044707848779512</v>
      </c>
      <c r="N14" s="72">
        <v>6418.79541015625</v>
      </c>
      <c r="O14" s="72">
        <v>2565.201904296875</v>
      </c>
      <c r="P14" s="73"/>
      <c r="Q14" s="74"/>
      <c r="R14" s="74"/>
      <c r="S14" s="101"/>
      <c r="T14" s="35">
        <v>1</v>
      </c>
      <c r="U14" s="35">
        <v>0</v>
      </c>
      <c r="V14" s="36">
        <v>0</v>
      </c>
      <c r="W14" s="36">
        <v>0.020833</v>
      </c>
      <c r="X14" s="36">
        <v>0</v>
      </c>
      <c r="Y14" s="36">
        <v>0.014381</v>
      </c>
      <c r="Z14" s="36">
        <v>0</v>
      </c>
      <c r="AA14" s="36">
        <v>0</v>
      </c>
      <c r="AB14" s="69">
        <v>14</v>
      </c>
      <c r="AC14" s="69"/>
      <c r="AD14" s="70"/>
      <c r="AE14" t="s">
        <v>864</v>
      </c>
      <c r="AF14">
        <v>652</v>
      </c>
      <c r="AG14">
        <v>700</v>
      </c>
      <c r="AH14">
        <v>1221</v>
      </c>
      <c r="AK14" t="s">
        <v>865</v>
      </c>
      <c r="AL14" t="s">
        <v>866</v>
      </c>
      <c r="AO14" s="50">
        <v>43552.69730324074</v>
      </c>
      <c r="AP14" s="85" t="str">
        <f>HYPERLINK("https://pbs.twimg.com/profile_banners/1111307993881165829/1685436686")</f>
        <v>https://pbs.twimg.com/profile_banners/1111307993881165829/1685436686</v>
      </c>
      <c r="AQ14" t="b">
        <v>1</v>
      </c>
      <c r="AR14" t="b">
        <v>0</v>
      </c>
      <c r="AU14">
        <v>0</v>
      </c>
      <c r="AW14" t="b">
        <v>0</v>
      </c>
      <c r="AX14" t="s">
        <v>789</v>
      </c>
      <c r="AY14" s="85" t="str">
        <f>HYPERLINK("https://twitter.com/antothenio")</f>
        <v>https://twitter.com/antothenio</v>
      </c>
      <c r="AZ14" s="81" t="s">
        <v>137</v>
      </c>
      <c r="BA14" s="35"/>
      <c r="BB14" s="35"/>
      <c r="BC14" s="35"/>
      <c r="BD14" s="35"/>
      <c r="BE14" s="35"/>
      <c r="BF14" s="35"/>
      <c r="BG14" s="35"/>
      <c r="BH14" s="35"/>
      <c r="BI14" s="35"/>
      <c r="BJ14" s="35"/>
      <c r="BK14" s="35"/>
      <c r="BL14" s="36"/>
      <c r="BM14" s="35"/>
      <c r="BN14" s="36"/>
      <c r="BO14" s="35"/>
      <c r="BP14" s="36"/>
      <c r="BQ14" s="35"/>
      <c r="BR14" s="36"/>
      <c r="BS14" s="35"/>
      <c r="BT14" s="125" t="str">
        <f>REPLACE(INDEX(GroupVertices[Group],MATCH(Vertices[[#This Row],[Vertex]],GroupVertices[Vertex],0)),1,1,"")</f>
        <v>8</v>
      </c>
      <c r="BU14" s="98" t="s">
        <v>867</v>
      </c>
      <c r="BV14" s="35"/>
      <c r="BW14" s="36"/>
      <c r="BX14" s="35"/>
      <c r="BY14" s="36"/>
      <c r="BZ14" s="35"/>
      <c r="CA14" s="36"/>
      <c r="CB14" s="82"/>
      <c r="CD14" s="85" t="str">
        <f>HYPERLINK("https://t.co/gyX1NxrBQS")</f>
        <v>https://t.co/gyX1NxrBQS</v>
      </c>
      <c r="CE14" s="85" t="str">
        <f>HYPERLINK("https://linktr.ee/theantonio")</f>
        <v>https://linktr.ee/theantonio</v>
      </c>
      <c r="CF14" t="s">
        <v>868</v>
      </c>
      <c r="CG14" s="85" t="str">
        <f>HYPERLINK("https://t.co/2ytQaFKQBu")</f>
        <v>https://t.co/2ytQaFKQBu</v>
      </c>
      <c r="CH14" s="85" t="str">
        <f>HYPERLINK("http://hearmespeak.co.uk/get-involved")</f>
        <v>http://hearmespeak.co.uk/get-involved</v>
      </c>
      <c r="CI14" t="s">
        <v>869</v>
      </c>
      <c r="CM14">
        <v>1.68026187915369E+18</v>
      </c>
      <c r="CN14" s="85" t="str">
        <f>HYPERLINK("https://t.co/gyX1NxrBQS")</f>
        <v>https://t.co/gyX1NxrBQS</v>
      </c>
      <c r="DI14">
        <v>1436</v>
      </c>
      <c r="DJ14">
        <v>63</v>
      </c>
      <c r="DK14" t="b">
        <v>0</v>
      </c>
      <c r="DN14" t="b">
        <v>0</v>
      </c>
      <c r="DO14" t="b">
        <v>1</v>
      </c>
      <c r="DP14" t="b">
        <v>1</v>
      </c>
      <c r="DQ14" t="b">
        <v>0</v>
      </c>
      <c r="DR14" t="b">
        <v>0</v>
      </c>
      <c r="DT14" t="s">
        <v>797</v>
      </c>
      <c r="DU14" t="b">
        <v>0</v>
      </c>
    </row>
    <row r="15" spans="1:125" ht="41.45" customHeight="1">
      <c r="A15" s="49" t="s">
        <v>189</v>
      </c>
      <c r="C15" s="60"/>
      <c r="D15" s="60" t="s">
        <v>785</v>
      </c>
      <c r="E15" s="66">
        <v>162.00366934715834</v>
      </c>
      <c r="F15" s="67">
        <v>99.99998658496236</v>
      </c>
      <c r="G15" s="53" t="str">
        <f>HYPERLINK("https://pbs.twimg.com/profile_images/1441289435098664968/xv2yuq4U_normal.jpg")</f>
        <v>https://pbs.twimg.com/profile_images/1441289435098664968/xv2yuq4U_normal.jpg</v>
      </c>
      <c r="H15" s="60"/>
      <c r="I15" s="54" t="s">
        <v>189</v>
      </c>
      <c r="J15" s="68"/>
      <c r="K15" s="68"/>
      <c r="L15" s="54" t="s">
        <v>870</v>
      </c>
      <c r="M15" s="71">
        <v>1.0044707848779513</v>
      </c>
      <c r="N15" s="72">
        <v>9161.48828125</v>
      </c>
      <c r="O15" s="72">
        <v>1755.86669921875</v>
      </c>
      <c r="P15" s="73"/>
      <c r="Q15" s="74"/>
      <c r="R15" s="74"/>
      <c r="S15" s="101"/>
      <c r="T15" s="35">
        <v>0</v>
      </c>
      <c r="U15" s="35">
        <v>1</v>
      </c>
      <c r="V15" s="36">
        <v>0</v>
      </c>
      <c r="W15" s="36">
        <v>0.015625</v>
      </c>
      <c r="X15" s="36">
        <v>0</v>
      </c>
      <c r="Y15" s="36">
        <v>0.015385</v>
      </c>
      <c r="Z15" s="36">
        <v>0</v>
      </c>
      <c r="AA15" s="36">
        <v>0</v>
      </c>
      <c r="AB15" s="69">
        <v>15</v>
      </c>
      <c r="AC15" s="69"/>
      <c r="AD15" s="70"/>
      <c r="AE15" t="s">
        <v>871</v>
      </c>
      <c r="AF15">
        <v>917</v>
      </c>
      <c r="AG15">
        <v>70</v>
      </c>
      <c r="AH15">
        <v>77</v>
      </c>
      <c r="AK15" t="s">
        <v>872</v>
      </c>
      <c r="AO15" s="50">
        <v>44462.63518518519</v>
      </c>
      <c r="AQ15" t="b">
        <v>1</v>
      </c>
      <c r="AR15" t="b">
        <v>0</v>
      </c>
      <c r="AU15">
        <v>4</v>
      </c>
      <c r="AW15" t="b">
        <v>0</v>
      </c>
      <c r="AX15" t="s">
        <v>789</v>
      </c>
      <c r="AY15" s="85" t="str">
        <f>HYPERLINK("https://twitter.com/jeremyl75946562")</f>
        <v>https://twitter.com/jeremyl75946562</v>
      </c>
      <c r="AZ15" s="81" t="s">
        <v>588</v>
      </c>
      <c r="BA15" s="35"/>
      <c r="BB15" s="35"/>
      <c r="BC15" s="35"/>
      <c r="BD15" s="35"/>
      <c r="BE15" s="35"/>
      <c r="BF15" s="35"/>
      <c r="BG15" s="65" t="s">
        <v>873</v>
      </c>
      <c r="BH15" s="65" t="s">
        <v>873</v>
      </c>
      <c r="BI15" s="65" t="s">
        <v>874</v>
      </c>
      <c r="BJ15" s="65" t="s">
        <v>874</v>
      </c>
      <c r="BK15" s="35"/>
      <c r="BL15" s="36"/>
      <c r="BM15" s="35"/>
      <c r="BN15" s="36"/>
      <c r="BO15" s="35"/>
      <c r="BP15" s="36"/>
      <c r="BQ15" s="35">
        <v>2</v>
      </c>
      <c r="BR15" s="36">
        <v>100</v>
      </c>
      <c r="BS15" s="35">
        <v>2</v>
      </c>
      <c r="BT15" s="125" t="str">
        <f>REPLACE(INDEX(GroupVertices[Group],MATCH(Vertices[[#This Row],[Vertex]],GroupVertices[Vertex],0)),1,1,"")</f>
        <v>11</v>
      </c>
      <c r="BU15" s="98" t="s">
        <v>198</v>
      </c>
      <c r="BV15" s="35">
        <v>0</v>
      </c>
      <c r="BW15" s="36">
        <v>0</v>
      </c>
      <c r="BX15" s="35">
        <v>0</v>
      </c>
      <c r="BY15" s="36">
        <v>0</v>
      </c>
      <c r="BZ15" s="35">
        <v>0</v>
      </c>
      <c r="CA15" s="36">
        <v>0</v>
      </c>
      <c r="CB15" s="82"/>
      <c r="DI15">
        <v>201</v>
      </c>
      <c r="DJ15">
        <v>0</v>
      </c>
      <c r="DK15" t="b">
        <v>0</v>
      </c>
      <c r="DN15" t="b">
        <v>1</v>
      </c>
      <c r="DO15" t="b">
        <v>1</v>
      </c>
      <c r="DP15" t="b">
        <v>0</v>
      </c>
      <c r="DQ15" t="b">
        <v>0</v>
      </c>
      <c r="DR15" t="b">
        <v>0</v>
      </c>
      <c r="DT15" t="s">
        <v>797</v>
      </c>
      <c r="DU15" t="b">
        <v>0</v>
      </c>
    </row>
    <row r="16" spans="1:125" ht="41.45" customHeight="1">
      <c r="A16" s="49" t="s">
        <v>190</v>
      </c>
      <c r="C16" s="60"/>
      <c r="D16" s="60" t="s">
        <v>785</v>
      </c>
      <c r="E16" s="66">
        <v>162.23939869245885</v>
      </c>
      <c r="F16" s="67">
        <v>99.9991247646156</v>
      </c>
      <c r="G16" s="53" t="str">
        <f>HYPERLINK("https://pbs.twimg.com/profile_images/1661398699623452673/CNilc23H_normal.jpg")</f>
        <v>https://pbs.twimg.com/profile_images/1661398699623452673/CNilc23H_normal.jpg</v>
      </c>
      <c r="H16" s="60"/>
      <c r="I16" s="54" t="s">
        <v>190</v>
      </c>
      <c r="J16" s="68"/>
      <c r="K16" s="68"/>
      <c r="L16" s="54" t="s">
        <v>875</v>
      </c>
      <c r="M16" s="71">
        <v>1.2916867791086162</v>
      </c>
      <c r="N16" s="72">
        <v>9161.48828125</v>
      </c>
      <c r="O16" s="72">
        <v>887.3734741210938</v>
      </c>
      <c r="P16" s="73"/>
      <c r="Q16" s="74"/>
      <c r="R16" s="74"/>
      <c r="S16" s="101"/>
      <c r="T16" s="35">
        <v>1</v>
      </c>
      <c r="U16" s="35">
        <v>0</v>
      </c>
      <c r="V16" s="36">
        <v>0</v>
      </c>
      <c r="W16" s="36">
        <v>0.015625</v>
      </c>
      <c r="X16" s="36">
        <v>0</v>
      </c>
      <c r="Y16" s="36">
        <v>0.015385</v>
      </c>
      <c r="Z16" s="36">
        <v>0</v>
      </c>
      <c r="AA16" s="36">
        <v>0</v>
      </c>
      <c r="AB16" s="69">
        <v>16</v>
      </c>
      <c r="AC16" s="69"/>
      <c r="AD16" s="70"/>
      <c r="AE16" t="s">
        <v>876</v>
      </c>
      <c r="AF16">
        <v>7</v>
      </c>
      <c r="AG16">
        <v>4567</v>
      </c>
      <c r="AH16">
        <v>32</v>
      </c>
      <c r="AK16" t="s">
        <v>877</v>
      </c>
      <c r="AO16" s="50">
        <v>44801.824907407405</v>
      </c>
      <c r="AP16" s="85" t="str">
        <f>HYPERLINK("https://pbs.twimg.com/profile_banners/1563976507697299456/1686990869")</f>
        <v>https://pbs.twimg.com/profile_banners/1563976507697299456/1686990869</v>
      </c>
      <c r="AQ16" t="b">
        <v>1</v>
      </c>
      <c r="AR16" t="b">
        <v>0</v>
      </c>
      <c r="AU16">
        <v>4</v>
      </c>
      <c r="AW16" t="b">
        <v>0</v>
      </c>
      <c r="AX16" t="s">
        <v>789</v>
      </c>
      <c r="AY16" s="85" t="str">
        <f>HYPERLINK("https://twitter.com/g29cie3xev6p0yu")</f>
        <v>https://twitter.com/g29cie3xev6p0yu</v>
      </c>
      <c r="AZ16" s="81" t="s">
        <v>137</v>
      </c>
      <c r="BA16" s="35"/>
      <c r="BB16" s="35"/>
      <c r="BC16" s="35"/>
      <c r="BD16" s="35"/>
      <c r="BE16" s="35"/>
      <c r="BF16" s="35"/>
      <c r="BG16" s="35"/>
      <c r="BH16" s="35"/>
      <c r="BI16" s="35"/>
      <c r="BJ16" s="35"/>
      <c r="BK16" s="35"/>
      <c r="BL16" s="36"/>
      <c r="BM16" s="35"/>
      <c r="BN16" s="36"/>
      <c r="BO16" s="35"/>
      <c r="BP16" s="36"/>
      <c r="BQ16" s="35"/>
      <c r="BR16" s="36"/>
      <c r="BS16" s="35"/>
      <c r="BT16" s="125" t="str">
        <f>REPLACE(INDEX(GroupVertices[Group],MATCH(Vertices[[#This Row],[Vertex]],GroupVertices[Vertex],0)),1,1,"")</f>
        <v>11</v>
      </c>
      <c r="BU16" s="98" t="s">
        <v>197</v>
      </c>
      <c r="BV16" s="35"/>
      <c r="BW16" s="36"/>
      <c r="BX16" s="35"/>
      <c r="BY16" s="36"/>
      <c r="BZ16" s="35"/>
      <c r="CA16" s="36"/>
      <c r="CB16" s="82"/>
      <c r="CM16">
        <v>1.668797533379E+18</v>
      </c>
      <c r="DI16">
        <v>68</v>
      </c>
      <c r="DJ16">
        <v>31</v>
      </c>
      <c r="DK16" t="b">
        <v>0</v>
      </c>
      <c r="DN16" t="b">
        <v>1</v>
      </c>
      <c r="DO16" t="b">
        <v>1</v>
      </c>
      <c r="DP16" t="b">
        <v>0</v>
      </c>
      <c r="DQ16" t="b">
        <v>0</v>
      </c>
      <c r="DR16" t="b">
        <v>1</v>
      </c>
      <c r="DT16" t="s">
        <v>797</v>
      </c>
      <c r="DU16" t="b">
        <v>0</v>
      </c>
    </row>
    <row r="17" spans="1:125" ht="41.45" customHeight="1">
      <c r="A17" s="49" t="s">
        <v>199</v>
      </c>
      <c r="C17" s="60"/>
      <c r="D17" s="60" t="s">
        <v>785</v>
      </c>
      <c r="E17" s="66">
        <v>162.0030403162169</v>
      </c>
      <c r="F17" s="67">
        <v>99.99998888468309</v>
      </c>
      <c r="G17" s="53" t="str">
        <f>HYPERLINK("https://pbs.twimg.com/profile_images/1390424385509601283/lkN-bziw_normal.jpg")</f>
        <v>https://pbs.twimg.com/profile_images/1390424385509601283/lkN-bziw_normal.jpg</v>
      </c>
      <c r="H17" s="60"/>
      <c r="I17" s="54" t="s">
        <v>199</v>
      </c>
      <c r="J17" s="68"/>
      <c r="K17" s="68"/>
      <c r="L17" s="54" t="s">
        <v>878</v>
      </c>
      <c r="M17" s="71">
        <v>1.0037043646131596</v>
      </c>
      <c r="N17" s="72">
        <v>8229.3017578125</v>
      </c>
      <c r="O17" s="72">
        <v>8306.4111328125</v>
      </c>
      <c r="P17" s="73"/>
      <c r="Q17" s="74"/>
      <c r="R17" s="74"/>
      <c r="S17" s="101"/>
      <c r="T17" s="35">
        <v>0</v>
      </c>
      <c r="U17" s="35">
        <v>5</v>
      </c>
      <c r="V17" s="36">
        <v>20</v>
      </c>
      <c r="W17" s="36">
        <v>0.078125</v>
      </c>
      <c r="X17" s="36">
        <v>0</v>
      </c>
      <c r="Y17" s="36">
        <v>0.023412</v>
      </c>
      <c r="Z17" s="36">
        <v>0</v>
      </c>
      <c r="AA17" s="36">
        <v>0</v>
      </c>
      <c r="AB17" s="69">
        <v>17</v>
      </c>
      <c r="AC17" s="69"/>
      <c r="AD17" s="70"/>
      <c r="AE17" t="s">
        <v>879</v>
      </c>
      <c r="AF17">
        <v>285</v>
      </c>
      <c r="AG17">
        <v>58</v>
      </c>
      <c r="AH17">
        <v>469</v>
      </c>
      <c r="AK17" t="s">
        <v>880</v>
      </c>
      <c r="AO17" s="50">
        <v>43928.47638888889</v>
      </c>
      <c r="AQ17" t="b">
        <v>1</v>
      </c>
      <c r="AR17" t="b">
        <v>0</v>
      </c>
      <c r="AU17">
        <v>1</v>
      </c>
      <c r="AW17" t="b">
        <v>0</v>
      </c>
      <c r="AX17" t="s">
        <v>789</v>
      </c>
      <c r="AY17" s="85" t="str">
        <f>HYPERLINK("https://twitter.com/jeremyl72410226")</f>
        <v>https://twitter.com/jeremyl72410226</v>
      </c>
      <c r="AZ17" s="81" t="s">
        <v>588</v>
      </c>
      <c r="BA17" s="35"/>
      <c r="BB17" s="35"/>
      <c r="BC17" s="35"/>
      <c r="BD17" s="35"/>
      <c r="BE17" s="35"/>
      <c r="BF17" s="35"/>
      <c r="BG17" s="65" t="s">
        <v>881</v>
      </c>
      <c r="BH17" s="65" t="s">
        <v>881</v>
      </c>
      <c r="BI17" s="65" t="s">
        <v>882</v>
      </c>
      <c r="BJ17" s="65" t="s">
        <v>882</v>
      </c>
      <c r="BK17" s="35"/>
      <c r="BL17" s="36"/>
      <c r="BM17" s="35"/>
      <c r="BN17" s="36"/>
      <c r="BO17" s="35"/>
      <c r="BP17" s="36"/>
      <c r="BQ17" s="35">
        <v>10</v>
      </c>
      <c r="BR17" s="36">
        <v>100</v>
      </c>
      <c r="BS17" s="35">
        <v>10</v>
      </c>
      <c r="BT17" s="125" t="str">
        <f>REPLACE(INDEX(GroupVertices[Group],MATCH(Vertices[[#This Row],[Vertex]],GroupVertices[Vertex],0)),1,1,"")</f>
        <v>5</v>
      </c>
      <c r="BU17" s="98" t="s">
        <v>207</v>
      </c>
      <c r="BV17" s="35">
        <v>0</v>
      </c>
      <c r="BW17" s="36">
        <v>0</v>
      </c>
      <c r="BX17" s="35">
        <v>0</v>
      </c>
      <c r="BY17" s="36">
        <v>0</v>
      </c>
      <c r="BZ17" s="35">
        <v>0</v>
      </c>
      <c r="CA17" s="36">
        <v>0</v>
      </c>
      <c r="CB17" s="82"/>
      <c r="DI17">
        <v>230</v>
      </c>
      <c r="DJ17">
        <v>2</v>
      </c>
      <c r="DK17" t="b">
        <v>0</v>
      </c>
      <c r="DN17" t="b">
        <v>0</v>
      </c>
      <c r="DO17" t="b">
        <v>1</v>
      </c>
      <c r="DP17" t="b">
        <v>1</v>
      </c>
      <c r="DQ17" t="b">
        <v>0</v>
      </c>
      <c r="DR17" t="b">
        <v>0</v>
      </c>
      <c r="DT17" t="s">
        <v>797</v>
      </c>
      <c r="DU17" t="b">
        <v>0</v>
      </c>
    </row>
    <row r="18" spans="1:125" ht="41.45" customHeight="1">
      <c r="A18" s="49" t="s">
        <v>200</v>
      </c>
      <c r="C18" s="60"/>
      <c r="D18" s="60" t="s">
        <v>785</v>
      </c>
      <c r="E18" s="66">
        <v>1000</v>
      </c>
      <c r="F18" s="67">
        <v>84.81157487265328</v>
      </c>
      <c r="G18" s="53" t="str">
        <f>HYPERLINK("https://pbs.twimg.com/profile_images/1427292844612595720/RC1YSvuT_normal.jpg")</f>
        <v>https://pbs.twimg.com/profile_images/1427292844612595720/RC1YSvuT_normal.jpg</v>
      </c>
      <c r="H18" s="60"/>
      <c r="I18" s="54" t="s">
        <v>200</v>
      </c>
      <c r="J18" s="68"/>
      <c r="K18" s="68"/>
      <c r="L18" s="54" t="s">
        <v>883</v>
      </c>
      <c r="M18" s="71">
        <v>5062.795814107082</v>
      </c>
      <c r="N18" s="72">
        <v>6994.185546875</v>
      </c>
      <c r="O18" s="72">
        <v>8898.4052734375</v>
      </c>
      <c r="P18" s="73"/>
      <c r="Q18" s="74"/>
      <c r="R18" s="74"/>
      <c r="S18" s="101"/>
      <c r="T18" s="35">
        <v>1</v>
      </c>
      <c r="U18" s="35">
        <v>0</v>
      </c>
      <c r="V18" s="36">
        <v>0</v>
      </c>
      <c r="W18" s="36">
        <v>0.043403</v>
      </c>
      <c r="X18" s="36">
        <v>0</v>
      </c>
      <c r="Y18" s="36">
        <v>0.013779</v>
      </c>
      <c r="Z18" s="36">
        <v>0</v>
      </c>
      <c r="AA18" s="36">
        <v>0</v>
      </c>
      <c r="AB18" s="69">
        <v>18</v>
      </c>
      <c r="AC18" s="69"/>
      <c r="AD18" s="70"/>
      <c r="AE18" t="s">
        <v>884</v>
      </c>
      <c r="AF18">
        <v>1180</v>
      </c>
      <c r="AG18">
        <v>79253580</v>
      </c>
      <c r="AH18">
        <v>56428</v>
      </c>
      <c r="AK18" t="s">
        <v>885</v>
      </c>
      <c r="AL18" t="s">
        <v>886</v>
      </c>
      <c r="AO18" s="50">
        <v>39399.90539351852</v>
      </c>
      <c r="AP18" s="85" t="str">
        <f>HYPERLINK("https://pbs.twimg.com/profile_banners/10228272/1694202402")</f>
        <v>https://pbs.twimg.com/profile_banners/10228272/1694202402</v>
      </c>
      <c r="AQ18" t="b">
        <v>0</v>
      </c>
      <c r="AR18" t="b">
        <v>0</v>
      </c>
      <c r="AU18">
        <v>79877</v>
      </c>
      <c r="AW18" t="b">
        <v>0</v>
      </c>
      <c r="AX18" t="s">
        <v>789</v>
      </c>
      <c r="AY18" s="85" t="str">
        <f>HYPERLINK("https://twitter.com/youtube")</f>
        <v>https://twitter.com/youtube</v>
      </c>
      <c r="AZ18" s="81" t="s">
        <v>137</v>
      </c>
      <c r="BA18" s="35"/>
      <c r="BB18" s="35"/>
      <c r="BC18" s="35"/>
      <c r="BD18" s="35"/>
      <c r="BE18" s="35"/>
      <c r="BF18" s="35"/>
      <c r="BG18" s="35"/>
      <c r="BH18" s="35"/>
      <c r="BI18" s="35"/>
      <c r="BJ18" s="35"/>
      <c r="BK18" s="35"/>
      <c r="BL18" s="36"/>
      <c r="BM18" s="35"/>
      <c r="BN18" s="36"/>
      <c r="BO18" s="35"/>
      <c r="BP18" s="36"/>
      <c r="BQ18" s="35"/>
      <c r="BR18" s="36"/>
      <c r="BS18" s="35"/>
      <c r="BT18" s="125" t="str">
        <f>REPLACE(INDEX(GroupVertices[Group],MATCH(Vertices[[#This Row],[Vertex]],GroupVertices[Vertex],0)),1,1,"")</f>
        <v>5</v>
      </c>
      <c r="BU18" s="98" t="s">
        <v>887</v>
      </c>
      <c r="BV18" s="35"/>
      <c r="BW18" s="36"/>
      <c r="BX18" s="35"/>
      <c r="BY18" s="36"/>
      <c r="BZ18" s="35"/>
      <c r="CA18" s="36"/>
      <c r="CB18" s="82"/>
      <c r="CD18" s="85" t="str">
        <f>HYPERLINK("https://t.co/bUisN3Y1A6")</f>
        <v>https://t.co/bUisN3Y1A6</v>
      </c>
      <c r="CE18" s="85" t="str">
        <f>HYPERLINK("http://youtube.com")</f>
        <v>http://youtube.com</v>
      </c>
      <c r="CF18" t="s">
        <v>888</v>
      </c>
      <c r="CN18" s="85" t="str">
        <f>HYPERLINK("https://t.co/bUisN3Y1A6")</f>
        <v>https://t.co/bUisN3Y1A6</v>
      </c>
      <c r="DI18">
        <v>6182</v>
      </c>
      <c r="DJ18">
        <v>15678</v>
      </c>
      <c r="DK18" t="b">
        <v>1</v>
      </c>
      <c r="DN18" t="b">
        <v>0</v>
      </c>
      <c r="DO18" t="b">
        <v>1</v>
      </c>
      <c r="DP18" t="b">
        <v>1</v>
      </c>
      <c r="DQ18" t="b">
        <v>0</v>
      </c>
      <c r="DR18" t="b">
        <v>0</v>
      </c>
      <c r="DT18" t="s">
        <v>817</v>
      </c>
      <c r="DU18" t="b">
        <v>0</v>
      </c>
    </row>
    <row r="19" spans="1:125" ht="41.45" customHeight="1">
      <c r="A19" s="49" t="s">
        <v>208</v>
      </c>
      <c r="C19" s="60"/>
      <c r="D19" s="60" t="s">
        <v>785</v>
      </c>
      <c r="E19" s="66">
        <v>162.00943546412142</v>
      </c>
      <c r="F19" s="67">
        <v>99.99996550418892</v>
      </c>
      <c r="G19" s="53" t="str">
        <f>HYPERLINK("https://pbs.twimg.com/profile_images/1278380717324427264/Kjluopkn_normal.jpg")</f>
        <v>https://pbs.twimg.com/profile_images/1278380717324427264/Kjluopkn_normal.jpg</v>
      </c>
      <c r="H19" s="60"/>
      <c r="I19" s="54" t="s">
        <v>208</v>
      </c>
      <c r="J19" s="68"/>
      <c r="K19" s="68"/>
      <c r="L19" s="54" t="s">
        <v>889</v>
      </c>
      <c r="M19" s="71">
        <v>1.0114963039718745</v>
      </c>
      <c r="N19" s="72">
        <v>8473.6064453125</v>
      </c>
      <c r="O19" s="72">
        <v>9545.873046875</v>
      </c>
      <c r="P19" s="73"/>
      <c r="Q19" s="74"/>
      <c r="R19" s="74"/>
      <c r="S19" s="101"/>
      <c r="T19" s="35">
        <v>1</v>
      </c>
      <c r="U19" s="35">
        <v>0</v>
      </c>
      <c r="V19" s="36">
        <v>0</v>
      </c>
      <c r="W19" s="36">
        <v>0.043403</v>
      </c>
      <c r="X19" s="36">
        <v>0</v>
      </c>
      <c r="Y19" s="36">
        <v>0.013779</v>
      </c>
      <c r="Z19" s="36">
        <v>0</v>
      </c>
      <c r="AA19" s="36">
        <v>0</v>
      </c>
      <c r="AB19" s="69">
        <v>19</v>
      </c>
      <c r="AC19" s="69"/>
      <c r="AD19" s="70"/>
      <c r="AE19" t="s">
        <v>890</v>
      </c>
      <c r="AF19">
        <v>405</v>
      </c>
      <c r="AG19">
        <v>180</v>
      </c>
      <c r="AH19">
        <v>770</v>
      </c>
      <c r="AK19" t="s">
        <v>891</v>
      </c>
      <c r="AL19" t="s">
        <v>892</v>
      </c>
      <c r="AO19" s="50">
        <v>42007.485347222224</v>
      </c>
      <c r="AP19" s="85" t="str">
        <f>HYPERLINK("https://pbs.twimg.com/profile_banners/2957206202/1539121115")</f>
        <v>https://pbs.twimg.com/profile_banners/2957206202/1539121115</v>
      </c>
      <c r="AQ19" t="b">
        <v>1</v>
      </c>
      <c r="AR19" t="b">
        <v>0</v>
      </c>
      <c r="AU19">
        <v>2</v>
      </c>
      <c r="AW19" t="b">
        <v>0</v>
      </c>
      <c r="AX19" t="s">
        <v>789</v>
      </c>
      <c r="AY19" s="85" t="str">
        <f>HYPERLINK("https://twitter.com/wiyo4")</f>
        <v>https://twitter.com/wiyo4</v>
      </c>
      <c r="AZ19" s="81" t="s">
        <v>137</v>
      </c>
      <c r="BA19" s="35"/>
      <c r="BB19" s="35"/>
      <c r="BC19" s="35"/>
      <c r="BD19" s="35"/>
      <c r="BE19" s="35"/>
      <c r="BF19" s="35"/>
      <c r="BG19" s="35"/>
      <c r="BH19" s="35"/>
      <c r="BI19" s="35"/>
      <c r="BJ19" s="35"/>
      <c r="BK19" s="35"/>
      <c r="BL19" s="36"/>
      <c r="BM19" s="35"/>
      <c r="BN19" s="36"/>
      <c r="BO19" s="35"/>
      <c r="BP19" s="36"/>
      <c r="BQ19" s="35"/>
      <c r="BR19" s="36"/>
      <c r="BS19" s="35"/>
      <c r="BT19" s="125" t="str">
        <f>REPLACE(INDEX(GroupVertices[Group],MATCH(Vertices[[#This Row],[Vertex]],GroupVertices[Vertex],0)),1,1,"")</f>
        <v>5</v>
      </c>
      <c r="BU19" s="98" t="s">
        <v>206</v>
      </c>
      <c r="BV19" s="35"/>
      <c r="BW19" s="36"/>
      <c r="BX19" s="35"/>
      <c r="BY19" s="36"/>
      <c r="BZ19" s="35"/>
      <c r="CA19" s="36"/>
      <c r="CB19" s="82"/>
      <c r="CM19">
        <v>1.66673437338592E+18</v>
      </c>
      <c r="DI19">
        <v>1431</v>
      </c>
      <c r="DJ19">
        <v>155</v>
      </c>
      <c r="DK19" t="b">
        <v>0</v>
      </c>
      <c r="DN19" t="b">
        <v>1</v>
      </c>
      <c r="DO19" t="b">
        <v>0</v>
      </c>
      <c r="DP19" t="b">
        <v>1</v>
      </c>
      <c r="DQ19" t="b">
        <v>0</v>
      </c>
      <c r="DR19" t="b">
        <v>0</v>
      </c>
      <c r="DT19" t="s">
        <v>797</v>
      </c>
      <c r="DU19" t="b">
        <v>0</v>
      </c>
    </row>
    <row r="20" spans="1:125" ht="41.45" customHeight="1">
      <c r="A20" s="49" t="s">
        <v>209</v>
      </c>
      <c r="C20" s="60"/>
      <c r="D20" s="60" t="s">
        <v>785</v>
      </c>
      <c r="E20" s="66">
        <v>168.79264304026617</v>
      </c>
      <c r="F20" s="67">
        <v>99.97516627396166</v>
      </c>
      <c r="G20" s="53" t="str">
        <f>HYPERLINK("https://pbs.twimg.com/profile_images/1530501729539997696/snxIRoXt_normal.jpg")</f>
        <v>https://pbs.twimg.com/profile_images/1530501729539997696/snxIRoXt_normal.jpg</v>
      </c>
      <c r="H20" s="60"/>
      <c r="I20" s="54" t="s">
        <v>209</v>
      </c>
      <c r="J20" s="68"/>
      <c r="K20" s="68"/>
      <c r="L20" s="54" t="s">
        <v>893</v>
      </c>
      <c r="M20" s="71">
        <v>9.276253097707864</v>
      </c>
      <c r="N20" s="72">
        <v>8841.658203125</v>
      </c>
      <c r="O20" s="72">
        <v>7174.50927734375</v>
      </c>
      <c r="P20" s="73"/>
      <c r="Q20" s="74"/>
      <c r="R20" s="74"/>
      <c r="S20" s="101"/>
      <c r="T20" s="35">
        <v>1</v>
      </c>
      <c r="U20" s="35">
        <v>0</v>
      </c>
      <c r="V20" s="36">
        <v>0</v>
      </c>
      <c r="W20" s="36">
        <v>0.043403</v>
      </c>
      <c r="X20" s="36">
        <v>0</v>
      </c>
      <c r="Y20" s="36">
        <v>0.013779</v>
      </c>
      <c r="Z20" s="36">
        <v>0</v>
      </c>
      <c r="AA20" s="36">
        <v>0</v>
      </c>
      <c r="AB20" s="69">
        <v>20</v>
      </c>
      <c r="AC20" s="69"/>
      <c r="AD20" s="70"/>
      <c r="AE20" t="s">
        <v>894</v>
      </c>
      <c r="AF20">
        <v>2380</v>
      </c>
      <c r="AG20">
        <v>129583</v>
      </c>
      <c r="AH20">
        <v>6319</v>
      </c>
      <c r="AK20" t="s">
        <v>895</v>
      </c>
      <c r="AL20" t="s">
        <v>896</v>
      </c>
      <c r="AO20" s="50">
        <v>44591.45216435185</v>
      </c>
      <c r="AP20" s="85" t="str">
        <f>HYPERLINK("https://pbs.twimg.com/profile_banners/1487740096434831362/1653735418")</f>
        <v>https://pbs.twimg.com/profile_banners/1487740096434831362/1653735418</v>
      </c>
      <c r="AQ20" t="b">
        <v>1</v>
      </c>
      <c r="AR20" t="b">
        <v>0</v>
      </c>
      <c r="AU20">
        <v>452</v>
      </c>
      <c r="AW20" t="b">
        <v>0</v>
      </c>
      <c r="AX20" t="s">
        <v>789</v>
      </c>
      <c r="AY20" s="85" t="str">
        <f>HYPERLINK("https://twitter.com/xuemanzi8848")</f>
        <v>https://twitter.com/xuemanzi8848</v>
      </c>
      <c r="AZ20" s="81" t="s">
        <v>137</v>
      </c>
      <c r="BA20" s="35"/>
      <c r="BB20" s="35"/>
      <c r="BC20" s="35"/>
      <c r="BD20" s="35"/>
      <c r="BE20" s="35"/>
      <c r="BF20" s="35"/>
      <c r="BG20" s="35"/>
      <c r="BH20" s="35"/>
      <c r="BI20" s="35"/>
      <c r="BJ20" s="35"/>
      <c r="BK20" s="35"/>
      <c r="BL20" s="36"/>
      <c r="BM20" s="35"/>
      <c r="BN20" s="36"/>
      <c r="BO20" s="35"/>
      <c r="BP20" s="36"/>
      <c r="BQ20" s="35"/>
      <c r="BR20" s="36"/>
      <c r="BS20" s="35"/>
      <c r="BT20" s="125" t="str">
        <f>REPLACE(INDEX(GroupVertices[Group],MATCH(Vertices[[#This Row],[Vertex]],GroupVertices[Vertex],0)),1,1,"")</f>
        <v>5</v>
      </c>
      <c r="BU20" s="98" t="s">
        <v>214</v>
      </c>
      <c r="BV20" s="35"/>
      <c r="BW20" s="36"/>
      <c r="BX20" s="35"/>
      <c r="BY20" s="36"/>
      <c r="BZ20" s="35"/>
      <c r="CA20" s="36"/>
      <c r="CB20" s="82"/>
      <c r="DI20">
        <v>326</v>
      </c>
      <c r="DJ20">
        <v>827</v>
      </c>
      <c r="DK20" t="b">
        <v>0</v>
      </c>
      <c r="DN20" t="b">
        <v>1</v>
      </c>
      <c r="DO20" t="b">
        <v>1</v>
      </c>
      <c r="DP20" t="b">
        <v>1</v>
      </c>
      <c r="DQ20" t="b">
        <v>0</v>
      </c>
      <c r="DR20" t="b">
        <v>0</v>
      </c>
      <c r="DT20" t="s">
        <v>797</v>
      </c>
      <c r="DU20" t="b">
        <v>0</v>
      </c>
    </row>
    <row r="21" spans="1:125" ht="41.45" customHeight="1">
      <c r="A21" s="49" t="s">
        <v>215</v>
      </c>
      <c r="C21" s="60"/>
      <c r="D21" s="60" t="s">
        <v>785</v>
      </c>
      <c r="E21" s="66">
        <v>164.81145379271692</v>
      </c>
      <c r="F21" s="67">
        <v>99.98972139815918</v>
      </c>
      <c r="G21" s="53" t="str">
        <f>HYPERLINK("https://pbs.twimg.com/profile_images/1666228434979237889/LB3KeQ3D_normal.jpg")</f>
        <v>https://pbs.twimg.com/profile_images/1666228434979237889/LB3KeQ3D_normal.jpg</v>
      </c>
      <c r="H21" s="60"/>
      <c r="I21" s="54" t="s">
        <v>215</v>
      </c>
      <c r="J21" s="68"/>
      <c r="K21" s="68"/>
      <c r="L21" s="54" t="s">
        <v>897</v>
      </c>
      <c r="M21" s="71">
        <v>4.42551537348621</v>
      </c>
      <c r="N21" s="72">
        <v>9615.40625</v>
      </c>
      <c r="O21" s="72">
        <v>8480.447265625</v>
      </c>
      <c r="P21" s="73"/>
      <c r="Q21" s="74"/>
      <c r="R21" s="74"/>
      <c r="S21" s="101"/>
      <c r="T21" s="35">
        <v>1</v>
      </c>
      <c r="U21" s="35">
        <v>0</v>
      </c>
      <c r="V21" s="36">
        <v>0</v>
      </c>
      <c r="W21" s="36">
        <v>0.043403</v>
      </c>
      <c r="X21" s="36">
        <v>0</v>
      </c>
      <c r="Y21" s="36">
        <v>0.013779</v>
      </c>
      <c r="Z21" s="36">
        <v>0</v>
      </c>
      <c r="AA21" s="36">
        <v>0</v>
      </c>
      <c r="AB21" s="69">
        <v>21</v>
      </c>
      <c r="AC21" s="69"/>
      <c r="AD21" s="70"/>
      <c r="AE21" t="s">
        <v>898</v>
      </c>
      <c r="AF21">
        <v>25</v>
      </c>
      <c r="AG21">
        <v>53634</v>
      </c>
      <c r="AH21">
        <v>1429</v>
      </c>
      <c r="AK21" t="s">
        <v>899</v>
      </c>
      <c r="AO21" s="50">
        <v>44211.07644675926</v>
      </c>
      <c r="AP21" s="85" t="str">
        <f>HYPERLINK("https://pbs.twimg.com/profile_banners/1349896547870367747/1681563430")</f>
        <v>https://pbs.twimg.com/profile_banners/1349896547870367747/1681563430</v>
      </c>
      <c r="AQ21" t="b">
        <v>1</v>
      </c>
      <c r="AR21" t="b">
        <v>0</v>
      </c>
      <c r="AU21">
        <v>140</v>
      </c>
      <c r="AW21" t="b">
        <v>0</v>
      </c>
      <c r="AX21" t="s">
        <v>789</v>
      </c>
      <c r="AY21" s="85" t="str">
        <f>HYPERLINK("https://twitter.com/whlamei")</f>
        <v>https://twitter.com/whlamei</v>
      </c>
      <c r="AZ21" s="81" t="s">
        <v>137</v>
      </c>
      <c r="BA21" s="35"/>
      <c r="BB21" s="35"/>
      <c r="BC21" s="35"/>
      <c r="BD21" s="35"/>
      <c r="BE21" s="35"/>
      <c r="BF21" s="35"/>
      <c r="BG21" s="35"/>
      <c r="BH21" s="35"/>
      <c r="BI21" s="35"/>
      <c r="BJ21" s="35"/>
      <c r="BK21" s="35"/>
      <c r="BL21" s="36"/>
      <c r="BM21" s="35"/>
      <c r="BN21" s="36"/>
      <c r="BO21" s="35"/>
      <c r="BP21" s="36"/>
      <c r="BQ21" s="35"/>
      <c r="BR21" s="36"/>
      <c r="BS21" s="35"/>
      <c r="BT21" s="125" t="str">
        <f>REPLACE(INDEX(GroupVertices[Group],MATCH(Vertices[[#This Row],[Vertex]],GroupVertices[Vertex],0)),1,1,"")</f>
        <v>5</v>
      </c>
      <c r="BU21" s="98" t="s">
        <v>900</v>
      </c>
      <c r="BV21" s="35"/>
      <c r="BW21" s="36"/>
      <c r="BX21" s="35"/>
      <c r="BY21" s="36"/>
      <c r="BZ21" s="35"/>
      <c r="CA21" s="36"/>
      <c r="CB21" s="82"/>
      <c r="CG21" t="s">
        <v>901</v>
      </c>
      <c r="CH21" t="s">
        <v>902</v>
      </c>
      <c r="CI21" t="s">
        <v>903</v>
      </c>
      <c r="DI21">
        <v>40</v>
      </c>
      <c r="DJ21">
        <v>513</v>
      </c>
      <c r="DK21" t="b">
        <v>1</v>
      </c>
      <c r="DN21" t="b">
        <v>1</v>
      </c>
      <c r="DO21" t="b">
        <v>0</v>
      </c>
      <c r="DP21" t="b">
        <v>0</v>
      </c>
      <c r="DQ21" t="b">
        <v>0</v>
      </c>
      <c r="DR21" t="b">
        <v>0</v>
      </c>
      <c r="DT21" t="s">
        <v>797</v>
      </c>
      <c r="DU21" t="b">
        <v>0</v>
      </c>
    </row>
    <row r="22" spans="1:125" ht="41.45" customHeight="1">
      <c r="A22" s="49" t="s">
        <v>223</v>
      </c>
      <c r="C22" s="60"/>
      <c r="D22" s="60" t="s">
        <v>785</v>
      </c>
      <c r="E22" s="66">
        <v>166.87808253153676</v>
      </c>
      <c r="F22" s="67">
        <v>99.98216585731615</v>
      </c>
      <c r="G22" s="53" t="str">
        <f>HYPERLINK("https://pbs.twimg.com/profile_images/1629367617759633409/z3PhgeiX_normal.jpg")</f>
        <v>https://pbs.twimg.com/profile_images/1629367617759633409/z3PhgeiX_normal.jpg</v>
      </c>
      <c r="H22" s="60"/>
      <c r="I22" s="54" t="s">
        <v>223</v>
      </c>
      <c r="J22" s="68"/>
      <c r="K22" s="68"/>
      <c r="L22" s="54" t="s">
        <v>904</v>
      </c>
      <c r="M22" s="71">
        <v>6.943525285103727</v>
      </c>
      <c r="N22" s="72">
        <v>7221.65478515625</v>
      </c>
      <c r="O22" s="72">
        <v>7432.82080078125</v>
      </c>
      <c r="P22" s="73"/>
      <c r="Q22" s="74"/>
      <c r="R22" s="74"/>
      <c r="S22" s="101"/>
      <c r="T22" s="35">
        <v>1</v>
      </c>
      <c r="U22" s="35">
        <v>0</v>
      </c>
      <c r="V22" s="36">
        <v>0</v>
      </c>
      <c r="W22" s="36">
        <v>0.043403</v>
      </c>
      <c r="X22" s="36">
        <v>0</v>
      </c>
      <c r="Y22" s="36">
        <v>0.013779</v>
      </c>
      <c r="Z22" s="36">
        <v>0</v>
      </c>
      <c r="AA22" s="36">
        <v>0</v>
      </c>
      <c r="AB22" s="69">
        <v>22</v>
      </c>
      <c r="AC22" s="69"/>
      <c r="AD22" s="70"/>
      <c r="AE22" t="s">
        <v>905</v>
      </c>
      <c r="AF22">
        <v>81</v>
      </c>
      <c r="AG22">
        <v>93059</v>
      </c>
      <c r="AH22">
        <v>1919</v>
      </c>
      <c r="AK22" t="s">
        <v>906</v>
      </c>
      <c r="AL22" t="s">
        <v>907</v>
      </c>
      <c r="AO22" s="50">
        <v>43670.98706018519</v>
      </c>
      <c r="AP22" s="85" t="str">
        <f>HYPERLINK("https://pbs.twimg.com/profile_banners/1154174763918606339/1674848658")</f>
        <v>https://pbs.twimg.com/profile_banners/1154174763918606339/1674848658</v>
      </c>
      <c r="AQ22" t="b">
        <v>1</v>
      </c>
      <c r="AR22" t="b">
        <v>0</v>
      </c>
      <c r="AU22">
        <v>286</v>
      </c>
      <c r="AW22" t="b">
        <v>0</v>
      </c>
      <c r="AX22" t="s">
        <v>789</v>
      </c>
      <c r="AY22" s="85" t="str">
        <f>HYPERLINK("https://twitter.com/maoshen04")</f>
        <v>https://twitter.com/maoshen04</v>
      </c>
      <c r="AZ22" s="81" t="s">
        <v>137</v>
      </c>
      <c r="BA22" s="35"/>
      <c r="BB22" s="35"/>
      <c r="BC22" s="35"/>
      <c r="BD22" s="35"/>
      <c r="BE22" s="35"/>
      <c r="BF22" s="35"/>
      <c r="BG22" s="35"/>
      <c r="BH22" s="35"/>
      <c r="BI22" s="35"/>
      <c r="BJ22" s="35"/>
      <c r="BK22" s="35"/>
      <c r="BL22" s="36"/>
      <c r="BM22" s="35"/>
      <c r="BN22" s="36"/>
      <c r="BO22" s="35"/>
      <c r="BP22" s="36"/>
      <c r="BQ22" s="35"/>
      <c r="BR22" s="36"/>
      <c r="BS22" s="35"/>
      <c r="BT22" s="125" t="str">
        <f>REPLACE(INDEX(GroupVertices[Group],MATCH(Vertices[[#This Row],[Vertex]],GroupVertices[Vertex],0)),1,1,"")</f>
        <v>5</v>
      </c>
      <c r="BU22" s="98" t="s">
        <v>222</v>
      </c>
      <c r="BV22" s="35"/>
      <c r="BW22" s="36"/>
      <c r="BX22" s="35"/>
      <c r="BY22" s="36"/>
      <c r="BZ22" s="35"/>
      <c r="CA22" s="36"/>
      <c r="CB22" s="82"/>
      <c r="CD22" s="85" t="str">
        <f>HYPERLINK("https://t.co/WbubXJ2HyM")</f>
        <v>https://t.co/WbubXJ2HyM</v>
      </c>
      <c r="CE22" s="85" t="str">
        <f>HYPERLINK("https://www.youtube.com/c/maoshen")</f>
        <v>https://www.youtube.com/c/maoshen</v>
      </c>
      <c r="CF22" t="s">
        <v>908</v>
      </c>
      <c r="CG22" t="s">
        <v>909</v>
      </c>
      <c r="CH22" t="s">
        <v>910</v>
      </c>
      <c r="CI22" t="s">
        <v>911</v>
      </c>
      <c r="CM22">
        <v>1.64188940430934E+18</v>
      </c>
      <c r="CN22" s="85" t="str">
        <f>HYPERLINK("https://t.co/WbubXJ2HyM")</f>
        <v>https://t.co/WbubXJ2HyM</v>
      </c>
      <c r="DI22">
        <v>3520</v>
      </c>
      <c r="DJ22">
        <v>1016</v>
      </c>
      <c r="DK22" t="b">
        <v>1</v>
      </c>
      <c r="DN22" t="b">
        <v>1</v>
      </c>
      <c r="DO22" t="b">
        <v>0</v>
      </c>
      <c r="DP22" t="b">
        <v>1</v>
      </c>
      <c r="DQ22" t="b">
        <v>0</v>
      </c>
      <c r="DR22" t="b">
        <v>0</v>
      </c>
      <c r="DT22" t="s">
        <v>797</v>
      </c>
      <c r="DU22" t="b">
        <v>0</v>
      </c>
    </row>
    <row r="23" spans="1:125" ht="41.45" customHeight="1">
      <c r="A23" s="49" t="s">
        <v>224</v>
      </c>
      <c r="C23" s="60"/>
      <c r="D23" s="60" t="s">
        <v>785</v>
      </c>
      <c r="E23" s="66">
        <v>162.00078628867678</v>
      </c>
      <c r="F23" s="67">
        <v>99.99999712534908</v>
      </c>
      <c r="G23" s="53" t="str">
        <f>HYPERLINK("https://pbs.twimg.com/profile_images/1626252457369276422/6wPdKfFN_normal.jpg")</f>
        <v>https://pbs.twimg.com/profile_images/1626252457369276422/6wPdKfFN_normal.jpg</v>
      </c>
      <c r="H23" s="60"/>
      <c r="I23" s="54" t="s">
        <v>224</v>
      </c>
      <c r="J23" s="68"/>
      <c r="K23" s="68"/>
      <c r="L23" s="54" t="s">
        <v>912</v>
      </c>
      <c r="M23" s="71">
        <v>1.0009580253309895</v>
      </c>
      <c r="N23" s="72">
        <v>7870.05712890625</v>
      </c>
      <c r="O23" s="72">
        <v>3073.710693359375</v>
      </c>
      <c r="P23" s="73"/>
      <c r="Q23" s="74"/>
      <c r="R23" s="74"/>
      <c r="S23" s="101"/>
      <c r="T23" s="35">
        <v>1</v>
      </c>
      <c r="U23" s="35">
        <v>1</v>
      </c>
      <c r="V23" s="36">
        <v>0</v>
      </c>
      <c r="W23" s="36">
        <v>0</v>
      </c>
      <c r="X23" s="36">
        <v>0</v>
      </c>
      <c r="Y23" s="36">
        <v>0.015385</v>
      </c>
      <c r="Z23" s="36">
        <v>0</v>
      </c>
      <c r="AA23" s="36">
        <v>0</v>
      </c>
      <c r="AB23" s="69">
        <v>23</v>
      </c>
      <c r="AC23" s="69"/>
      <c r="AD23" s="70"/>
      <c r="AE23" t="s">
        <v>913</v>
      </c>
      <c r="AF23">
        <v>9</v>
      </c>
      <c r="AG23">
        <v>15</v>
      </c>
      <c r="AH23">
        <v>3</v>
      </c>
      <c r="AK23" t="s">
        <v>914</v>
      </c>
      <c r="AL23" t="s">
        <v>915</v>
      </c>
      <c r="AO23" s="50">
        <v>44088.06076388889</v>
      </c>
      <c r="AQ23" t="b">
        <v>1</v>
      </c>
      <c r="AR23" t="b">
        <v>0</v>
      </c>
      <c r="AU23">
        <v>0</v>
      </c>
      <c r="AW23" t="b">
        <v>0</v>
      </c>
      <c r="AX23" t="s">
        <v>789</v>
      </c>
      <c r="AY23" s="85" t="str">
        <f>HYPERLINK("https://twitter.com/hfaxcjqrmpttxou")</f>
        <v>https://twitter.com/hfaxcjqrmpttxou</v>
      </c>
      <c r="AZ23" s="81" t="s">
        <v>588</v>
      </c>
      <c r="BA23" s="35"/>
      <c r="BB23" s="35"/>
      <c r="BC23" s="35"/>
      <c r="BD23" s="35"/>
      <c r="BE23" s="35" t="s">
        <v>226</v>
      </c>
      <c r="BF23" s="35" t="s">
        <v>226</v>
      </c>
      <c r="BG23" s="65" t="s">
        <v>916</v>
      </c>
      <c r="BH23" s="65" t="s">
        <v>916</v>
      </c>
      <c r="BI23" s="65" t="s">
        <v>917</v>
      </c>
      <c r="BJ23" s="65" t="s">
        <v>917</v>
      </c>
      <c r="BK23" s="35"/>
      <c r="BL23" s="36"/>
      <c r="BM23" s="35"/>
      <c r="BN23" s="36"/>
      <c r="BO23" s="35"/>
      <c r="BP23" s="36"/>
      <c r="BQ23" s="35">
        <v>2</v>
      </c>
      <c r="BR23" s="36">
        <v>100</v>
      </c>
      <c r="BS23" s="35">
        <v>2</v>
      </c>
      <c r="BT23" s="125" t="str">
        <f>REPLACE(INDEX(GroupVertices[Group],MATCH(Vertices[[#This Row],[Vertex]],GroupVertices[Vertex],0)),1,1,"")</f>
        <v>14</v>
      </c>
      <c r="BU23" s="98" t="s">
        <v>232</v>
      </c>
      <c r="BV23" s="35">
        <v>0</v>
      </c>
      <c r="BW23" s="36">
        <v>0</v>
      </c>
      <c r="BX23" s="35">
        <v>0</v>
      </c>
      <c r="BY23" s="36">
        <v>0</v>
      </c>
      <c r="BZ23" s="35">
        <v>0</v>
      </c>
      <c r="CA23" s="36">
        <v>0</v>
      </c>
      <c r="CB23" s="82"/>
      <c r="DI23">
        <v>10</v>
      </c>
      <c r="DJ23">
        <v>2</v>
      </c>
      <c r="DK23" t="b">
        <v>0</v>
      </c>
      <c r="DN23" t="b">
        <v>0</v>
      </c>
      <c r="DO23" t="b">
        <v>0</v>
      </c>
      <c r="DP23" t="b">
        <v>1</v>
      </c>
      <c r="DQ23" t="b">
        <v>0</v>
      </c>
      <c r="DR23" t="b">
        <v>0</v>
      </c>
      <c r="DT23" t="s">
        <v>797</v>
      </c>
      <c r="DU23" t="b">
        <v>0</v>
      </c>
    </row>
    <row r="24" spans="1:125" ht="41.45" customHeight="1">
      <c r="A24" s="49" t="s">
        <v>233</v>
      </c>
      <c r="C24" s="60"/>
      <c r="D24" s="60" t="s">
        <v>785</v>
      </c>
      <c r="E24" s="66">
        <v>162.00204435055966</v>
      </c>
      <c r="F24" s="67">
        <v>99.9999925259076</v>
      </c>
      <c r="G24" s="53" t="str">
        <f>HYPERLINK("https://pbs.twimg.com/profile_images/1539553672966950915/OvPDjxNS_normal.jpg")</f>
        <v>https://pbs.twimg.com/profile_images/1539553672966950915/OvPDjxNS_normal.jpg</v>
      </c>
      <c r="H24" s="60"/>
      <c r="I24" s="54" t="s">
        <v>233</v>
      </c>
      <c r="J24" s="68"/>
      <c r="K24" s="68"/>
      <c r="L24" s="54" t="s">
        <v>918</v>
      </c>
      <c r="M24" s="71">
        <v>1.002490865860573</v>
      </c>
      <c r="N24" s="72">
        <v>7870.05712890625</v>
      </c>
      <c r="O24" s="72">
        <v>1755.86669921875</v>
      </c>
      <c r="P24" s="73"/>
      <c r="Q24" s="74"/>
      <c r="R24" s="74"/>
      <c r="S24" s="101"/>
      <c r="T24" s="35">
        <v>0</v>
      </c>
      <c r="U24" s="35">
        <v>1</v>
      </c>
      <c r="V24" s="36">
        <v>0</v>
      </c>
      <c r="W24" s="36">
        <v>0.015625</v>
      </c>
      <c r="X24" s="36">
        <v>0</v>
      </c>
      <c r="Y24" s="36">
        <v>0.015385</v>
      </c>
      <c r="Z24" s="36">
        <v>0</v>
      </c>
      <c r="AA24" s="36">
        <v>0</v>
      </c>
      <c r="AB24" s="69">
        <v>24</v>
      </c>
      <c r="AC24" s="69"/>
      <c r="AD24" s="70"/>
      <c r="AE24" t="s">
        <v>919</v>
      </c>
      <c r="AF24">
        <v>404</v>
      </c>
      <c r="AG24">
        <v>39</v>
      </c>
      <c r="AH24">
        <v>18</v>
      </c>
      <c r="AO24" s="50">
        <v>44734.430243055554</v>
      </c>
      <c r="AQ24" t="b">
        <v>1</v>
      </c>
      <c r="AR24" t="b">
        <v>0</v>
      </c>
      <c r="AU24">
        <v>1</v>
      </c>
      <c r="AW24" t="b">
        <v>0</v>
      </c>
      <c r="AX24" t="s">
        <v>789</v>
      </c>
      <c r="AY24" s="85" t="str">
        <f>HYPERLINK("https://twitter.com/jeremyl78036806")</f>
        <v>https://twitter.com/jeremyl78036806</v>
      </c>
      <c r="AZ24" s="81" t="s">
        <v>588</v>
      </c>
      <c r="BA24" s="35"/>
      <c r="BB24" s="35"/>
      <c r="BC24" s="35"/>
      <c r="BD24" s="35"/>
      <c r="BE24" s="35"/>
      <c r="BF24" s="35"/>
      <c r="BG24" s="65" t="s">
        <v>920</v>
      </c>
      <c r="BH24" s="65" t="s">
        <v>920</v>
      </c>
      <c r="BI24" s="65" t="s">
        <v>921</v>
      </c>
      <c r="BJ24" s="65" t="s">
        <v>921</v>
      </c>
      <c r="BK24" s="35"/>
      <c r="BL24" s="36"/>
      <c r="BM24" s="35"/>
      <c r="BN24" s="36"/>
      <c r="BO24" s="35"/>
      <c r="BP24" s="36"/>
      <c r="BQ24" s="35">
        <v>4</v>
      </c>
      <c r="BR24" s="36">
        <v>100</v>
      </c>
      <c r="BS24" s="35">
        <v>4</v>
      </c>
      <c r="BT24" s="125" t="str">
        <f>REPLACE(INDEX(GroupVertices[Group],MATCH(Vertices[[#This Row],[Vertex]],GroupVertices[Vertex],0)),1,1,"")</f>
        <v>10</v>
      </c>
      <c r="BU24" s="98" t="s">
        <v>241</v>
      </c>
      <c r="BV24" s="35">
        <v>0</v>
      </c>
      <c r="BW24" s="36">
        <v>0</v>
      </c>
      <c r="BX24" s="35">
        <v>0</v>
      </c>
      <c r="BY24" s="36">
        <v>0</v>
      </c>
      <c r="BZ24" s="35">
        <v>0</v>
      </c>
      <c r="CA24" s="36">
        <v>0</v>
      </c>
      <c r="CB24" s="82"/>
      <c r="DI24">
        <v>4032</v>
      </c>
      <c r="DJ24">
        <v>1</v>
      </c>
      <c r="DK24" t="b">
        <v>0</v>
      </c>
      <c r="DN24" t="b">
        <v>0</v>
      </c>
      <c r="DO24" t="b">
        <v>1</v>
      </c>
      <c r="DP24" t="b">
        <v>0</v>
      </c>
      <c r="DQ24" t="b">
        <v>0</v>
      </c>
      <c r="DR24" t="b">
        <v>0</v>
      </c>
      <c r="DT24" t="s">
        <v>797</v>
      </c>
      <c r="DU24" t="b">
        <v>0</v>
      </c>
    </row>
    <row r="25" spans="1:125" ht="41.45" customHeight="1">
      <c r="A25" s="49" t="s">
        <v>234</v>
      </c>
      <c r="C25" s="60"/>
      <c r="D25" s="60" t="s">
        <v>785</v>
      </c>
      <c r="E25" s="66">
        <v>165.24061015250686</v>
      </c>
      <c r="F25" s="67">
        <v>99.98815241368531</v>
      </c>
      <c r="G25" s="53" t="str">
        <f>HYPERLINK("https://pbs.twimg.com/profile_images/1684582574105272322/MddvNXRG_normal.jpg")</f>
        <v>https://pbs.twimg.com/profile_images/1684582574105272322/MddvNXRG_normal.jpg</v>
      </c>
      <c r="H25" s="60"/>
      <c r="I25" s="54" t="s">
        <v>234</v>
      </c>
      <c r="J25" s="68"/>
      <c r="K25" s="68"/>
      <c r="L25" s="54" t="s">
        <v>922</v>
      </c>
      <c r="M25" s="71">
        <v>4.948405599140303</v>
      </c>
      <c r="N25" s="72">
        <v>7870.05712890625</v>
      </c>
      <c r="O25" s="72">
        <v>887.3734741210938</v>
      </c>
      <c r="P25" s="73"/>
      <c r="Q25" s="74"/>
      <c r="R25" s="74"/>
      <c r="S25" s="101"/>
      <c r="T25" s="35">
        <v>1</v>
      </c>
      <c r="U25" s="35">
        <v>0</v>
      </c>
      <c r="V25" s="36">
        <v>0</v>
      </c>
      <c r="W25" s="36">
        <v>0.015625</v>
      </c>
      <c r="X25" s="36">
        <v>0</v>
      </c>
      <c r="Y25" s="36">
        <v>0.015385</v>
      </c>
      <c r="Z25" s="36">
        <v>0</v>
      </c>
      <c r="AA25" s="36">
        <v>0</v>
      </c>
      <c r="AB25" s="69">
        <v>25</v>
      </c>
      <c r="AC25" s="69"/>
      <c r="AD25" s="70"/>
      <c r="AE25" t="s">
        <v>923</v>
      </c>
      <c r="AF25">
        <v>18</v>
      </c>
      <c r="AG25">
        <v>61821</v>
      </c>
      <c r="AH25">
        <v>49141</v>
      </c>
      <c r="AK25" t="s">
        <v>924</v>
      </c>
      <c r="AL25" t="s">
        <v>834</v>
      </c>
      <c r="AO25" s="50">
        <v>45089.65849537037</v>
      </c>
      <c r="AP25" s="85" t="str">
        <f>HYPERLINK("https://pbs.twimg.com/profile_banners/1668283974488141826/1694209054")</f>
        <v>https://pbs.twimg.com/profile_banners/1668283974488141826/1694209054</v>
      </c>
      <c r="AQ25" t="b">
        <v>1</v>
      </c>
      <c r="AR25" t="b">
        <v>0</v>
      </c>
      <c r="AU25">
        <v>149</v>
      </c>
      <c r="AW25" t="b">
        <v>0</v>
      </c>
      <c r="AX25" t="s">
        <v>789</v>
      </c>
      <c r="AY25" s="85" t="str">
        <f>HYPERLINK("https://twitter.com/nicoleevien_")</f>
        <v>https://twitter.com/nicoleevien_</v>
      </c>
      <c r="AZ25" s="81" t="s">
        <v>137</v>
      </c>
      <c r="BA25" s="35"/>
      <c r="BB25" s="35"/>
      <c r="BC25" s="35"/>
      <c r="BD25" s="35"/>
      <c r="BE25" s="35"/>
      <c r="BF25" s="35"/>
      <c r="BG25" s="35"/>
      <c r="BH25" s="35"/>
      <c r="BI25" s="35"/>
      <c r="BJ25" s="35"/>
      <c r="BK25" s="35"/>
      <c r="BL25" s="36"/>
      <c r="BM25" s="35"/>
      <c r="BN25" s="36"/>
      <c r="BO25" s="35"/>
      <c r="BP25" s="36"/>
      <c r="BQ25" s="35"/>
      <c r="BR25" s="36"/>
      <c r="BS25" s="35"/>
      <c r="BT25" s="125" t="str">
        <f>REPLACE(INDEX(GroupVertices[Group],MATCH(Vertices[[#This Row],[Vertex]],GroupVertices[Vertex],0)),1,1,"")</f>
        <v>10</v>
      </c>
      <c r="BU25" s="98" t="s">
        <v>240</v>
      </c>
      <c r="BV25" s="35"/>
      <c r="BW25" s="36"/>
      <c r="BX25" s="35"/>
      <c r="BY25" s="36"/>
      <c r="BZ25" s="35"/>
      <c r="CA25" s="36"/>
      <c r="CB25" s="82"/>
      <c r="CD25" s="85" t="str">
        <f>HYPERLINK("https://t.co/6i4kqKDrmi")</f>
        <v>https://t.co/6i4kqKDrmi</v>
      </c>
      <c r="CE25" s="85" t="str">
        <f>HYPERLINK("https://onlyfans.com/action/trial/osekwjaedyeobwairuhmdm0dwnyue5jl")</f>
        <v>https://onlyfans.com/action/trial/osekwjaedyeobwairuhmdm0dwnyue5jl</v>
      </c>
      <c r="CF25" t="s">
        <v>925</v>
      </c>
      <c r="CM25">
        <v>1.70196381603931E+18</v>
      </c>
      <c r="CN25" s="85" t="str">
        <f>HYPERLINK("https://t.co/6i4kqKDrmi")</f>
        <v>https://t.co/6i4kqKDrmi</v>
      </c>
      <c r="DI25">
        <v>373</v>
      </c>
      <c r="DJ25">
        <v>102</v>
      </c>
      <c r="DK25" t="b">
        <v>1</v>
      </c>
      <c r="DN25" t="b">
        <v>1</v>
      </c>
      <c r="DO25" t="b">
        <v>1</v>
      </c>
      <c r="DP25" t="b">
        <v>0</v>
      </c>
      <c r="DQ25" t="b">
        <v>0</v>
      </c>
      <c r="DR25" t="b">
        <v>1</v>
      </c>
      <c r="DS25" t="s">
        <v>926</v>
      </c>
      <c r="DT25" t="s">
        <v>797</v>
      </c>
      <c r="DU25" t="b">
        <v>0</v>
      </c>
    </row>
    <row r="26" spans="1:125" ht="41.45" customHeight="1">
      <c r="A26" s="49" t="s">
        <v>242</v>
      </c>
      <c r="C26" s="60"/>
      <c r="D26" s="60" t="s">
        <v>785</v>
      </c>
      <c r="E26" s="66">
        <v>171.02785207138902</v>
      </c>
      <c r="F26" s="67">
        <v>99.96699440796073</v>
      </c>
      <c r="G26" s="53" t="str">
        <f>HYPERLINK("https://pbs.twimg.com/profile_images/1691622065470648321/y2P9nFBS_normal.jpg")</f>
        <v>https://pbs.twimg.com/profile_images/1691622065470648321/y2P9nFBS_normal.jpg</v>
      </c>
      <c r="H26" s="60"/>
      <c r="I26" s="54" t="s">
        <v>242</v>
      </c>
      <c r="J26" s="68"/>
      <c r="K26" s="68"/>
      <c r="L26" s="54" t="s">
        <v>927</v>
      </c>
      <c r="M26" s="71">
        <v>11.999663640289539</v>
      </c>
      <c r="N26" s="72">
        <v>3490.699462890625</v>
      </c>
      <c r="O26" s="72">
        <v>9054.939453125</v>
      </c>
      <c r="P26" s="73"/>
      <c r="Q26" s="74"/>
      <c r="R26" s="74"/>
      <c r="S26" s="101"/>
      <c r="T26" s="35">
        <v>2</v>
      </c>
      <c r="U26" s="35">
        <v>1</v>
      </c>
      <c r="V26" s="36">
        <v>0</v>
      </c>
      <c r="W26" s="36">
        <v>0.035156</v>
      </c>
      <c r="X26" s="36">
        <v>0</v>
      </c>
      <c r="Y26" s="36">
        <v>0.015343</v>
      </c>
      <c r="Z26" s="36">
        <v>0</v>
      </c>
      <c r="AA26" s="36">
        <v>0</v>
      </c>
      <c r="AB26" s="69">
        <v>26</v>
      </c>
      <c r="AC26" s="69"/>
      <c r="AD26" s="70"/>
      <c r="AE26" t="s">
        <v>928</v>
      </c>
      <c r="AF26">
        <v>3747</v>
      </c>
      <c r="AG26">
        <v>172224</v>
      </c>
      <c r="AH26">
        <v>6532</v>
      </c>
      <c r="AK26" t="s">
        <v>929</v>
      </c>
      <c r="AO26" s="50">
        <v>44124.068194444444</v>
      </c>
      <c r="AP26" s="85" t="str">
        <f>HYPERLINK("https://pbs.twimg.com/profile_banners/1318365628466683904/1604554913")</f>
        <v>https://pbs.twimg.com/profile_banners/1318365628466683904/1604554913</v>
      </c>
      <c r="AQ26" t="b">
        <v>1</v>
      </c>
      <c r="AR26" t="b">
        <v>0</v>
      </c>
      <c r="AU26">
        <v>921</v>
      </c>
      <c r="AW26" t="b">
        <v>0</v>
      </c>
      <c r="AX26" t="s">
        <v>789</v>
      </c>
      <c r="AY26" s="85" t="str">
        <f>HYPERLINK("https://twitter.com/rahsh33m")</f>
        <v>https://twitter.com/rahsh33m</v>
      </c>
      <c r="AZ26" s="81" t="s">
        <v>588</v>
      </c>
      <c r="BA26" s="35"/>
      <c r="BB26" s="35"/>
      <c r="BC26" s="35"/>
      <c r="BD26" s="35"/>
      <c r="BE26" s="35"/>
      <c r="BF26" s="35"/>
      <c r="BG26" s="65" t="s">
        <v>930</v>
      </c>
      <c r="BH26" s="65" t="s">
        <v>930</v>
      </c>
      <c r="BI26" s="65" t="s">
        <v>931</v>
      </c>
      <c r="BJ26" s="65" t="s">
        <v>931</v>
      </c>
      <c r="BK26" s="35"/>
      <c r="BL26" s="36"/>
      <c r="BM26" s="35"/>
      <c r="BN26" s="36"/>
      <c r="BO26" s="35"/>
      <c r="BP26" s="36"/>
      <c r="BQ26" s="35">
        <v>4</v>
      </c>
      <c r="BR26" s="36">
        <v>100</v>
      </c>
      <c r="BS26" s="35">
        <v>4</v>
      </c>
      <c r="BT26" s="125" t="str">
        <f>REPLACE(INDEX(GroupVertices[Group],MATCH(Vertices[[#This Row],[Vertex]],GroupVertices[Vertex],0)),1,1,"")</f>
        <v>3</v>
      </c>
      <c r="BU26" s="98" t="s">
        <v>249</v>
      </c>
      <c r="BV26" s="35">
        <v>0</v>
      </c>
      <c r="BW26" s="36">
        <v>0</v>
      </c>
      <c r="BX26" s="35">
        <v>0</v>
      </c>
      <c r="BY26" s="36">
        <v>0</v>
      </c>
      <c r="BZ26" s="35">
        <v>0</v>
      </c>
      <c r="CA26" s="36">
        <v>0</v>
      </c>
      <c r="CB26" s="82"/>
      <c r="DI26">
        <v>12077</v>
      </c>
      <c r="DJ26">
        <v>2033</v>
      </c>
      <c r="DK26" t="b">
        <v>1</v>
      </c>
      <c r="DN26" t="b">
        <v>1</v>
      </c>
      <c r="DO26" t="b">
        <v>1</v>
      </c>
      <c r="DP26" t="b">
        <v>1</v>
      </c>
      <c r="DQ26" t="b">
        <v>0</v>
      </c>
      <c r="DR26" t="b">
        <v>0</v>
      </c>
      <c r="DT26" t="s">
        <v>797</v>
      </c>
      <c r="DU26" t="b">
        <v>0</v>
      </c>
    </row>
    <row r="27" spans="1:125" ht="41.45" customHeight="1">
      <c r="A27" s="49" t="s">
        <v>250</v>
      </c>
      <c r="C27" s="60"/>
      <c r="D27" s="60" t="s">
        <v>785</v>
      </c>
      <c r="E27" s="66">
        <v>162.06882646884137</v>
      </c>
      <c r="F27" s="67">
        <v>99.99974837222253</v>
      </c>
      <c r="G27" s="53" t="str">
        <f>HYPERLINK("https://pbs.twimg.com/profile_images/1689674972329885696/yAjeFUKL_normal.jpg")</f>
        <v>https://pbs.twimg.com/profile_images/1689674972329885696/yAjeFUKL_normal.jpg</v>
      </c>
      <c r="H27" s="60"/>
      <c r="I27" s="54" t="s">
        <v>250</v>
      </c>
      <c r="J27" s="68"/>
      <c r="K27" s="68"/>
      <c r="L27" s="54" t="s">
        <v>932</v>
      </c>
      <c r="M27" s="71">
        <v>1.0838591506392847</v>
      </c>
      <c r="N27" s="72">
        <v>4440.53564453125</v>
      </c>
      <c r="O27" s="72">
        <v>8887.4482421875</v>
      </c>
      <c r="P27" s="73"/>
      <c r="Q27" s="74"/>
      <c r="R27" s="74"/>
      <c r="S27" s="101"/>
      <c r="T27" s="35">
        <v>1</v>
      </c>
      <c r="U27" s="35">
        <v>1</v>
      </c>
      <c r="V27" s="36">
        <v>10</v>
      </c>
      <c r="W27" s="36">
        <v>0.051136</v>
      </c>
      <c r="X27" s="36">
        <v>0</v>
      </c>
      <c r="Y27" s="36">
        <v>0.014873</v>
      </c>
      <c r="Z27" s="36">
        <v>0</v>
      </c>
      <c r="AA27" s="36">
        <v>0</v>
      </c>
      <c r="AB27" s="69">
        <v>27</v>
      </c>
      <c r="AC27" s="69"/>
      <c r="AD27" s="70"/>
      <c r="AE27" t="s">
        <v>933</v>
      </c>
      <c r="AF27">
        <v>986</v>
      </c>
      <c r="AG27">
        <v>1313</v>
      </c>
      <c r="AH27">
        <v>49398</v>
      </c>
      <c r="AK27" t="s">
        <v>934</v>
      </c>
      <c r="AL27" t="s">
        <v>935</v>
      </c>
      <c r="AO27" s="50">
        <v>44279.9759375</v>
      </c>
      <c r="AP27" s="85" t="str">
        <f>HYPERLINK("https://pbs.twimg.com/profile_banners/1374864906672091137/1638199796")</f>
        <v>https://pbs.twimg.com/profile_banners/1374864906672091137/1638199796</v>
      </c>
      <c r="AQ27" t="b">
        <v>1</v>
      </c>
      <c r="AR27" t="b">
        <v>0</v>
      </c>
      <c r="AU27">
        <v>4</v>
      </c>
      <c r="AW27" t="b">
        <v>0</v>
      </c>
      <c r="AX27" t="s">
        <v>789</v>
      </c>
      <c r="AY27" s="85" t="str">
        <f>HYPERLINK("https://twitter.com/tdflakes")</f>
        <v>https://twitter.com/tdflakes</v>
      </c>
      <c r="AZ27" s="81" t="s">
        <v>588</v>
      </c>
      <c r="BA27" s="35"/>
      <c r="BB27" s="35"/>
      <c r="BC27" s="35"/>
      <c r="BD27" s="35"/>
      <c r="BE27" s="35"/>
      <c r="BF27" s="35"/>
      <c r="BG27" s="65" t="s">
        <v>936</v>
      </c>
      <c r="BH27" s="65" t="s">
        <v>936</v>
      </c>
      <c r="BI27" s="65" t="s">
        <v>937</v>
      </c>
      <c r="BJ27" s="65" t="s">
        <v>937</v>
      </c>
      <c r="BK27" s="35"/>
      <c r="BL27" s="36"/>
      <c r="BM27" s="35"/>
      <c r="BN27" s="36"/>
      <c r="BO27" s="35"/>
      <c r="BP27" s="36"/>
      <c r="BQ27" s="35">
        <v>3</v>
      </c>
      <c r="BR27" s="36">
        <v>60</v>
      </c>
      <c r="BS27" s="35">
        <v>5</v>
      </c>
      <c r="BT27" s="125" t="str">
        <f>REPLACE(INDEX(GroupVertices[Group],MATCH(Vertices[[#This Row],[Vertex]],GroupVertices[Vertex],0)),1,1,"")</f>
        <v>3</v>
      </c>
      <c r="BU27" s="98" t="s">
        <v>255</v>
      </c>
      <c r="BV27" s="35">
        <v>0</v>
      </c>
      <c r="BW27" s="36">
        <v>0</v>
      </c>
      <c r="BX27" s="35">
        <v>0</v>
      </c>
      <c r="BY27" s="36">
        <v>0</v>
      </c>
      <c r="BZ27" s="35">
        <v>0</v>
      </c>
      <c r="CA27" s="36">
        <v>0</v>
      </c>
      <c r="CB27" s="82"/>
      <c r="CM27">
        <v>1.68964088322922E+18</v>
      </c>
      <c r="DI27">
        <v>38429</v>
      </c>
      <c r="DJ27">
        <v>3050</v>
      </c>
      <c r="DK27" t="b">
        <v>0</v>
      </c>
      <c r="DN27" t="b">
        <v>1</v>
      </c>
      <c r="DO27" t="b">
        <v>0</v>
      </c>
      <c r="DP27" t="b">
        <v>1</v>
      </c>
      <c r="DQ27" t="b">
        <v>0</v>
      </c>
      <c r="DR27" t="b">
        <v>0</v>
      </c>
      <c r="DT27" t="s">
        <v>797</v>
      </c>
      <c r="DU27" t="b">
        <v>0</v>
      </c>
    </row>
    <row r="28" spans="1:125" ht="41.45" customHeight="1">
      <c r="A28" s="49" t="s">
        <v>256</v>
      </c>
      <c r="C28" s="60"/>
      <c r="D28" s="60" t="s">
        <v>785</v>
      </c>
      <c r="E28" s="66">
        <v>162</v>
      </c>
      <c r="F28" s="67">
        <v>100</v>
      </c>
      <c r="G28" s="53" t="str">
        <f>HYPERLINK("https://pbs.twimg.com/profile_images/1679937749871149101/2IUyEG_L_normal.jpg")</f>
        <v>https://pbs.twimg.com/profile_images/1679937749871149101/2IUyEG_L_normal.jpg</v>
      </c>
      <c r="H28" s="60"/>
      <c r="I28" s="54" t="s">
        <v>256</v>
      </c>
      <c r="J28" s="68"/>
      <c r="K28" s="68"/>
      <c r="L28" s="54" t="s">
        <v>938</v>
      </c>
      <c r="M28" s="71">
        <v>1</v>
      </c>
      <c r="N28" s="72">
        <v>7870.05712890625</v>
      </c>
      <c r="O28" s="72">
        <v>3934.65185546875</v>
      </c>
      <c r="P28" s="73"/>
      <c r="Q28" s="74"/>
      <c r="R28" s="74"/>
      <c r="S28" s="101"/>
      <c r="T28" s="35">
        <v>1</v>
      </c>
      <c r="U28" s="35">
        <v>1</v>
      </c>
      <c r="V28" s="36">
        <v>0</v>
      </c>
      <c r="W28" s="36">
        <v>0</v>
      </c>
      <c r="X28" s="36">
        <v>0</v>
      </c>
      <c r="Y28" s="36">
        <v>0.015385</v>
      </c>
      <c r="Z28" s="36">
        <v>0</v>
      </c>
      <c r="AA28" s="36">
        <v>0</v>
      </c>
      <c r="AB28" s="69">
        <v>28</v>
      </c>
      <c r="AC28" s="69"/>
      <c r="AD28" s="70"/>
      <c r="AE28" t="s">
        <v>939</v>
      </c>
      <c r="AF28">
        <v>10</v>
      </c>
      <c r="AG28">
        <v>0</v>
      </c>
      <c r="AH28">
        <v>12</v>
      </c>
      <c r="AK28" t="s">
        <v>940</v>
      </c>
      <c r="AO28" s="50">
        <v>45121.81600694444</v>
      </c>
      <c r="AP28" s="85" t="str">
        <f>HYPERLINK("https://pbs.twimg.com/profile_banners/1679937513316597762/1689364145")</f>
        <v>https://pbs.twimg.com/profile_banners/1679937513316597762/1689364145</v>
      </c>
      <c r="AQ28" t="b">
        <v>1</v>
      </c>
      <c r="AR28" t="b">
        <v>0</v>
      </c>
      <c r="AU28">
        <v>0</v>
      </c>
      <c r="AW28" t="b">
        <v>0</v>
      </c>
      <c r="AX28" t="s">
        <v>789</v>
      </c>
      <c r="AY28" s="85" t="str">
        <f>HYPERLINK("https://twitter.com/jeremyl12866")</f>
        <v>https://twitter.com/jeremyl12866</v>
      </c>
      <c r="AZ28" s="81" t="s">
        <v>588</v>
      </c>
      <c r="BA28" s="35" t="s">
        <v>941</v>
      </c>
      <c r="BB28" s="35" t="s">
        <v>941</v>
      </c>
      <c r="BC28" s="35" t="s">
        <v>258</v>
      </c>
      <c r="BD28" s="35" t="s">
        <v>258</v>
      </c>
      <c r="BE28" s="35"/>
      <c r="BF28" s="35"/>
      <c r="BG28" s="65" t="s">
        <v>942</v>
      </c>
      <c r="BH28" s="65" t="s">
        <v>942</v>
      </c>
      <c r="BI28" s="65" t="s">
        <v>943</v>
      </c>
      <c r="BJ28" s="65" t="s">
        <v>943</v>
      </c>
      <c r="BK28" s="35"/>
      <c r="BL28" s="36"/>
      <c r="BM28" s="35"/>
      <c r="BN28" s="36"/>
      <c r="BO28" s="35"/>
      <c r="BP28" s="36"/>
      <c r="BQ28" s="35">
        <v>2</v>
      </c>
      <c r="BR28" s="36">
        <v>33.333333333333336</v>
      </c>
      <c r="BS28" s="35">
        <v>6</v>
      </c>
      <c r="BT28" s="125" t="str">
        <f>REPLACE(INDEX(GroupVertices[Group],MATCH(Vertices[[#This Row],[Vertex]],GroupVertices[Vertex],0)),1,1,"")</f>
        <v>14</v>
      </c>
      <c r="BU28" s="98" t="s">
        <v>261</v>
      </c>
      <c r="BV28" s="35">
        <v>0</v>
      </c>
      <c r="BW28" s="36">
        <v>0</v>
      </c>
      <c r="BX28" s="35">
        <v>0</v>
      </c>
      <c r="BY28" s="36">
        <v>0</v>
      </c>
      <c r="BZ28" s="35">
        <v>0</v>
      </c>
      <c r="CA28" s="36">
        <v>0</v>
      </c>
      <c r="CB28" s="82"/>
      <c r="CM28">
        <v>1.68045101956875E+18</v>
      </c>
      <c r="DI28">
        <v>36</v>
      </c>
      <c r="DJ28">
        <v>3</v>
      </c>
      <c r="DK28" t="b">
        <v>0</v>
      </c>
      <c r="DN28" t="b">
        <v>0</v>
      </c>
      <c r="DO28" t="b">
        <v>1</v>
      </c>
      <c r="DP28" t="b">
        <v>0</v>
      </c>
      <c r="DQ28" t="b">
        <v>0</v>
      </c>
      <c r="DR28" t="b">
        <v>0</v>
      </c>
      <c r="DT28" t="s">
        <v>797</v>
      </c>
      <c r="DU28" t="b">
        <v>0</v>
      </c>
    </row>
    <row r="29" spans="1:125" ht="41.45" customHeight="1">
      <c r="A29" s="49" t="s">
        <v>262</v>
      </c>
      <c r="C29" s="60"/>
      <c r="D29" s="60" t="s">
        <v>785</v>
      </c>
      <c r="E29" s="66">
        <v>162.00041935396095</v>
      </c>
      <c r="F29" s="67">
        <v>99.99999846685284</v>
      </c>
      <c r="G29" s="53" t="str">
        <f>HYPERLINK("https://pbs.twimg.com/profile_images/1513373213803544577/K_sgK4wm_normal.jpg")</f>
        <v>https://pbs.twimg.com/profile_images/1513373213803544577/K_sgK4wm_normal.jpg</v>
      </c>
      <c r="H29" s="60"/>
      <c r="I29" s="54" t="s">
        <v>262</v>
      </c>
      <c r="J29" s="68"/>
      <c r="K29" s="68"/>
      <c r="L29" s="54" t="s">
        <v>944</v>
      </c>
      <c r="M29" s="71">
        <v>1.0005109468431945</v>
      </c>
      <c r="N29" s="72">
        <v>4483.01611328125</v>
      </c>
      <c r="O29" s="72">
        <v>5241.02294921875</v>
      </c>
      <c r="P29" s="73"/>
      <c r="Q29" s="74"/>
      <c r="R29" s="74"/>
      <c r="S29" s="101"/>
      <c r="T29" s="35">
        <v>0</v>
      </c>
      <c r="U29" s="35">
        <v>5</v>
      </c>
      <c r="V29" s="36">
        <v>20</v>
      </c>
      <c r="W29" s="36">
        <v>0.078125</v>
      </c>
      <c r="X29" s="36">
        <v>0</v>
      </c>
      <c r="Y29" s="36">
        <v>0.020515</v>
      </c>
      <c r="Z29" s="36">
        <v>0</v>
      </c>
      <c r="AA29" s="36">
        <v>0</v>
      </c>
      <c r="AB29" s="69">
        <v>29</v>
      </c>
      <c r="AC29" s="69"/>
      <c r="AD29" s="70"/>
      <c r="AE29" t="s">
        <v>945</v>
      </c>
      <c r="AF29">
        <v>145</v>
      </c>
      <c r="AG29">
        <v>8</v>
      </c>
      <c r="AH29">
        <v>51</v>
      </c>
      <c r="AK29" t="s">
        <v>946</v>
      </c>
      <c r="AO29" s="50">
        <v>44662.18502314815</v>
      </c>
      <c r="AQ29" t="b">
        <v>1</v>
      </c>
      <c r="AR29" t="b">
        <v>0</v>
      </c>
      <c r="AU29">
        <v>0</v>
      </c>
      <c r="AW29" t="b">
        <v>0</v>
      </c>
      <c r="AX29" t="s">
        <v>789</v>
      </c>
      <c r="AY29" s="85" t="str">
        <f>HYPERLINK("https://twitter.com/jeremyl21457481")</f>
        <v>https://twitter.com/jeremyl21457481</v>
      </c>
      <c r="AZ29" s="81" t="s">
        <v>588</v>
      </c>
      <c r="BA29" s="35" t="s">
        <v>947</v>
      </c>
      <c r="BB29" s="35" t="s">
        <v>947</v>
      </c>
      <c r="BC29" s="35" t="s">
        <v>276</v>
      </c>
      <c r="BD29" s="35" t="s">
        <v>276</v>
      </c>
      <c r="BE29" s="35"/>
      <c r="BF29" s="35"/>
      <c r="BG29" s="65" t="s">
        <v>948</v>
      </c>
      <c r="BH29" s="65" t="s">
        <v>949</v>
      </c>
      <c r="BI29" s="65" t="s">
        <v>950</v>
      </c>
      <c r="BJ29" s="65" t="s">
        <v>950</v>
      </c>
      <c r="BK29" s="35"/>
      <c r="BL29" s="36"/>
      <c r="BM29" s="35"/>
      <c r="BN29" s="36"/>
      <c r="BO29" s="35"/>
      <c r="BP29" s="36"/>
      <c r="BQ29" s="35">
        <v>54</v>
      </c>
      <c r="BR29" s="36">
        <v>55.10204081632653</v>
      </c>
      <c r="BS29" s="35">
        <v>98</v>
      </c>
      <c r="BT29" s="125" t="str">
        <f>REPLACE(INDEX(GroupVertices[Group],MATCH(Vertices[[#This Row],[Vertex]],GroupVertices[Vertex],0)),1,1,"")</f>
        <v>4</v>
      </c>
      <c r="BU29" s="98" t="s">
        <v>269</v>
      </c>
      <c r="BV29" s="35">
        <v>0</v>
      </c>
      <c r="BW29" s="36">
        <v>0</v>
      </c>
      <c r="BX29" s="35">
        <v>0</v>
      </c>
      <c r="BY29" s="36">
        <v>0</v>
      </c>
      <c r="BZ29" s="35">
        <v>0</v>
      </c>
      <c r="CA29" s="36">
        <v>0</v>
      </c>
      <c r="CB29" s="82"/>
      <c r="DI29">
        <v>165</v>
      </c>
      <c r="DJ29">
        <v>1</v>
      </c>
      <c r="DK29" t="b">
        <v>0</v>
      </c>
      <c r="DN29" t="b">
        <v>0</v>
      </c>
      <c r="DO29" t="b">
        <v>1</v>
      </c>
      <c r="DP29" t="b">
        <v>0</v>
      </c>
      <c r="DQ29" t="b">
        <v>0</v>
      </c>
      <c r="DR29" t="b">
        <v>0</v>
      </c>
      <c r="DT29" t="s">
        <v>797</v>
      </c>
      <c r="DU29" t="b">
        <v>0</v>
      </c>
    </row>
    <row r="30" spans="1:125" ht="41.45" customHeight="1">
      <c r="A30" s="49" t="s">
        <v>263</v>
      </c>
      <c r="C30" s="60"/>
      <c r="D30" s="60" t="s">
        <v>785</v>
      </c>
      <c r="E30" s="66">
        <v>169.45564165253234</v>
      </c>
      <c r="F30" s="67">
        <v>99.97274236830327</v>
      </c>
      <c r="G30" s="53" t="str">
        <f>HYPERLINK("https://pbs.twimg.com/profile_images/1665349586318245891/5IOXb2c-_normal.jpg")</f>
        <v>https://pbs.twimg.com/profile_images/1665349586318245891/5IOXb2c-_normal.jpg</v>
      </c>
      <c r="H30" s="60"/>
      <c r="I30" s="54" t="s">
        <v>263</v>
      </c>
      <c r="J30" s="68"/>
      <c r="K30" s="68"/>
      <c r="L30" s="54" t="s">
        <v>951</v>
      </c>
      <c r="M30" s="71">
        <v>10.084060056798247</v>
      </c>
      <c r="N30" s="72">
        <v>3490.699462890625</v>
      </c>
      <c r="O30" s="72">
        <v>4839.32568359375</v>
      </c>
      <c r="P30" s="73"/>
      <c r="Q30" s="74"/>
      <c r="R30" s="74"/>
      <c r="S30" s="101"/>
      <c r="T30" s="35">
        <v>1</v>
      </c>
      <c r="U30" s="35">
        <v>0</v>
      </c>
      <c r="V30" s="36">
        <v>0</v>
      </c>
      <c r="W30" s="36">
        <v>0.043403</v>
      </c>
      <c r="X30" s="36">
        <v>0</v>
      </c>
      <c r="Y30" s="36">
        <v>0.013692</v>
      </c>
      <c r="Z30" s="36">
        <v>0</v>
      </c>
      <c r="AA30" s="36">
        <v>0</v>
      </c>
      <c r="AB30" s="69">
        <v>30</v>
      </c>
      <c r="AC30" s="69"/>
      <c r="AD30" s="70"/>
      <c r="AE30" t="s">
        <v>952</v>
      </c>
      <c r="AF30">
        <v>1</v>
      </c>
      <c r="AG30">
        <v>142231</v>
      </c>
      <c r="AH30">
        <v>588</v>
      </c>
      <c r="AK30" t="s">
        <v>953</v>
      </c>
      <c r="AO30" s="50">
        <v>45081.55673611111</v>
      </c>
      <c r="AP30" s="85" t="str">
        <f>HYPERLINK("https://pbs.twimg.com/profile_banners/1665347698210242567/1685885690")</f>
        <v>https://pbs.twimg.com/profile_banners/1665347698210242567/1685885690</v>
      </c>
      <c r="AQ30" t="b">
        <v>1</v>
      </c>
      <c r="AR30" t="b">
        <v>0</v>
      </c>
      <c r="AU30">
        <v>234</v>
      </c>
      <c r="AW30" t="b">
        <v>0</v>
      </c>
      <c r="AX30" t="s">
        <v>789</v>
      </c>
      <c r="AY30" s="85" t="str">
        <f>HYPERLINK("https://twitter.com/aocpresstwo")</f>
        <v>https://twitter.com/aocpresstwo</v>
      </c>
      <c r="AZ30" s="81" t="s">
        <v>137</v>
      </c>
      <c r="BA30" s="35"/>
      <c r="BB30" s="35"/>
      <c r="BC30" s="35"/>
      <c r="BD30" s="35"/>
      <c r="BE30" s="35"/>
      <c r="BF30" s="35"/>
      <c r="BG30" s="35"/>
      <c r="BH30" s="35"/>
      <c r="BI30" s="35"/>
      <c r="BJ30" s="35"/>
      <c r="BK30" s="35"/>
      <c r="BL30" s="36"/>
      <c r="BM30" s="35"/>
      <c r="BN30" s="36"/>
      <c r="BO30" s="35"/>
      <c r="BP30" s="36"/>
      <c r="BQ30" s="35"/>
      <c r="BR30" s="36"/>
      <c r="BS30" s="35"/>
      <c r="BT30" s="125" t="str">
        <f>REPLACE(INDEX(GroupVertices[Group],MATCH(Vertices[[#This Row],[Vertex]],GroupVertices[Vertex],0)),1,1,"")</f>
        <v>4</v>
      </c>
      <c r="BU30" s="98" t="s">
        <v>268</v>
      </c>
      <c r="BV30" s="35"/>
      <c r="BW30" s="36"/>
      <c r="BX30" s="35"/>
      <c r="BY30" s="36"/>
      <c r="BZ30" s="35"/>
      <c r="CA30" s="36"/>
      <c r="CB30" s="82"/>
      <c r="CM30">
        <v>1.69829367985993E+18</v>
      </c>
      <c r="DI30">
        <v>444</v>
      </c>
      <c r="DJ30">
        <v>11</v>
      </c>
      <c r="DK30" t="b">
        <v>1</v>
      </c>
      <c r="DN30" t="b">
        <v>0</v>
      </c>
      <c r="DO30" t="b">
        <v>1</v>
      </c>
      <c r="DP30" t="b">
        <v>0</v>
      </c>
      <c r="DQ30" t="b">
        <v>0</v>
      </c>
      <c r="DR30" t="b">
        <v>0</v>
      </c>
      <c r="DT30" t="s">
        <v>797</v>
      </c>
      <c r="DU30" t="b">
        <v>0</v>
      </c>
    </row>
    <row r="31" spans="1:125" ht="41.45" customHeight="1">
      <c r="A31" s="49" t="s">
        <v>274</v>
      </c>
      <c r="C31" s="60"/>
      <c r="D31" s="60" t="s">
        <v>785</v>
      </c>
      <c r="E31" s="66">
        <v>288.1392077500415</v>
      </c>
      <c r="F31" s="67">
        <v>99.53883834180783</v>
      </c>
      <c r="G31" s="53" t="str">
        <f>HYPERLINK("https://pbs.twimg.com/profile_images/1688970162316390400/sFKiZ6G9_normal.jpg")</f>
        <v>https://pbs.twimg.com/profile_images/1688970162316390400/sFKiZ6G9_normal.jpg</v>
      </c>
      <c r="H31" s="60"/>
      <c r="I31" s="54" t="s">
        <v>274</v>
      </c>
      <c r="J31" s="68"/>
      <c r="K31" s="68"/>
      <c r="L31" s="54" t="s">
        <v>954</v>
      </c>
      <c r="M31" s="71">
        <v>154.68980862017867</v>
      </c>
      <c r="N31" s="72">
        <v>5421.45263671875</v>
      </c>
      <c r="O31" s="72">
        <v>4569.544921875</v>
      </c>
      <c r="P31" s="73"/>
      <c r="Q31" s="74"/>
      <c r="R31" s="74"/>
      <c r="S31" s="101"/>
      <c r="T31" s="35">
        <v>2</v>
      </c>
      <c r="U31" s="35">
        <v>1</v>
      </c>
      <c r="V31" s="36">
        <v>0</v>
      </c>
      <c r="W31" s="36">
        <v>0.043403</v>
      </c>
      <c r="X31" s="36">
        <v>0</v>
      </c>
      <c r="Y31" s="36">
        <v>0.014803</v>
      </c>
      <c r="Z31" s="36">
        <v>0</v>
      </c>
      <c r="AA31" s="36">
        <v>0</v>
      </c>
      <c r="AB31" s="69">
        <v>31</v>
      </c>
      <c r="AC31" s="69"/>
      <c r="AD31" s="70"/>
      <c r="AE31" t="s">
        <v>955</v>
      </c>
      <c r="AF31">
        <v>449</v>
      </c>
      <c r="AG31">
        <v>2406353</v>
      </c>
      <c r="AH31">
        <v>56327</v>
      </c>
      <c r="AK31" t="s">
        <v>956</v>
      </c>
      <c r="AO31" s="50">
        <v>39962.85737268518</v>
      </c>
      <c r="AP31" s="85" t="str">
        <f>HYPERLINK("https://pbs.twimg.com/profile_banners/43403778/1691516841")</f>
        <v>https://pbs.twimg.com/profile_banners/43403778/1691516841</v>
      </c>
      <c r="AQ31" t="b">
        <v>0</v>
      </c>
      <c r="AR31" t="b">
        <v>0</v>
      </c>
      <c r="AU31">
        <v>11049</v>
      </c>
      <c r="AW31" t="b">
        <v>0</v>
      </c>
      <c r="AX31" t="s">
        <v>789</v>
      </c>
      <c r="AY31" s="85" t="str">
        <f>HYPERLINK("https://twitter.com/49ers")</f>
        <v>https://twitter.com/49ers</v>
      </c>
      <c r="AZ31" s="81" t="s">
        <v>588</v>
      </c>
      <c r="BA31" s="35" t="s">
        <v>947</v>
      </c>
      <c r="BB31" s="35" t="s">
        <v>947</v>
      </c>
      <c r="BC31" s="35" t="s">
        <v>276</v>
      </c>
      <c r="BD31" s="35" t="s">
        <v>276</v>
      </c>
      <c r="BE31" s="35"/>
      <c r="BF31" s="35"/>
      <c r="BG31" s="65" t="s">
        <v>957</v>
      </c>
      <c r="BH31" s="65" t="s">
        <v>957</v>
      </c>
      <c r="BI31" s="65" t="s">
        <v>958</v>
      </c>
      <c r="BJ31" s="65" t="s">
        <v>958</v>
      </c>
      <c r="BK31" s="35"/>
      <c r="BL31" s="36"/>
      <c r="BM31" s="35"/>
      <c r="BN31" s="36"/>
      <c r="BO31" s="35"/>
      <c r="BP31" s="36"/>
      <c r="BQ31" s="35">
        <v>9</v>
      </c>
      <c r="BR31" s="36">
        <v>60</v>
      </c>
      <c r="BS31" s="35">
        <v>15</v>
      </c>
      <c r="BT31" s="125" t="str">
        <f>REPLACE(INDEX(GroupVertices[Group],MATCH(Vertices[[#This Row],[Vertex]],GroupVertices[Vertex],0)),1,1,"")</f>
        <v>4</v>
      </c>
      <c r="BU31" s="98" t="s">
        <v>959</v>
      </c>
      <c r="BV31" s="35">
        <v>0</v>
      </c>
      <c r="BW31" s="36">
        <v>0</v>
      </c>
      <c r="BX31" s="35">
        <v>0</v>
      </c>
      <c r="BY31" s="36">
        <v>0</v>
      </c>
      <c r="BZ31" s="35">
        <v>0</v>
      </c>
      <c r="CA31" s="36">
        <v>0</v>
      </c>
      <c r="CB31" s="82"/>
      <c r="CD31" s="85" t="str">
        <f>HYPERLINK("https://t.co/fmRv5Jcmtr")</f>
        <v>https://t.co/fmRv5Jcmtr</v>
      </c>
      <c r="CE31" s="85" t="str">
        <f>HYPERLINK("http://49ers.com")</f>
        <v>http://49ers.com</v>
      </c>
      <c r="CF31" t="s">
        <v>960</v>
      </c>
      <c r="CM31">
        <v>1.70016209193445E+18</v>
      </c>
      <c r="CN31" s="85" t="str">
        <f>HYPERLINK("https://t.co/fmRv5Jcmtr")</f>
        <v>https://t.co/fmRv5Jcmtr</v>
      </c>
      <c r="DI31">
        <v>14836</v>
      </c>
      <c r="DJ31">
        <v>25675</v>
      </c>
      <c r="DK31" t="b">
        <v>1</v>
      </c>
      <c r="DN31" t="b">
        <v>1</v>
      </c>
      <c r="DO31" t="b">
        <v>1</v>
      </c>
      <c r="DP31" t="b">
        <v>1</v>
      </c>
      <c r="DQ31" t="b">
        <v>0</v>
      </c>
      <c r="DR31" t="b">
        <v>0</v>
      </c>
      <c r="DT31" t="s">
        <v>797</v>
      </c>
      <c r="DU31" t="b">
        <v>0</v>
      </c>
    </row>
    <row r="32" spans="1:125" ht="41.45" customHeight="1">
      <c r="A32" s="49" t="s">
        <v>285</v>
      </c>
      <c r="C32" s="60"/>
      <c r="D32" s="60" t="s">
        <v>785</v>
      </c>
      <c r="E32" s="66">
        <v>211.39931998852782</v>
      </c>
      <c r="F32" s="67">
        <v>99.81939737274537</v>
      </c>
      <c r="G32" s="53" t="str">
        <f>HYPERLINK("https://pbs.twimg.com/profile_images/1697299503198646273/GTnwCVUC_normal.jpg")</f>
        <v>https://pbs.twimg.com/profile_images/1697299503198646273/GTnwCVUC_normal.jpg</v>
      </c>
      <c r="H32" s="60"/>
      <c r="I32" s="54" t="s">
        <v>285</v>
      </c>
      <c r="J32" s="68"/>
      <c r="K32" s="68"/>
      <c r="L32" s="54" t="s">
        <v>961</v>
      </c>
      <c r="M32" s="71">
        <v>61.188835576393636</v>
      </c>
      <c r="N32" s="72">
        <v>3952.7158203125</v>
      </c>
      <c r="O32" s="72">
        <v>6721.38232421875</v>
      </c>
      <c r="P32" s="73"/>
      <c r="Q32" s="74"/>
      <c r="R32" s="74"/>
      <c r="S32" s="101"/>
      <c r="T32" s="35">
        <v>1</v>
      </c>
      <c r="U32" s="35">
        <v>0</v>
      </c>
      <c r="V32" s="36">
        <v>0</v>
      </c>
      <c r="W32" s="36">
        <v>0.043403</v>
      </c>
      <c r="X32" s="36">
        <v>0</v>
      </c>
      <c r="Y32" s="36">
        <v>0.013692</v>
      </c>
      <c r="Z32" s="36">
        <v>0</v>
      </c>
      <c r="AA32" s="36">
        <v>0</v>
      </c>
      <c r="AB32" s="69">
        <v>32</v>
      </c>
      <c r="AC32" s="69"/>
      <c r="AD32" s="70"/>
      <c r="AE32" t="s">
        <v>962</v>
      </c>
      <c r="AF32">
        <v>524</v>
      </c>
      <c r="AG32">
        <v>942389</v>
      </c>
      <c r="AH32">
        <v>9787</v>
      </c>
      <c r="AK32" t="s">
        <v>963</v>
      </c>
      <c r="AL32" t="s">
        <v>964</v>
      </c>
      <c r="AO32" s="50">
        <v>44300.24193287037</v>
      </c>
      <c r="AP32" s="85" t="str">
        <f>HYPERLINK("https://pbs.twimg.com/profile_banners/1382209054999646212/1685520518")</f>
        <v>https://pbs.twimg.com/profile_banners/1382209054999646212/1685520518</v>
      </c>
      <c r="AQ32" t="b">
        <v>1</v>
      </c>
      <c r="AR32" t="b">
        <v>0</v>
      </c>
      <c r="AU32">
        <v>1040</v>
      </c>
      <c r="AW32" t="b">
        <v>0</v>
      </c>
      <c r="AX32" t="s">
        <v>789</v>
      </c>
      <c r="AY32" s="85" t="str">
        <f>HYPERLINK("https://twitter.com/elonmuskaoc")</f>
        <v>https://twitter.com/elonmuskaoc</v>
      </c>
      <c r="AZ32" s="81" t="s">
        <v>137</v>
      </c>
      <c r="BA32" s="35"/>
      <c r="BB32" s="35"/>
      <c r="BC32" s="35"/>
      <c r="BD32" s="35"/>
      <c r="BE32" s="35"/>
      <c r="BF32" s="35"/>
      <c r="BG32" s="35"/>
      <c r="BH32" s="35"/>
      <c r="BI32" s="35"/>
      <c r="BJ32" s="35"/>
      <c r="BK32" s="35"/>
      <c r="BL32" s="36"/>
      <c r="BM32" s="35"/>
      <c r="BN32" s="36"/>
      <c r="BO32" s="35"/>
      <c r="BP32" s="36"/>
      <c r="BQ32" s="35"/>
      <c r="BR32" s="36"/>
      <c r="BS32" s="35"/>
      <c r="BT32" s="125" t="str">
        <f>REPLACE(INDEX(GroupVertices[Group],MATCH(Vertices[[#This Row],[Vertex]],GroupVertices[Vertex],0)),1,1,"")</f>
        <v>4</v>
      </c>
      <c r="BU32" s="98" t="s">
        <v>290</v>
      </c>
      <c r="BV32" s="35"/>
      <c r="BW32" s="36"/>
      <c r="BX32" s="35"/>
      <c r="BY32" s="36"/>
      <c r="BZ32" s="35"/>
      <c r="CA32" s="36"/>
      <c r="CB32" s="82"/>
      <c r="CM32">
        <v>1.67717122018446E+18</v>
      </c>
      <c r="DI32">
        <v>52740</v>
      </c>
      <c r="DJ32">
        <v>1106</v>
      </c>
      <c r="DK32" t="b">
        <v>1</v>
      </c>
      <c r="DN32" t="b">
        <v>1</v>
      </c>
      <c r="DO32" t="b">
        <v>1</v>
      </c>
      <c r="DP32" t="b">
        <v>1</v>
      </c>
      <c r="DQ32" t="b">
        <v>0</v>
      </c>
      <c r="DR32" t="b">
        <v>0</v>
      </c>
      <c r="DT32" t="s">
        <v>797</v>
      </c>
      <c r="DU32" t="b">
        <v>0</v>
      </c>
    </row>
    <row r="33" spans="1:125" ht="41.45" customHeight="1">
      <c r="A33" s="49" t="s">
        <v>300</v>
      </c>
      <c r="C33" s="60"/>
      <c r="D33" s="60" t="s">
        <v>785</v>
      </c>
      <c r="E33" s="66">
        <v>168.73540122459613</v>
      </c>
      <c r="F33" s="67">
        <v>99.97537554854887</v>
      </c>
      <c r="G33" s="53" t="str">
        <f>HYPERLINK("https://pbs.twimg.com/profile_images/847531820757405696/FUkQsZIP_normal.jpg")</f>
        <v>https://pbs.twimg.com/profile_images/847531820757405696/FUkQsZIP_normal.jpg</v>
      </c>
      <c r="H33" s="60"/>
      <c r="I33" s="54" t="s">
        <v>300</v>
      </c>
      <c r="J33" s="68"/>
      <c r="K33" s="68"/>
      <c r="L33" s="54" t="s">
        <v>965</v>
      </c>
      <c r="M33" s="71">
        <v>9.206508853611826</v>
      </c>
      <c r="N33" s="72">
        <v>5145.470703125</v>
      </c>
      <c r="O33" s="72">
        <v>6566.41552734375</v>
      </c>
      <c r="P33" s="73"/>
      <c r="Q33" s="74"/>
      <c r="R33" s="74"/>
      <c r="S33" s="101"/>
      <c r="T33" s="35">
        <v>2</v>
      </c>
      <c r="U33" s="35">
        <v>1</v>
      </c>
      <c r="V33" s="36">
        <v>0</v>
      </c>
      <c r="W33" s="36">
        <v>0.043403</v>
      </c>
      <c r="X33" s="36">
        <v>0</v>
      </c>
      <c r="Y33" s="36">
        <v>0.014803</v>
      </c>
      <c r="Z33" s="36">
        <v>0</v>
      </c>
      <c r="AA33" s="36">
        <v>0</v>
      </c>
      <c r="AB33" s="69">
        <v>33</v>
      </c>
      <c r="AC33" s="69"/>
      <c r="AD33" s="70"/>
      <c r="AE33" t="s">
        <v>966</v>
      </c>
      <c r="AF33">
        <v>281</v>
      </c>
      <c r="AG33">
        <v>128491</v>
      </c>
      <c r="AH33">
        <v>35564</v>
      </c>
      <c r="AK33" t="s">
        <v>967</v>
      </c>
      <c r="AO33" s="50">
        <v>40043.77230324074</v>
      </c>
      <c r="AP33" s="85" t="str">
        <f>HYPERLINK("https://pbs.twimg.com/profile_banners/66758174/1665161399")</f>
        <v>https://pbs.twimg.com/profile_banners/66758174/1665161399</v>
      </c>
      <c r="AQ33" t="b">
        <v>0</v>
      </c>
      <c r="AR33" t="b">
        <v>0</v>
      </c>
      <c r="AU33">
        <v>1287</v>
      </c>
      <c r="AW33" t="b">
        <v>0</v>
      </c>
      <c r="AX33" t="s">
        <v>789</v>
      </c>
      <c r="AY33" s="85" t="str">
        <f>HYPERLINK("https://twitter.com/nbcs49ers")</f>
        <v>https://twitter.com/nbcs49ers</v>
      </c>
      <c r="AZ33" s="81" t="s">
        <v>588</v>
      </c>
      <c r="BA33" s="35"/>
      <c r="BB33" s="35"/>
      <c r="BC33" s="35"/>
      <c r="BD33" s="35"/>
      <c r="BE33" s="35"/>
      <c r="BF33" s="35"/>
      <c r="BG33" s="65" t="s">
        <v>968</v>
      </c>
      <c r="BH33" s="65" t="s">
        <v>968</v>
      </c>
      <c r="BI33" s="65" t="s">
        <v>969</v>
      </c>
      <c r="BJ33" s="65" t="s">
        <v>969</v>
      </c>
      <c r="BK33" s="35"/>
      <c r="BL33" s="36"/>
      <c r="BM33" s="35"/>
      <c r="BN33" s="36"/>
      <c r="BO33" s="35"/>
      <c r="BP33" s="36"/>
      <c r="BQ33" s="35">
        <v>3</v>
      </c>
      <c r="BR33" s="36">
        <v>42.857142857142854</v>
      </c>
      <c r="BS33" s="35">
        <v>7</v>
      </c>
      <c r="BT33" s="125" t="str">
        <f>REPLACE(INDEX(GroupVertices[Group],MATCH(Vertices[[#This Row],[Vertex]],GroupVertices[Vertex],0)),1,1,"")</f>
        <v>4</v>
      </c>
      <c r="BU33" s="98" t="s">
        <v>970</v>
      </c>
      <c r="BV33" s="35">
        <v>0</v>
      </c>
      <c r="BW33" s="36">
        <v>0</v>
      </c>
      <c r="BX33" s="35">
        <v>0</v>
      </c>
      <c r="BY33" s="36">
        <v>0</v>
      </c>
      <c r="BZ33" s="35">
        <v>0</v>
      </c>
      <c r="CA33" s="36">
        <v>0</v>
      </c>
      <c r="CB33" s="82"/>
      <c r="CD33" s="85" t="str">
        <f>HYPERLINK("https://t.co/H4YrUAqvTw")</f>
        <v>https://t.co/H4YrUAqvTw</v>
      </c>
      <c r="CE33" s="85" t="str">
        <f>HYPERLINK("https://www.nbcsportsbayarea.com/nfl/san-francisco-49ers/")</f>
        <v>https://www.nbcsportsbayarea.com/nfl/san-francisco-49ers/</v>
      </c>
      <c r="CF33" t="s">
        <v>971</v>
      </c>
      <c r="CN33" s="85" t="str">
        <f>HYPERLINK("https://t.co/H4YrUAqvTw")</f>
        <v>https://t.co/H4YrUAqvTw</v>
      </c>
      <c r="DI33">
        <v>295</v>
      </c>
      <c r="DJ33">
        <v>16617</v>
      </c>
      <c r="DK33" t="b">
        <v>1</v>
      </c>
      <c r="DN33" t="b">
        <v>0</v>
      </c>
      <c r="DO33" t="b">
        <v>1</v>
      </c>
      <c r="DP33" t="b">
        <v>0</v>
      </c>
      <c r="DQ33" t="b">
        <v>0</v>
      </c>
      <c r="DR33" t="b">
        <v>0</v>
      </c>
      <c r="DT33" t="s">
        <v>797</v>
      </c>
      <c r="DU33" t="b">
        <v>0</v>
      </c>
    </row>
    <row r="34" spans="1:125" ht="41.45" customHeight="1">
      <c r="A34" s="49" t="s">
        <v>307</v>
      </c>
      <c r="C34" s="60"/>
      <c r="D34" s="60" t="s">
        <v>785</v>
      </c>
      <c r="E34" s="66">
        <v>163.29936824801183</v>
      </c>
      <c r="F34" s="67">
        <v>99.99524954352779</v>
      </c>
      <c r="G34" s="53" t="str">
        <f>HYPERLINK("https://pbs.twimg.com/profile_images/1009290211891691520/1Fa713gj_normal.jpg")</f>
        <v>https://pbs.twimg.com/profile_images/1009290211891691520/1Fa713gj_normal.jpg</v>
      </c>
      <c r="H34" s="60"/>
      <c r="I34" s="54" t="s">
        <v>307</v>
      </c>
      <c r="J34" s="68"/>
      <c r="K34" s="68"/>
      <c r="L34" s="54" t="s">
        <v>972</v>
      </c>
      <c r="M34" s="71">
        <v>2.5831687936379195</v>
      </c>
      <c r="N34" s="72">
        <v>4397.5810546875</v>
      </c>
      <c r="O34" s="72">
        <v>3504.18115234375</v>
      </c>
      <c r="P34" s="73"/>
      <c r="Q34" s="74"/>
      <c r="R34" s="74"/>
      <c r="S34" s="101"/>
      <c r="T34" s="35">
        <v>2</v>
      </c>
      <c r="U34" s="35">
        <v>1</v>
      </c>
      <c r="V34" s="36">
        <v>0</v>
      </c>
      <c r="W34" s="36">
        <v>0.043403</v>
      </c>
      <c r="X34" s="36">
        <v>0</v>
      </c>
      <c r="Y34" s="36">
        <v>0.014803</v>
      </c>
      <c r="Z34" s="36">
        <v>0</v>
      </c>
      <c r="AA34" s="36">
        <v>0</v>
      </c>
      <c r="AB34" s="69">
        <v>34</v>
      </c>
      <c r="AC34" s="69"/>
      <c r="AD34" s="70"/>
      <c r="AE34" t="s">
        <v>973</v>
      </c>
      <c r="AF34">
        <v>2794</v>
      </c>
      <c r="AG34">
        <v>24788</v>
      </c>
      <c r="AH34">
        <v>56039</v>
      </c>
      <c r="AK34" t="s">
        <v>974</v>
      </c>
      <c r="AL34" t="s">
        <v>975</v>
      </c>
      <c r="AO34" s="50">
        <v>40525.69945601852</v>
      </c>
      <c r="AP34" s="85" t="str">
        <f>HYPERLINK("https://pbs.twimg.com/profile_banners/226221523/1655264581")</f>
        <v>https://pbs.twimg.com/profile_banners/226221523/1655264581</v>
      </c>
      <c r="AQ34" t="b">
        <v>0</v>
      </c>
      <c r="AR34" t="b">
        <v>0</v>
      </c>
      <c r="AU34">
        <v>320</v>
      </c>
      <c r="AW34" t="b">
        <v>0</v>
      </c>
      <c r="AX34" t="s">
        <v>789</v>
      </c>
      <c r="AY34" s="85" t="str">
        <f>HYPERLINK("https://twitter.com/jl_chapman")</f>
        <v>https://twitter.com/jl_chapman</v>
      </c>
      <c r="AZ34" s="81" t="s">
        <v>588</v>
      </c>
      <c r="BA34" s="35"/>
      <c r="BB34" s="35"/>
      <c r="BC34" s="35"/>
      <c r="BD34" s="35"/>
      <c r="BE34" s="35"/>
      <c r="BF34" s="35"/>
      <c r="BG34" s="65" t="s">
        <v>976</v>
      </c>
      <c r="BH34" s="65" t="s">
        <v>976</v>
      </c>
      <c r="BI34" s="65" t="s">
        <v>977</v>
      </c>
      <c r="BJ34" s="65" t="s">
        <v>977</v>
      </c>
      <c r="BK34" s="35"/>
      <c r="BL34" s="36"/>
      <c r="BM34" s="35"/>
      <c r="BN34" s="36"/>
      <c r="BO34" s="35"/>
      <c r="BP34" s="36"/>
      <c r="BQ34" s="35">
        <v>8</v>
      </c>
      <c r="BR34" s="36">
        <v>72.72727272727273</v>
      </c>
      <c r="BS34" s="35">
        <v>11</v>
      </c>
      <c r="BT34" s="125" t="str">
        <f>REPLACE(INDEX(GroupVertices[Group],MATCH(Vertices[[#This Row],[Vertex]],GroupVertices[Vertex],0)),1,1,"")</f>
        <v>4</v>
      </c>
      <c r="BU34" s="98" t="s">
        <v>978</v>
      </c>
      <c r="BV34" s="35">
        <v>0</v>
      </c>
      <c r="BW34" s="36">
        <v>0</v>
      </c>
      <c r="BX34" s="35">
        <v>0</v>
      </c>
      <c r="BY34" s="36">
        <v>0</v>
      </c>
      <c r="BZ34" s="35">
        <v>0</v>
      </c>
      <c r="CA34" s="36">
        <v>0</v>
      </c>
      <c r="CB34" s="82"/>
      <c r="CD34" s="85" t="str">
        <f>HYPERLINK("https://t.co/Dw26Nr53cd")</f>
        <v>https://t.co/Dw26Nr53cd</v>
      </c>
      <c r="CE34" s="85" t="str">
        <f>HYPERLINK("https://the49ersrush.com/links")</f>
        <v>https://the49ersrush.com/links</v>
      </c>
      <c r="CF34" t="s">
        <v>979</v>
      </c>
      <c r="CG34" s="85" t="str">
        <f>HYPERLINK("https://t.co/PPEwgRjYzD")</f>
        <v>https://t.co/PPEwgRjYzD</v>
      </c>
      <c r="CH34" s="85" t="str">
        <f>HYPERLINK("http://The49ersRush.com")</f>
        <v>http://The49ersRush.com</v>
      </c>
      <c r="CI34" t="s">
        <v>980</v>
      </c>
      <c r="CN34" s="85" t="str">
        <f>HYPERLINK("https://t.co/Dw26Nr53cd")</f>
        <v>https://t.co/Dw26Nr53cd</v>
      </c>
      <c r="DI34">
        <v>48931</v>
      </c>
      <c r="DJ34">
        <v>15435</v>
      </c>
      <c r="DK34" t="b">
        <v>1</v>
      </c>
      <c r="DN34" t="b">
        <v>1</v>
      </c>
      <c r="DO34" t="b">
        <v>1</v>
      </c>
      <c r="DP34" t="b">
        <v>1</v>
      </c>
      <c r="DQ34" t="b">
        <v>0</v>
      </c>
      <c r="DR34" t="b">
        <v>0</v>
      </c>
      <c r="DT34" t="s">
        <v>797</v>
      </c>
      <c r="DU34" t="b">
        <v>0</v>
      </c>
    </row>
    <row r="35" spans="1:125" ht="41.45" customHeight="1">
      <c r="A35" s="49" t="s">
        <v>317</v>
      </c>
      <c r="C35" s="60"/>
      <c r="D35" s="60" t="s">
        <v>785</v>
      </c>
      <c r="E35" s="66">
        <v>162.01106046072013</v>
      </c>
      <c r="F35" s="67">
        <v>99.99995956324368</v>
      </c>
      <c r="G35" s="53" t="str">
        <f>HYPERLINK("https://pbs.twimg.com/profile_images/1673635551541428224/F1spWyZM_normal.jpg")</f>
        <v>https://pbs.twimg.com/profile_images/1673635551541428224/F1spWyZM_normal.jpg</v>
      </c>
      <c r="H35" s="60"/>
      <c r="I35" s="54" t="s">
        <v>317</v>
      </c>
      <c r="J35" s="68"/>
      <c r="K35" s="68"/>
      <c r="L35" s="54" t="s">
        <v>981</v>
      </c>
      <c r="M35" s="71">
        <v>1.0134762229892529</v>
      </c>
      <c r="N35" s="72">
        <v>2302.234130859375</v>
      </c>
      <c r="O35" s="72">
        <v>1268.0352783203125</v>
      </c>
      <c r="P35" s="73"/>
      <c r="Q35" s="74"/>
      <c r="R35" s="74"/>
      <c r="S35" s="101"/>
      <c r="T35" s="35">
        <v>1</v>
      </c>
      <c r="U35" s="35">
        <v>3</v>
      </c>
      <c r="V35" s="36">
        <v>22</v>
      </c>
      <c r="W35" s="36">
        <v>0.086538</v>
      </c>
      <c r="X35" s="36">
        <v>0.000105</v>
      </c>
      <c r="Y35" s="36">
        <v>0.016457</v>
      </c>
      <c r="Z35" s="36">
        <v>0</v>
      </c>
      <c r="AA35" s="36">
        <v>0</v>
      </c>
      <c r="AB35" s="69">
        <v>35</v>
      </c>
      <c r="AC35" s="69"/>
      <c r="AD35" s="70"/>
      <c r="AE35" t="s">
        <v>982</v>
      </c>
      <c r="AF35">
        <v>1342</v>
      </c>
      <c r="AG35">
        <v>211</v>
      </c>
      <c r="AH35">
        <v>57786</v>
      </c>
      <c r="AK35" t="s">
        <v>983</v>
      </c>
      <c r="AL35" t="s">
        <v>984</v>
      </c>
      <c r="AO35" s="50">
        <v>40925.74978009259</v>
      </c>
      <c r="AP35" s="85" t="str">
        <f>HYPERLINK("https://pbs.twimg.com/profile_banners/466698672/1687860786")</f>
        <v>https://pbs.twimg.com/profile_banners/466698672/1687860786</v>
      </c>
      <c r="AQ35" t="b">
        <v>0</v>
      </c>
      <c r="AR35" t="b">
        <v>0</v>
      </c>
      <c r="AU35">
        <v>4</v>
      </c>
      <c r="AW35" t="b">
        <v>0</v>
      </c>
      <c r="AX35" t="s">
        <v>789</v>
      </c>
      <c r="AY35" s="85" t="str">
        <f>HYPERLINK("https://twitter.com/nassimretiere")</f>
        <v>https://twitter.com/nassimretiere</v>
      </c>
      <c r="AZ35" s="81" t="s">
        <v>588</v>
      </c>
      <c r="BA35" s="35" t="s">
        <v>985</v>
      </c>
      <c r="BB35" s="35" t="s">
        <v>985</v>
      </c>
      <c r="BC35" s="35" t="s">
        <v>320</v>
      </c>
      <c r="BD35" s="35" t="s">
        <v>320</v>
      </c>
      <c r="BE35" s="35"/>
      <c r="BF35" s="35"/>
      <c r="BG35" s="65" t="s">
        <v>986</v>
      </c>
      <c r="BH35" s="65" t="s">
        <v>987</v>
      </c>
      <c r="BI35" s="65" t="s">
        <v>988</v>
      </c>
      <c r="BJ35" s="65" t="s">
        <v>989</v>
      </c>
      <c r="BK35" s="35"/>
      <c r="BL35" s="36"/>
      <c r="BM35" s="35"/>
      <c r="BN35" s="36"/>
      <c r="BO35" s="35"/>
      <c r="BP35" s="36"/>
      <c r="BQ35" s="35">
        <v>5</v>
      </c>
      <c r="BR35" s="36">
        <v>83.33333333333333</v>
      </c>
      <c r="BS35" s="35">
        <v>6</v>
      </c>
      <c r="BT35" s="125" t="str">
        <f>REPLACE(INDEX(GroupVertices[Group],MATCH(Vertices[[#This Row],[Vertex]],GroupVertices[Vertex],0)),1,1,"")</f>
        <v>2</v>
      </c>
      <c r="BU35" s="98" t="s">
        <v>990</v>
      </c>
      <c r="BV35" s="35">
        <v>0</v>
      </c>
      <c r="BW35" s="36">
        <v>0</v>
      </c>
      <c r="BX35" s="35">
        <v>0</v>
      </c>
      <c r="BY35" s="36">
        <v>0</v>
      </c>
      <c r="BZ35" s="35">
        <v>0</v>
      </c>
      <c r="CA35" s="36">
        <v>0</v>
      </c>
      <c r="CB35" s="82"/>
      <c r="CM35">
        <v>1.69954473789041E+18</v>
      </c>
      <c r="DI35">
        <v>2249</v>
      </c>
      <c r="DJ35">
        <v>14867</v>
      </c>
      <c r="DK35" t="b">
        <v>0</v>
      </c>
      <c r="DN35" t="b">
        <v>0</v>
      </c>
      <c r="DO35" t="b">
        <v>1</v>
      </c>
      <c r="DP35" t="b">
        <v>1</v>
      </c>
      <c r="DQ35" t="b">
        <v>0</v>
      </c>
      <c r="DR35" t="b">
        <v>0</v>
      </c>
      <c r="DT35" t="s">
        <v>797</v>
      </c>
      <c r="DU35" t="b">
        <v>0</v>
      </c>
    </row>
    <row r="36" spans="1:125" ht="41.45" customHeight="1">
      <c r="A36" s="49" t="s">
        <v>318</v>
      </c>
      <c r="C36" s="60"/>
      <c r="D36" s="60" t="s">
        <v>785</v>
      </c>
      <c r="E36" s="66">
        <v>163.9357378837575</v>
      </c>
      <c r="F36" s="67">
        <v>99.99292299271399</v>
      </c>
      <c r="G36" s="53" t="str">
        <f>HYPERLINK("https://pbs.twimg.com/profile_images/1331610042748051458/8NtBN_eL_normal.jpg")</f>
        <v>https://pbs.twimg.com/profile_images/1331610042748051458/8NtBN_eL_normal.jpg</v>
      </c>
      <c r="H36" s="60"/>
      <c r="I36" s="54" t="s">
        <v>318</v>
      </c>
      <c r="J36" s="68"/>
      <c r="K36" s="68"/>
      <c r="L36" s="54" t="s">
        <v>991</v>
      </c>
      <c r="M36" s="71">
        <v>3.3585306281854566</v>
      </c>
      <c r="N36" s="72">
        <v>3107.106201171875</v>
      </c>
      <c r="O36" s="72">
        <v>453.12689208984375</v>
      </c>
      <c r="P36" s="73"/>
      <c r="Q36" s="74"/>
      <c r="R36" s="74"/>
      <c r="S36" s="101"/>
      <c r="T36" s="35">
        <v>1</v>
      </c>
      <c r="U36" s="35">
        <v>0</v>
      </c>
      <c r="V36" s="36">
        <v>0</v>
      </c>
      <c r="W36" s="36">
        <v>0.060811</v>
      </c>
      <c r="X36" s="36">
        <v>3.1E-05</v>
      </c>
      <c r="Y36" s="36">
        <v>0.0139</v>
      </c>
      <c r="Z36" s="36">
        <v>0</v>
      </c>
      <c r="AA36" s="36">
        <v>0</v>
      </c>
      <c r="AB36" s="69">
        <v>36</v>
      </c>
      <c r="AC36" s="69"/>
      <c r="AD36" s="70"/>
      <c r="AE36" t="s">
        <v>992</v>
      </c>
      <c r="AF36">
        <v>38617</v>
      </c>
      <c r="AG36">
        <v>36928</v>
      </c>
      <c r="AH36">
        <v>213421</v>
      </c>
      <c r="AK36" t="s">
        <v>993</v>
      </c>
      <c r="AL36" t="s">
        <v>994</v>
      </c>
      <c r="AO36" s="50">
        <v>39935.52559027778</v>
      </c>
      <c r="AP36" s="85" t="str">
        <f>HYPERLINK("https://pbs.twimg.com/profile_banners/37188645/1678538523")</f>
        <v>https://pbs.twimg.com/profile_banners/37188645/1678538523</v>
      </c>
      <c r="AQ36" t="b">
        <v>0</v>
      </c>
      <c r="AR36" t="b">
        <v>0</v>
      </c>
      <c r="AU36">
        <v>1495</v>
      </c>
      <c r="AW36" t="b">
        <v>0</v>
      </c>
      <c r="AX36" t="s">
        <v>789</v>
      </c>
      <c r="AY36" s="85" t="str">
        <f>HYPERLINK("https://twitter.com/michaelbathurst")</f>
        <v>https://twitter.com/michaelbathurst</v>
      </c>
      <c r="AZ36" s="81" t="s">
        <v>137</v>
      </c>
      <c r="BA36" s="35"/>
      <c r="BB36" s="35"/>
      <c r="BC36" s="35"/>
      <c r="BD36" s="35"/>
      <c r="BE36" s="35"/>
      <c r="BF36" s="35"/>
      <c r="BG36" s="35"/>
      <c r="BH36" s="35"/>
      <c r="BI36" s="35"/>
      <c r="BJ36" s="35"/>
      <c r="BK36" s="35"/>
      <c r="BL36" s="36"/>
      <c r="BM36" s="35"/>
      <c r="BN36" s="36"/>
      <c r="BO36" s="35"/>
      <c r="BP36" s="36"/>
      <c r="BQ36" s="35"/>
      <c r="BR36" s="36"/>
      <c r="BS36" s="35"/>
      <c r="BT36" s="125" t="str">
        <f>REPLACE(INDEX(GroupVertices[Group],MATCH(Vertices[[#This Row],[Vertex]],GroupVertices[Vertex],0)),1,1,"")</f>
        <v>2</v>
      </c>
      <c r="BU36" s="98" t="s">
        <v>995</v>
      </c>
      <c r="BV36" s="35"/>
      <c r="BW36" s="36"/>
      <c r="BX36" s="35"/>
      <c r="BY36" s="36"/>
      <c r="BZ36" s="35"/>
      <c r="CA36" s="36"/>
      <c r="CB36" s="82"/>
      <c r="CD36" s="85" t="str">
        <f>HYPERLINK("https://t.co/MyDJSXAu2M")</f>
        <v>https://t.co/MyDJSXAu2M</v>
      </c>
      <c r="CE36" s="85" t="str">
        <f>HYPERLINK("https://www.youtube.com/channel/UCIQ7QeSM-B3khZq9cXpmckg")</f>
        <v>https://www.youtube.com/channel/UCIQ7QeSM-B3khZq9cXpmckg</v>
      </c>
      <c r="CF36" t="s">
        <v>996</v>
      </c>
      <c r="CN36" s="85" t="str">
        <f>HYPERLINK("https://t.co/MyDJSXAu2M")</f>
        <v>https://t.co/MyDJSXAu2M</v>
      </c>
      <c r="DI36">
        <v>19977</v>
      </c>
      <c r="DJ36">
        <v>16453</v>
      </c>
      <c r="DK36" t="b">
        <v>1</v>
      </c>
      <c r="DN36" t="b">
        <v>0</v>
      </c>
      <c r="DO36" t="b">
        <v>1</v>
      </c>
      <c r="DP36" t="b">
        <v>1</v>
      </c>
      <c r="DQ36" t="b">
        <v>0</v>
      </c>
      <c r="DR36" t="b">
        <v>0</v>
      </c>
      <c r="DT36" t="s">
        <v>797</v>
      </c>
      <c r="DU36" t="b">
        <v>0</v>
      </c>
    </row>
    <row r="37" spans="1:125" ht="41.45" customHeight="1">
      <c r="A37" s="49" t="s">
        <v>330</v>
      </c>
      <c r="C37" s="60"/>
      <c r="D37" s="60" t="s">
        <v>785</v>
      </c>
      <c r="E37" s="66">
        <v>162.00015725773537</v>
      </c>
      <c r="F37" s="67">
        <v>99.99999942506982</v>
      </c>
      <c r="G37" s="53" t="str">
        <f>HYPERLINK("https://pbs.twimg.com/profile_images/1411764427259584516/xDJuQ_qX_normal.jpg")</f>
        <v>https://pbs.twimg.com/profile_images/1411764427259584516/xDJuQ_qX_normal.jpg</v>
      </c>
      <c r="H37" s="60"/>
      <c r="I37" s="54" t="s">
        <v>330</v>
      </c>
      <c r="J37" s="68"/>
      <c r="K37" s="68"/>
      <c r="L37" s="54" t="s">
        <v>997</v>
      </c>
      <c r="M37" s="71">
        <v>1.0001916050661979</v>
      </c>
      <c r="N37" s="72">
        <v>8550.9345703125</v>
      </c>
      <c r="O37" s="72">
        <v>6245.59912109375</v>
      </c>
      <c r="P37" s="73"/>
      <c r="Q37" s="74"/>
      <c r="R37" s="74"/>
      <c r="S37" s="101"/>
      <c r="T37" s="35">
        <v>0</v>
      </c>
      <c r="U37" s="35">
        <v>2</v>
      </c>
      <c r="V37" s="36">
        <v>2</v>
      </c>
      <c r="W37" s="36">
        <v>0.03125</v>
      </c>
      <c r="X37" s="36">
        <v>0</v>
      </c>
      <c r="Y37" s="36">
        <v>0.017391</v>
      </c>
      <c r="Z37" s="36">
        <v>0</v>
      </c>
      <c r="AA37" s="36">
        <v>0</v>
      </c>
      <c r="AB37" s="69">
        <v>37</v>
      </c>
      <c r="AC37" s="69"/>
      <c r="AD37" s="70"/>
      <c r="AE37" t="s">
        <v>998</v>
      </c>
      <c r="AF37">
        <v>12</v>
      </c>
      <c r="AG37">
        <v>3</v>
      </c>
      <c r="AH37">
        <v>142</v>
      </c>
      <c r="AL37" t="s">
        <v>999</v>
      </c>
      <c r="AO37" s="50">
        <v>43903.2503125</v>
      </c>
      <c r="AQ37" t="b">
        <v>1</v>
      </c>
      <c r="AR37" t="b">
        <v>0</v>
      </c>
      <c r="AU37">
        <v>0</v>
      </c>
      <c r="AW37" t="b">
        <v>0</v>
      </c>
      <c r="AX37" t="s">
        <v>789</v>
      </c>
      <c r="AY37" s="85" t="str">
        <f>HYPERLINK("https://twitter.com/jeremylammert79")</f>
        <v>https://twitter.com/jeremylammert79</v>
      </c>
      <c r="AZ37" s="81" t="s">
        <v>588</v>
      </c>
      <c r="BA37" s="35"/>
      <c r="BB37" s="35"/>
      <c r="BC37" s="35"/>
      <c r="BD37" s="35"/>
      <c r="BE37" s="35"/>
      <c r="BF37" s="35"/>
      <c r="BG37" s="65" t="s">
        <v>1000</v>
      </c>
      <c r="BH37" s="65" t="s">
        <v>1000</v>
      </c>
      <c r="BI37" s="65" t="s">
        <v>1001</v>
      </c>
      <c r="BJ37" s="65" t="s">
        <v>1001</v>
      </c>
      <c r="BK37" s="35"/>
      <c r="BL37" s="36"/>
      <c r="BM37" s="35"/>
      <c r="BN37" s="36"/>
      <c r="BO37" s="35"/>
      <c r="BP37" s="36"/>
      <c r="BQ37" s="35">
        <v>12</v>
      </c>
      <c r="BR37" s="36">
        <v>70.58823529411765</v>
      </c>
      <c r="BS37" s="35">
        <v>17</v>
      </c>
      <c r="BT37" s="125" t="str">
        <f>REPLACE(INDEX(GroupVertices[Group],MATCH(Vertices[[#This Row],[Vertex]],GroupVertices[Vertex],0)),1,1,"")</f>
        <v>9</v>
      </c>
      <c r="BU37" s="98" t="s">
        <v>338</v>
      </c>
      <c r="BV37" s="35">
        <v>0</v>
      </c>
      <c r="BW37" s="36">
        <v>0</v>
      </c>
      <c r="BX37" s="35">
        <v>0</v>
      </c>
      <c r="BY37" s="36">
        <v>0</v>
      </c>
      <c r="BZ37" s="35">
        <v>0</v>
      </c>
      <c r="CA37" s="36">
        <v>0</v>
      </c>
      <c r="CB37" s="82"/>
      <c r="DI37">
        <v>1502</v>
      </c>
      <c r="DJ37">
        <v>7</v>
      </c>
      <c r="DK37" t="b">
        <v>0</v>
      </c>
      <c r="DN37" t="b">
        <v>0</v>
      </c>
      <c r="DO37" t="b">
        <v>1</v>
      </c>
      <c r="DP37" t="b">
        <v>0</v>
      </c>
      <c r="DQ37" t="b">
        <v>0</v>
      </c>
      <c r="DR37" t="b">
        <v>0</v>
      </c>
      <c r="DT37" t="s">
        <v>797</v>
      </c>
      <c r="DU37" t="b">
        <v>0</v>
      </c>
    </row>
    <row r="38" spans="1:125" ht="41.45" customHeight="1">
      <c r="A38" s="49" t="s">
        <v>331</v>
      </c>
      <c r="C38" s="60"/>
      <c r="D38" s="60" t="s">
        <v>785</v>
      </c>
      <c r="E38" s="66">
        <v>166.07098341443825</v>
      </c>
      <c r="F38" s="67">
        <v>99.98511659066708</v>
      </c>
      <c r="G38" s="53" t="str">
        <f>HYPERLINK("https://pbs.twimg.com/profile_images/1410586701848891392/_94M4pBd_normal.jpg")</f>
        <v>https://pbs.twimg.com/profile_images/1410586701848891392/_94M4pBd_normal.jpg</v>
      </c>
      <c r="H38" s="60"/>
      <c r="I38" s="54" t="s">
        <v>331</v>
      </c>
      <c r="J38" s="68"/>
      <c r="K38" s="68"/>
      <c r="L38" s="54" t="s">
        <v>1002</v>
      </c>
      <c r="M38" s="71">
        <v>5.96014421702066</v>
      </c>
      <c r="N38" s="72">
        <v>8550.9345703125</v>
      </c>
      <c r="O38" s="72">
        <v>5294.03271484375</v>
      </c>
      <c r="P38" s="73"/>
      <c r="Q38" s="74"/>
      <c r="R38" s="74"/>
      <c r="S38" s="101"/>
      <c r="T38" s="35">
        <v>1</v>
      </c>
      <c r="U38" s="35">
        <v>0</v>
      </c>
      <c r="V38" s="36">
        <v>0</v>
      </c>
      <c r="W38" s="36">
        <v>0.020833</v>
      </c>
      <c r="X38" s="36">
        <v>0</v>
      </c>
      <c r="Y38" s="36">
        <v>0.014381</v>
      </c>
      <c r="Z38" s="36">
        <v>0</v>
      </c>
      <c r="AA38" s="36">
        <v>0</v>
      </c>
      <c r="AB38" s="69">
        <v>38</v>
      </c>
      <c r="AC38" s="69"/>
      <c r="AD38" s="70"/>
      <c r="AE38" t="s">
        <v>1003</v>
      </c>
      <c r="AF38">
        <v>3888</v>
      </c>
      <c r="AG38">
        <v>77662</v>
      </c>
      <c r="AH38">
        <v>22671</v>
      </c>
      <c r="AK38" t="s">
        <v>1004</v>
      </c>
      <c r="AL38" t="s">
        <v>1005</v>
      </c>
      <c r="AO38" s="50">
        <v>40883.05425925926</v>
      </c>
      <c r="AP38" s="85" t="str">
        <f>HYPERLINK("https://pbs.twimg.com/profile_banners/429485301/1685580917")</f>
        <v>https://pbs.twimg.com/profile_banners/429485301/1685580917</v>
      </c>
      <c r="AQ38" t="b">
        <v>0</v>
      </c>
      <c r="AR38" t="b">
        <v>0</v>
      </c>
      <c r="AU38">
        <v>619</v>
      </c>
      <c r="AW38" t="b">
        <v>0</v>
      </c>
      <c r="AX38" t="s">
        <v>789</v>
      </c>
      <c r="AY38" s="85" t="str">
        <f>HYPERLINK("https://twitter.com/kattenbarge")</f>
        <v>https://twitter.com/kattenbarge</v>
      </c>
      <c r="AZ38" s="81" t="s">
        <v>137</v>
      </c>
      <c r="BA38" s="35"/>
      <c r="BB38" s="35"/>
      <c r="BC38" s="35"/>
      <c r="BD38" s="35"/>
      <c r="BE38" s="35"/>
      <c r="BF38" s="35"/>
      <c r="BG38" s="35"/>
      <c r="BH38" s="35"/>
      <c r="BI38" s="35"/>
      <c r="BJ38" s="35"/>
      <c r="BK38" s="35"/>
      <c r="BL38" s="36"/>
      <c r="BM38" s="35"/>
      <c r="BN38" s="36"/>
      <c r="BO38" s="35"/>
      <c r="BP38" s="36"/>
      <c r="BQ38" s="35"/>
      <c r="BR38" s="36"/>
      <c r="BS38" s="35"/>
      <c r="BT38" s="125" t="str">
        <f>REPLACE(INDEX(GroupVertices[Group],MATCH(Vertices[[#This Row],[Vertex]],GroupVertices[Vertex],0)),1,1,"")</f>
        <v>9</v>
      </c>
      <c r="BU38" s="98" t="s">
        <v>1006</v>
      </c>
      <c r="BV38" s="35"/>
      <c r="BW38" s="36"/>
      <c r="BX38" s="35"/>
      <c r="BY38" s="36"/>
      <c r="BZ38" s="35"/>
      <c r="CA38" s="36"/>
      <c r="CB38" s="82"/>
      <c r="CD38" s="85" t="str">
        <f>HYPERLINK("https://t.co/SYcIUtFFhH")</f>
        <v>https://t.co/SYcIUtFFhH</v>
      </c>
      <c r="CE38" s="85" t="str">
        <f>HYPERLINK("https://www.nbcnews.com/author/kat-tenbarge-ncpn1287002")</f>
        <v>https://www.nbcnews.com/author/kat-tenbarge-ncpn1287002</v>
      </c>
      <c r="CF38" t="s">
        <v>1007</v>
      </c>
      <c r="CM38">
        <v>1.69254158508539E+18</v>
      </c>
      <c r="CN38" s="85" t="str">
        <f>HYPERLINK("https://t.co/SYcIUtFFhH")</f>
        <v>https://t.co/SYcIUtFFhH</v>
      </c>
      <c r="DI38">
        <v>160089</v>
      </c>
      <c r="DJ38">
        <v>1068</v>
      </c>
      <c r="DK38" t="b">
        <v>0</v>
      </c>
      <c r="DN38" t="b">
        <v>1</v>
      </c>
      <c r="DO38" t="b">
        <v>1</v>
      </c>
      <c r="DP38" t="b">
        <v>1</v>
      </c>
      <c r="DQ38" t="b">
        <v>0</v>
      </c>
      <c r="DR38" t="b">
        <v>0</v>
      </c>
      <c r="DT38" t="s">
        <v>797</v>
      </c>
      <c r="DU38" t="b">
        <v>0</v>
      </c>
    </row>
    <row r="39" spans="1:125" ht="41.45" customHeight="1">
      <c r="A39" s="49" t="s">
        <v>339</v>
      </c>
      <c r="C39" s="60"/>
      <c r="D39" s="60" t="s">
        <v>785</v>
      </c>
      <c r="E39" s="66">
        <v>164.8470988793979</v>
      </c>
      <c r="F39" s="67">
        <v>99.98959108065065</v>
      </c>
      <c r="G39" s="53" t="str">
        <f>HYPERLINK("https://pbs.twimg.com/profile_images/1622719723539677188/jGf5wuEs_normal.jpg")</f>
        <v>https://pbs.twimg.com/profile_images/1622719723539677188/jGf5wuEs_normal.jpg</v>
      </c>
      <c r="H39" s="60"/>
      <c r="I39" s="54" t="s">
        <v>339</v>
      </c>
      <c r="J39" s="68"/>
      <c r="K39" s="68"/>
      <c r="L39" s="54" t="s">
        <v>1008</v>
      </c>
      <c r="M39" s="71">
        <v>4.468945855157736</v>
      </c>
      <c r="N39" s="72">
        <v>9260.5830078125</v>
      </c>
      <c r="O39" s="72">
        <v>6245.59912109375</v>
      </c>
      <c r="P39" s="73"/>
      <c r="Q39" s="74"/>
      <c r="R39" s="74"/>
      <c r="S39" s="101"/>
      <c r="T39" s="35">
        <v>1</v>
      </c>
      <c r="U39" s="35">
        <v>0</v>
      </c>
      <c r="V39" s="36">
        <v>0</v>
      </c>
      <c r="W39" s="36">
        <v>0.020833</v>
      </c>
      <c r="X39" s="36">
        <v>0</v>
      </c>
      <c r="Y39" s="36">
        <v>0.014381</v>
      </c>
      <c r="Z39" s="36">
        <v>0</v>
      </c>
      <c r="AA39" s="36">
        <v>0</v>
      </c>
      <c r="AB39" s="69">
        <v>39</v>
      </c>
      <c r="AC39" s="69"/>
      <c r="AD39" s="70"/>
      <c r="AE39" t="s">
        <v>1009</v>
      </c>
      <c r="AF39">
        <v>34</v>
      </c>
      <c r="AG39">
        <v>54314</v>
      </c>
      <c r="AH39">
        <v>2753</v>
      </c>
      <c r="AK39" t="s">
        <v>1010</v>
      </c>
      <c r="AL39" t="s">
        <v>1011</v>
      </c>
      <c r="AO39" s="50">
        <v>43876.48677083333</v>
      </c>
      <c r="AP39" s="85" t="str">
        <f>HYPERLINK("https://pbs.twimg.com/profile_banners/1228645328313696257/1668206790")</f>
        <v>https://pbs.twimg.com/profile_banners/1228645328313696257/1668206790</v>
      </c>
      <c r="AQ39" t="b">
        <v>1</v>
      </c>
      <c r="AR39" t="b">
        <v>0</v>
      </c>
      <c r="AU39">
        <v>47</v>
      </c>
      <c r="AW39" t="b">
        <v>0</v>
      </c>
      <c r="AX39" t="s">
        <v>789</v>
      </c>
      <c r="AY39" s="85" t="str">
        <f>HYPERLINK("https://twitter.com/the_romaarmy")</f>
        <v>https://twitter.com/the_romaarmy</v>
      </c>
      <c r="AZ39" s="81" t="s">
        <v>137</v>
      </c>
      <c r="BA39" s="35"/>
      <c r="BB39" s="35"/>
      <c r="BC39" s="35"/>
      <c r="BD39" s="35"/>
      <c r="BE39" s="35"/>
      <c r="BF39" s="35"/>
      <c r="BG39" s="35"/>
      <c r="BH39" s="35"/>
      <c r="BI39" s="35"/>
      <c r="BJ39" s="35"/>
      <c r="BK39" s="35"/>
      <c r="BL39" s="36"/>
      <c r="BM39" s="35"/>
      <c r="BN39" s="36"/>
      <c r="BO39" s="35"/>
      <c r="BP39" s="36"/>
      <c r="BQ39" s="35"/>
      <c r="BR39" s="36"/>
      <c r="BS39" s="35"/>
      <c r="BT39" s="125" t="str">
        <f>REPLACE(INDEX(GroupVertices[Group],MATCH(Vertices[[#This Row],[Vertex]],GroupVertices[Vertex],0)),1,1,"")</f>
        <v>9</v>
      </c>
      <c r="BU39" s="98" t="s">
        <v>337</v>
      </c>
      <c r="BV39" s="35"/>
      <c r="BW39" s="36"/>
      <c r="BX39" s="35"/>
      <c r="BY39" s="36"/>
      <c r="BZ39" s="35"/>
      <c r="CA39" s="36"/>
      <c r="CB39" s="82"/>
      <c r="CD39" s="85" t="str">
        <f>HYPERLINK("https://t.co/FJgSKKL0uI")</f>
        <v>https://t.co/FJgSKKL0uI</v>
      </c>
      <c r="CE39" s="85" t="str">
        <f>HYPERLINK("https://linktr.ee/Romaarmy")</f>
        <v>https://linktr.ee/Romaarmy</v>
      </c>
      <c r="CF39" t="s">
        <v>1012</v>
      </c>
      <c r="CM39">
        <v>1.69451679397573E+18</v>
      </c>
      <c r="CN39" s="85" t="str">
        <f>HYPERLINK("https://t.co/FJgSKKL0uI")</f>
        <v>https://t.co/FJgSKKL0uI</v>
      </c>
      <c r="DI39">
        <v>1434</v>
      </c>
      <c r="DJ39">
        <v>574</v>
      </c>
      <c r="DK39" t="b">
        <v>1</v>
      </c>
      <c r="DN39" t="b">
        <v>1</v>
      </c>
      <c r="DO39" t="b">
        <v>0</v>
      </c>
      <c r="DP39" t="b">
        <v>0</v>
      </c>
      <c r="DQ39" t="b">
        <v>0</v>
      </c>
      <c r="DR39" t="b">
        <v>0</v>
      </c>
      <c r="DT39" t="s">
        <v>797</v>
      </c>
      <c r="DU39" t="b">
        <v>0</v>
      </c>
    </row>
    <row r="40" spans="1:125" ht="41.45" customHeight="1">
      <c r="A40" s="49" t="s">
        <v>340</v>
      </c>
      <c r="C40" s="60"/>
      <c r="D40" s="60" t="s">
        <v>785</v>
      </c>
      <c r="E40" s="66">
        <v>223.40012954684562</v>
      </c>
      <c r="F40" s="67">
        <v>99.77552272556565</v>
      </c>
      <c r="G40" s="53" t="str">
        <f>HYPERLINK("https://pbs.twimg.com/profile_images/1691639615617437696/cossZcg5_normal.jpg")</f>
        <v>https://pbs.twimg.com/profile_images/1691639615617437696/cossZcg5_normal.jpg</v>
      </c>
      <c r="H40" s="60"/>
      <c r="I40" s="54" t="s">
        <v>340</v>
      </c>
      <c r="J40" s="68"/>
      <c r="K40" s="68"/>
      <c r="L40" s="54" t="s">
        <v>1013</v>
      </c>
      <c r="M40" s="71">
        <v>75.81079299315464</v>
      </c>
      <c r="N40" s="72">
        <v>6306.91455078125</v>
      </c>
      <c r="O40" s="72">
        <v>5294.03271484375</v>
      </c>
      <c r="P40" s="73"/>
      <c r="Q40" s="74"/>
      <c r="R40" s="74"/>
      <c r="S40" s="101"/>
      <c r="T40" s="35">
        <v>2</v>
      </c>
      <c r="U40" s="35">
        <v>1</v>
      </c>
      <c r="V40" s="36">
        <v>0</v>
      </c>
      <c r="W40" s="36">
        <v>0.028125</v>
      </c>
      <c r="X40" s="36">
        <v>0</v>
      </c>
      <c r="Y40" s="36">
        <v>0.015027</v>
      </c>
      <c r="Z40" s="36">
        <v>0</v>
      </c>
      <c r="AA40" s="36">
        <v>0</v>
      </c>
      <c r="AB40" s="69">
        <v>40</v>
      </c>
      <c r="AC40" s="69"/>
      <c r="AD40" s="70"/>
      <c r="AE40" t="s">
        <v>1014</v>
      </c>
      <c r="AF40">
        <v>530</v>
      </c>
      <c r="AG40">
        <v>1171328</v>
      </c>
      <c r="AH40">
        <v>19390</v>
      </c>
      <c r="AK40" t="s">
        <v>1015</v>
      </c>
      <c r="AL40" t="s">
        <v>1016</v>
      </c>
      <c r="AO40" s="50">
        <v>43518.405694444446</v>
      </c>
      <c r="AP40" s="85" t="str">
        <f>HYPERLINK("https://pbs.twimg.com/profile_banners/1098881129057112064/1692153180")</f>
        <v>https://pbs.twimg.com/profile_banners/1098881129057112064/1692153180</v>
      </c>
      <c r="AQ40" t="b">
        <v>1</v>
      </c>
      <c r="AR40" t="b">
        <v>0</v>
      </c>
      <c r="AU40">
        <v>650</v>
      </c>
      <c r="AW40" t="b">
        <v>0</v>
      </c>
      <c r="AX40" t="s">
        <v>789</v>
      </c>
      <c r="AY40" s="85" t="str">
        <f>HYPERLINK("https://twitter.com/bitgetglobal")</f>
        <v>https://twitter.com/bitgetglobal</v>
      </c>
      <c r="AZ40" s="81" t="s">
        <v>588</v>
      </c>
      <c r="BA40" s="35" t="s">
        <v>1017</v>
      </c>
      <c r="BB40" s="35" t="s">
        <v>1017</v>
      </c>
      <c r="BC40" s="35" t="s">
        <v>342</v>
      </c>
      <c r="BD40" s="35" t="s">
        <v>342</v>
      </c>
      <c r="BE40" s="35" t="s">
        <v>343</v>
      </c>
      <c r="BF40" s="35" t="s">
        <v>2242</v>
      </c>
      <c r="BG40" s="65" t="s">
        <v>1018</v>
      </c>
      <c r="BH40" s="65" t="s">
        <v>1018</v>
      </c>
      <c r="BI40" s="65" t="s">
        <v>1019</v>
      </c>
      <c r="BJ40" s="65" t="s">
        <v>1019</v>
      </c>
      <c r="BK40" s="35"/>
      <c r="BL40" s="36"/>
      <c r="BM40" s="35"/>
      <c r="BN40" s="36"/>
      <c r="BO40" s="35"/>
      <c r="BP40" s="36"/>
      <c r="BQ40" s="35">
        <v>21</v>
      </c>
      <c r="BR40" s="36">
        <v>72.41379310344827</v>
      </c>
      <c r="BS40" s="35">
        <v>29</v>
      </c>
      <c r="BT40" s="125" t="str">
        <f>REPLACE(INDEX(GroupVertices[Group],MATCH(Vertices[[#This Row],[Vertex]],GroupVertices[Vertex],0)),1,1,"")</f>
        <v>7</v>
      </c>
      <c r="BU40" s="98" t="s">
        <v>348</v>
      </c>
      <c r="BV40" s="35">
        <v>0</v>
      </c>
      <c r="BW40" s="36">
        <v>0</v>
      </c>
      <c r="BX40" s="35">
        <v>0</v>
      </c>
      <c r="BY40" s="36">
        <v>0</v>
      </c>
      <c r="BZ40" s="35">
        <v>0</v>
      </c>
      <c r="CA40" s="36">
        <v>0</v>
      </c>
      <c r="CB40" s="82"/>
      <c r="CD40" s="85" t="str">
        <f>HYPERLINK("https://t.co/AnfbGO7kxj")</f>
        <v>https://t.co/AnfbGO7kxj</v>
      </c>
      <c r="CE40" s="85" t="str">
        <f>HYPERLINK("https://linktr.ee/bitgettwitter")</f>
        <v>https://linktr.ee/bitgettwitter</v>
      </c>
      <c r="CF40" t="s">
        <v>1020</v>
      </c>
      <c r="CM40">
        <v>1.70141538976106E+18</v>
      </c>
      <c r="CN40" s="85" t="str">
        <f>HYPERLINK("https://t.co/AnfbGO7kxj")</f>
        <v>https://t.co/AnfbGO7kxj</v>
      </c>
      <c r="DI40">
        <v>6346</v>
      </c>
      <c r="DJ40">
        <v>5845</v>
      </c>
      <c r="DK40" t="b">
        <v>0</v>
      </c>
      <c r="DN40" t="b">
        <v>0</v>
      </c>
      <c r="DO40" t="b">
        <v>1</v>
      </c>
      <c r="DP40" t="b">
        <v>1</v>
      </c>
      <c r="DQ40" t="b">
        <v>0</v>
      </c>
      <c r="DR40" t="b">
        <v>0</v>
      </c>
      <c r="DT40" t="s">
        <v>797</v>
      </c>
      <c r="DU40" t="b">
        <v>0</v>
      </c>
    </row>
    <row r="41" spans="1:125" ht="41.45" customHeight="1">
      <c r="A41" s="49" t="s">
        <v>349</v>
      </c>
      <c r="C41" s="60"/>
      <c r="D41" s="60" t="s">
        <v>785</v>
      </c>
      <c r="E41" s="66">
        <v>162.00005241924512</v>
      </c>
      <c r="F41" s="67">
        <v>99.9999998083566</v>
      </c>
      <c r="G41" s="53" t="str">
        <f>HYPERLINK("https://pbs.twimg.com/profile_images/1684639612034244609/IM7wqm5e_normal.jpg")</f>
        <v>https://pbs.twimg.com/profile_images/1684639612034244609/IM7wqm5e_normal.jpg</v>
      </c>
      <c r="H41" s="60"/>
      <c r="I41" s="54" t="s">
        <v>349</v>
      </c>
      <c r="J41" s="68"/>
      <c r="K41" s="68"/>
      <c r="L41" s="54" t="s">
        <v>1021</v>
      </c>
      <c r="M41" s="71">
        <v>1.0000638683553993</v>
      </c>
      <c r="N41" s="72">
        <v>6306.91455078125</v>
      </c>
      <c r="O41" s="72">
        <v>6245.59912109375</v>
      </c>
      <c r="P41" s="73"/>
      <c r="Q41" s="74"/>
      <c r="R41" s="74"/>
      <c r="S41" s="101"/>
      <c r="T41" s="35">
        <v>0</v>
      </c>
      <c r="U41" s="35">
        <v>3</v>
      </c>
      <c r="V41" s="36">
        <v>6</v>
      </c>
      <c r="W41" s="36">
        <v>0.046875</v>
      </c>
      <c r="X41" s="36">
        <v>0</v>
      </c>
      <c r="Y41" s="36">
        <v>0.016458</v>
      </c>
      <c r="Z41" s="36">
        <v>0</v>
      </c>
      <c r="AA41" s="36">
        <v>0</v>
      </c>
      <c r="AB41" s="69">
        <v>41</v>
      </c>
      <c r="AC41" s="69"/>
      <c r="AD41" s="70"/>
      <c r="AE41" t="s">
        <v>1022</v>
      </c>
      <c r="AF41">
        <v>33</v>
      </c>
      <c r="AG41">
        <v>1</v>
      </c>
      <c r="AH41">
        <v>20</v>
      </c>
      <c r="AK41" t="s">
        <v>1023</v>
      </c>
      <c r="AL41" t="s">
        <v>1024</v>
      </c>
      <c r="AO41" s="50">
        <v>44687.01868055556</v>
      </c>
      <c r="AP41" s="85" t="str">
        <f>HYPERLINK("https://pbs.twimg.com/profile_banners/1522372150920843265/1690484378")</f>
        <v>https://pbs.twimg.com/profile_banners/1522372150920843265/1690484378</v>
      </c>
      <c r="AQ41" t="b">
        <v>1</v>
      </c>
      <c r="AR41" t="b">
        <v>0</v>
      </c>
      <c r="AU41">
        <v>0</v>
      </c>
      <c r="AW41" t="b">
        <v>0</v>
      </c>
      <c r="AX41" t="s">
        <v>789</v>
      </c>
      <c r="AY41" s="85" t="str">
        <f>HYPERLINK("https://twitter.com/jeremyl2p41")</f>
        <v>https://twitter.com/jeremyl2p41</v>
      </c>
      <c r="AZ41" s="81" t="s">
        <v>588</v>
      </c>
      <c r="BA41" s="35"/>
      <c r="BB41" s="35"/>
      <c r="BC41" s="35"/>
      <c r="BD41" s="35"/>
      <c r="BE41" s="35" t="s">
        <v>1025</v>
      </c>
      <c r="BF41" s="35" t="s">
        <v>2243</v>
      </c>
      <c r="BG41" s="65" t="s">
        <v>1026</v>
      </c>
      <c r="BH41" s="65" t="s">
        <v>1026</v>
      </c>
      <c r="BI41" s="65" t="s">
        <v>1027</v>
      </c>
      <c r="BJ41" s="65" t="s">
        <v>1027</v>
      </c>
      <c r="BK41" s="35"/>
      <c r="BL41" s="36"/>
      <c r="BM41" s="35"/>
      <c r="BN41" s="36"/>
      <c r="BO41" s="35"/>
      <c r="BP41" s="36"/>
      <c r="BQ41" s="35">
        <v>43</v>
      </c>
      <c r="BR41" s="36">
        <v>69.35483870967742</v>
      </c>
      <c r="BS41" s="35">
        <v>62</v>
      </c>
      <c r="BT41" s="125" t="str">
        <f>REPLACE(INDEX(GroupVertices[Group],MATCH(Vertices[[#This Row],[Vertex]],GroupVertices[Vertex],0)),1,1,"")</f>
        <v>7</v>
      </c>
      <c r="BU41" s="98" t="s">
        <v>353</v>
      </c>
      <c r="BV41" s="35">
        <v>0</v>
      </c>
      <c r="BW41" s="36">
        <v>0</v>
      </c>
      <c r="BX41" s="35">
        <v>0</v>
      </c>
      <c r="BY41" s="36">
        <v>0</v>
      </c>
      <c r="BZ41" s="35">
        <v>0</v>
      </c>
      <c r="CA41" s="36">
        <v>0</v>
      </c>
      <c r="CB41" s="82"/>
      <c r="DI41">
        <v>0</v>
      </c>
      <c r="DJ41">
        <v>0</v>
      </c>
      <c r="DK41" t="b">
        <v>0</v>
      </c>
      <c r="DN41" t="b">
        <v>0</v>
      </c>
      <c r="DO41" t="b">
        <v>1</v>
      </c>
      <c r="DP41" t="b">
        <v>0</v>
      </c>
      <c r="DQ41" t="b">
        <v>0</v>
      </c>
      <c r="DR41" t="b">
        <v>0</v>
      </c>
      <c r="DT41" t="s">
        <v>797</v>
      </c>
      <c r="DU41" t="b">
        <v>0</v>
      </c>
    </row>
    <row r="42" spans="1:125" ht="41.45" customHeight="1">
      <c r="A42" s="49" t="s">
        <v>354</v>
      </c>
      <c r="C42" s="60"/>
      <c r="D42" s="60" t="s">
        <v>785</v>
      </c>
      <c r="E42" s="66">
        <v>163.539343552167</v>
      </c>
      <c r="F42" s="67">
        <v>99.99437220006604</v>
      </c>
      <c r="G42" s="53" t="str">
        <f>HYPERLINK("https://pbs.twimg.com/profile_images/1646051576757522432/xj5ypHm2_normal.jpg")</f>
        <v>https://pbs.twimg.com/profile_images/1646051576757522432/xj5ypHm2_normal.jpg</v>
      </c>
      <c r="H42" s="60"/>
      <c r="I42" s="54" t="s">
        <v>354</v>
      </c>
      <c r="J42" s="68"/>
      <c r="K42" s="68"/>
      <c r="L42" s="54" t="s">
        <v>1028</v>
      </c>
      <c r="M42" s="71">
        <v>2.875558124655928</v>
      </c>
      <c r="N42" s="72">
        <v>7310.6494140625</v>
      </c>
      <c r="O42" s="72">
        <v>6245.59912109375</v>
      </c>
      <c r="P42" s="73"/>
      <c r="Q42" s="74"/>
      <c r="R42" s="74"/>
      <c r="S42" s="101"/>
      <c r="T42" s="35">
        <v>2</v>
      </c>
      <c r="U42" s="35">
        <v>1</v>
      </c>
      <c r="V42" s="36">
        <v>0</v>
      </c>
      <c r="W42" s="36">
        <v>0.028125</v>
      </c>
      <c r="X42" s="36">
        <v>0</v>
      </c>
      <c r="Y42" s="36">
        <v>0.015027</v>
      </c>
      <c r="Z42" s="36">
        <v>0</v>
      </c>
      <c r="AA42" s="36">
        <v>0</v>
      </c>
      <c r="AB42" s="69">
        <v>42</v>
      </c>
      <c r="AC42" s="69"/>
      <c r="AD42" s="70"/>
      <c r="AE42" t="s">
        <v>1029</v>
      </c>
      <c r="AF42">
        <v>14</v>
      </c>
      <c r="AG42">
        <v>29366</v>
      </c>
      <c r="AH42">
        <v>82</v>
      </c>
      <c r="AK42" t="s">
        <v>1030</v>
      </c>
      <c r="AL42" t="s">
        <v>1031</v>
      </c>
      <c r="AO42" s="50">
        <v>45028.28056712963</v>
      </c>
      <c r="AP42" s="85" t="str">
        <f>HYPERLINK("https://pbs.twimg.com/profile_banners/1646039764645318658/1681282224")</f>
        <v>https://pbs.twimg.com/profile_banners/1646039764645318658/1681282224</v>
      </c>
      <c r="AQ42" t="b">
        <v>1</v>
      </c>
      <c r="AR42" t="b">
        <v>0</v>
      </c>
      <c r="AU42">
        <v>0</v>
      </c>
      <c r="AW42" t="b">
        <v>0</v>
      </c>
      <c r="AX42" t="s">
        <v>789</v>
      </c>
      <c r="AY42" s="85" t="str">
        <f>HYPERLINK("https://twitter.com/jiandevision")</f>
        <v>https://twitter.com/jiandevision</v>
      </c>
      <c r="AZ42" s="81" t="s">
        <v>588</v>
      </c>
      <c r="BA42" s="35"/>
      <c r="BB42" s="35"/>
      <c r="BC42" s="35"/>
      <c r="BD42" s="35"/>
      <c r="BE42" s="35" t="s">
        <v>356</v>
      </c>
      <c r="BF42" s="35" t="s">
        <v>2244</v>
      </c>
      <c r="BG42" s="65" t="s">
        <v>1032</v>
      </c>
      <c r="BH42" s="65" t="s">
        <v>1032</v>
      </c>
      <c r="BI42" s="65" t="s">
        <v>1033</v>
      </c>
      <c r="BJ42" s="65" t="s">
        <v>1033</v>
      </c>
      <c r="BK42" s="35"/>
      <c r="BL42" s="36"/>
      <c r="BM42" s="35"/>
      <c r="BN42" s="36"/>
      <c r="BO42" s="35"/>
      <c r="BP42" s="36"/>
      <c r="BQ42" s="35">
        <v>29</v>
      </c>
      <c r="BR42" s="36">
        <v>65.9090909090909</v>
      </c>
      <c r="BS42" s="35">
        <v>44</v>
      </c>
      <c r="BT42" s="125" t="str">
        <f>REPLACE(INDEX(GroupVertices[Group],MATCH(Vertices[[#This Row],[Vertex]],GroupVertices[Vertex],0)),1,1,"")</f>
        <v>7</v>
      </c>
      <c r="BU42" s="98" t="s">
        <v>362</v>
      </c>
      <c r="BV42" s="35">
        <v>0</v>
      </c>
      <c r="BW42" s="36">
        <v>0</v>
      </c>
      <c r="BX42" s="35">
        <v>0</v>
      </c>
      <c r="BY42" s="36">
        <v>0</v>
      </c>
      <c r="BZ42" s="35">
        <v>0</v>
      </c>
      <c r="CA42" s="36">
        <v>0</v>
      </c>
      <c r="CB42" s="82"/>
      <c r="DI42">
        <v>8</v>
      </c>
      <c r="DJ42">
        <v>64</v>
      </c>
      <c r="DK42" t="b">
        <v>0</v>
      </c>
      <c r="DN42" t="b">
        <v>0</v>
      </c>
      <c r="DO42" t="b">
        <v>1</v>
      </c>
      <c r="DP42" t="b">
        <v>0</v>
      </c>
      <c r="DQ42" t="b">
        <v>0</v>
      </c>
      <c r="DR42" t="b">
        <v>0</v>
      </c>
      <c r="DT42" t="s">
        <v>797</v>
      </c>
      <c r="DU42" t="b">
        <v>0</v>
      </c>
    </row>
    <row r="43" spans="1:125" ht="41.45" customHeight="1">
      <c r="A43" s="49" t="s">
        <v>367</v>
      </c>
      <c r="C43" s="60"/>
      <c r="D43" s="60" t="s">
        <v>785</v>
      </c>
      <c r="E43" s="66">
        <v>650.6500013917998</v>
      </c>
      <c r="F43" s="67">
        <v>98.21350832198027</v>
      </c>
      <c r="G43" s="53" t="str">
        <f>HYPERLINK("https://pbs.twimg.com/profile_images/1631723279676317709/-fjgaR2p_normal.jpg")</f>
        <v>https://pbs.twimg.com/profile_images/1631723279676317709/-fjgaR2p_normal.jpg</v>
      </c>
      <c r="H43" s="60"/>
      <c r="I43" s="54" t="s">
        <v>367</v>
      </c>
      <c r="J43" s="68"/>
      <c r="K43" s="68"/>
      <c r="L43" s="54" t="s">
        <v>1034</v>
      </c>
      <c r="M43" s="71">
        <v>596.3781265613746</v>
      </c>
      <c r="N43" s="72">
        <v>7310.6494140625</v>
      </c>
      <c r="O43" s="72">
        <v>5294.03271484375</v>
      </c>
      <c r="P43" s="73"/>
      <c r="Q43" s="74"/>
      <c r="R43" s="74"/>
      <c r="S43" s="101"/>
      <c r="T43" s="35">
        <v>2</v>
      </c>
      <c r="U43" s="35">
        <v>1</v>
      </c>
      <c r="V43" s="36">
        <v>0</v>
      </c>
      <c r="W43" s="36">
        <v>0.028125</v>
      </c>
      <c r="X43" s="36">
        <v>0</v>
      </c>
      <c r="Y43" s="36">
        <v>0.015027</v>
      </c>
      <c r="Z43" s="36">
        <v>0</v>
      </c>
      <c r="AA43" s="36">
        <v>0</v>
      </c>
      <c r="AB43" s="69">
        <v>43</v>
      </c>
      <c r="AC43" s="69"/>
      <c r="AD43" s="70"/>
      <c r="AE43" t="s">
        <v>1035</v>
      </c>
      <c r="AF43">
        <v>57</v>
      </c>
      <c r="AG43">
        <v>9321958</v>
      </c>
      <c r="AH43">
        <v>984366</v>
      </c>
      <c r="AK43" t="s">
        <v>1036</v>
      </c>
      <c r="AL43" t="s">
        <v>1037</v>
      </c>
      <c r="AO43" s="50">
        <v>39926.837002314816</v>
      </c>
      <c r="AP43" s="85" t="str">
        <f>HYPERLINK("https://pbs.twimg.com/profile_banners/34713362/1693185763")</f>
        <v>https://pbs.twimg.com/profile_banners/34713362/1693185763</v>
      </c>
      <c r="AQ43" t="b">
        <v>0</v>
      </c>
      <c r="AR43" t="b">
        <v>0</v>
      </c>
      <c r="AU43">
        <v>71020</v>
      </c>
      <c r="AW43" t="b">
        <v>0</v>
      </c>
      <c r="AX43" t="s">
        <v>789</v>
      </c>
      <c r="AY43" s="85" t="str">
        <f>HYPERLINK("https://twitter.com/business")</f>
        <v>https://twitter.com/business</v>
      </c>
      <c r="AZ43" s="81" t="s">
        <v>588</v>
      </c>
      <c r="BA43" s="35"/>
      <c r="BB43" s="35"/>
      <c r="BC43" s="35"/>
      <c r="BD43" s="35"/>
      <c r="BE43" s="35"/>
      <c r="BF43" s="35"/>
      <c r="BG43" s="65" t="s">
        <v>1038</v>
      </c>
      <c r="BH43" s="65" t="s">
        <v>1038</v>
      </c>
      <c r="BI43" s="65" t="s">
        <v>1039</v>
      </c>
      <c r="BJ43" s="65" t="s">
        <v>1039</v>
      </c>
      <c r="BK43" s="35"/>
      <c r="BL43" s="36"/>
      <c r="BM43" s="35"/>
      <c r="BN43" s="36"/>
      <c r="BO43" s="35"/>
      <c r="BP43" s="36"/>
      <c r="BQ43" s="35">
        <v>12</v>
      </c>
      <c r="BR43" s="36">
        <v>70.58823529411765</v>
      </c>
      <c r="BS43" s="35">
        <v>17</v>
      </c>
      <c r="BT43" s="125" t="str">
        <f>REPLACE(INDEX(GroupVertices[Group],MATCH(Vertices[[#This Row],[Vertex]],GroupVertices[Vertex],0)),1,1,"")</f>
        <v>7</v>
      </c>
      <c r="BU43" s="98" t="s">
        <v>1040</v>
      </c>
      <c r="BV43" s="35">
        <v>0</v>
      </c>
      <c r="BW43" s="36">
        <v>0</v>
      </c>
      <c r="BX43" s="35">
        <v>0</v>
      </c>
      <c r="BY43" s="36">
        <v>0</v>
      </c>
      <c r="BZ43" s="35">
        <v>0</v>
      </c>
      <c r="CA43" s="36">
        <v>0</v>
      </c>
      <c r="CB43" s="82"/>
      <c r="CD43" s="85" t="str">
        <f>HYPERLINK("https://t.co/bFEYDg8UQy")</f>
        <v>https://t.co/bFEYDg8UQy</v>
      </c>
      <c r="CE43" s="85" t="str">
        <f>HYPERLINK("http://bloomberg.com")</f>
        <v>http://bloomberg.com</v>
      </c>
      <c r="CF43" t="s">
        <v>1041</v>
      </c>
      <c r="CG43" t="s">
        <v>1042</v>
      </c>
      <c r="CH43" t="s">
        <v>1043</v>
      </c>
      <c r="CI43" t="s">
        <v>1044</v>
      </c>
      <c r="CM43">
        <v>1.7015227206792E+18</v>
      </c>
      <c r="CN43" s="85" t="str">
        <f>HYPERLINK("https://t.co/bFEYDg8UQy")</f>
        <v>https://t.co/bFEYDg8UQy</v>
      </c>
      <c r="DI43">
        <v>4165</v>
      </c>
      <c r="DJ43">
        <v>305790</v>
      </c>
      <c r="DK43" t="b">
        <v>1</v>
      </c>
      <c r="DN43" t="b">
        <v>1</v>
      </c>
      <c r="DO43" t="b">
        <v>1</v>
      </c>
      <c r="DP43" t="b">
        <v>1</v>
      </c>
      <c r="DQ43" t="b">
        <v>0</v>
      </c>
      <c r="DR43" t="b">
        <v>0</v>
      </c>
      <c r="DT43" t="s">
        <v>797</v>
      </c>
      <c r="DU43" t="b">
        <v>0</v>
      </c>
    </row>
    <row r="44" spans="1:125" ht="41.45" customHeight="1">
      <c r="A44" s="49" t="s">
        <v>372</v>
      </c>
      <c r="C44" s="60"/>
      <c r="D44" s="60" t="s">
        <v>785</v>
      </c>
      <c r="E44" s="66">
        <v>162.1510722644332</v>
      </c>
      <c r="F44" s="67">
        <v>99.99944768373597</v>
      </c>
      <c r="G44" s="53" t="str">
        <f>HYPERLINK("https://pbs.twimg.com/profile_images/1610677455479607305/CjiHP6qq_normal.jpg")</f>
        <v>https://pbs.twimg.com/profile_images/1610677455479607305/CjiHP6qq_normal.jpg</v>
      </c>
      <c r="H44" s="60"/>
      <c r="I44" s="54" t="s">
        <v>372</v>
      </c>
      <c r="J44" s="68"/>
      <c r="K44" s="68"/>
      <c r="L44" s="54" t="s">
        <v>1045</v>
      </c>
      <c r="M44" s="71">
        <v>1.184068600260791</v>
      </c>
      <c r="N44" s="72">
        <v>6610.59228515625</v>
      </c>
      <c r="O44" s="72">
        <v>8888.41015625</v>
      </c>
      <c r="P44" s="73"/>
      <c r="Q44" s="74"/>
      <c r="R44" s="74"/>
      <c r="S44" s="101"/>
      <c r="T44" s="35">
        <v>2</v>
      </c>
      <c r="U44" s="35">
        <v>1</v>
      </c>
      <c r="V44" s="36">
        <v>0</v>
      </c>
      <c r="W44" s="36">
        <v>0.043269</v>
      </c>
      <c r="X44" s="36">
        <v>0</v>
      </c>
      <c r="Y44" s="36">
        <v>0.014834</v>
      </c>
      <c r="Z44" s="36">
        <v>0</v>
      </c>
      <c r="AA44" s="36">
        <v>0</v>
      </c>
      <c r="AB44" s="69">
        <v>44</v>
      </c>
      <c r="AC44" s="69"/>
      <c r="AD44" s="70"/>
      <c r="AE44" t="s">
        <v>1046</v>
      </c>
      <c r="AF44">
        <v>562</v>
      </c>
      <c r="AG44">
        <v>2882</v>
      </c>
      <c r="AH44">
        <v>38630</v>
      </c>
      <c r="AK44" t="s">
        <v>1047</v>
      </c>
      <c r="AL44" t="s">
        <v>1048</v>
      </c>
      <c r="AO44" s="50">
        <v>44329.30783564815</v>
      </c>
      <c r="AP44" s="85" t="str">
        <f>HYPERLINK("https://pbs.twimg.com/profile_banners/1392742201906667521/1692515479")</f>
        <v>https://pbs.twimg.com/profile_banners/1392742201906667521/1692515479</v>
      </c>
      <c r="AQ44" t="b">
        <v>1</v>
      </c>
      <c r="AR44" t="b">
        <v>0</v>
      </c>
      <c r="AU44">
        <v>20</v>
      </c>
      <c r="AW44" t="b">
        <v>0</v>
      </c>
      <c r="AX44" t="s">
        <v>789</v>
      </c>
      <c r="AY44" s="85" t="str">
        <f>HYPERLINK("https://twitter.com/savichtakes")</f>
        <v>https://twitter.com/savichtakes</v>
      </c>
      <c r="AZ44" s="81" t="s">
        <v>588</v>
      </c>
      <c r="BA44" s="35"/>
      <c r="BB44" s="35"/>
      <c r="BC44" s="35"/>
      <c r="BD44" s="35"/>
      <c r="BE44" s="35"/>
      <c r="BF44" s="35"/>
      <c r="BG44" s="65" t="s">
        <v>1049</v>
      </c>
      <c r="BH44" s="65" t="s">
        <v>1049</v>
      </c>
      <c r="BI44" s="65" t="s">
        <v>1050</v>
      </c>
      <c r="BJ44" s="65" t="s">
        <v>1050</v>
      </c>
      <c r="BK44" s="35"/>
      <c r="BL44" s="36"/>
      <c r="BM44" s="35"/>
      <c r="BN44" s="36"/>
      <c r="BO44" s="35"/>
      <c r="BP44" s="36"/>
      <c r="BQ44" s="35">
        <v>23</v>
      </c>
      <c r="BR44" s="36">
        <v>67.6470588235294</v>
      </c>
      <c r="BS44" s="35">
        <v>34</v>
      </c>
      <c r="BT44" s="125" t="str">
        <f>REPLACE(INDEX(GroupVertices[Group],MATCH(Vertices[[#This Row],[Vertex]],GroupVertices[Vertex],0)),1,1,"")</f>
        <v>3</v>
      </c>
      <c r="BU44" s="98" t="s">
        <v>379</v>
      </c>
      <c r="BV44" s="35">
        <v>0</v>
      </c>
      <c r="BW44" s="36">
        <v>0</v>
      </c>
      <c r="BX44" s="35">
        <v>0</v>
      </c>
      <c r="BY44" s="36">
        <v>0</v>
      </c>
      <c r="BZ44" s="35">
        <v>0</v>
      </c>
      <c r="CA44" s="36">
        <v>0</v>
      </c>
      <c r="CB44" s="82"/>
      <c r="DI44">
        <v>55417</v>
      </c>
      <c r="DJ44">
        <v>7743</v>
      </c>
      <c r="DK44" t="b">
        <v>1</v>
      </c>
      <c r="DN44" t="b">
        <v>1</v>
      </c>
      <c r="DO44" t="b">
        <v>0</v>
      </c>
      <c r="DP44" t="b">
        <v>1</v>
      </c>
      <c r="DQ44" t="b">
        <v>0</v>
      </c>
      <c r="DR44" t="b">
        <v>0</v>
      </c>
      <c r="DT44" t="s">
        <v>797</v>
      </c>
      <c r="DU44" t="b">
        <v>0</v>
      </c>
    </row>
    <row r="45" spans="1:125" ht="41.45" customHeight="1">
      <c r="A45" s="49" t="s">
        <v>380</v>
      </c>
      <c r="C45" s="60"/>
      <c r="D45" s="60" t="s">
        <v>785</v>
      </c>
      <c r="E45" s="66">
        <v>162.00828224072882</v>
      </c>
      <c r="F45" s="67">
        <v>99.99996972034361</v>
      </c>
      <c r="G45" s="53" t="str">
        <f>HYPERLINK("https://pbs.twimg.com/profile_images/1420443557463302145/alGwqDfE_normal.jpg")</f>
        <v>https://pbs.twimg.com/profile_images/1420443557463302145/alGwqDfE_normal.jpg</v>
      </c>
      <c r="H45" s="60"/>
      <c r="I45" s="54" t="s">
        <v>380</v>
      </c>
      <c r="J45" s="68"/>
      <c r="K45" s="68"/>
      <c r="L45" s="54" t="s">
        <v>1051</v>
      </c>
      <c r="M45" s="71">
        <v>1.01009120015309</v>
      </c>
      <c r="N45" s="72">
        <v>5519.59033203125</v>
      </c>
      <c r="O45" s="72">
        <v>8705.169921875</v>
      </c>
      <c r="P45" s="73"/>
      <c r="Q45" s="74"/>
      <c r="R45" s="74"/>
      <c r="S45" s="101"/>
      <c r="T45" s="35">
        <v>0</v>
      </c>
      <c r="U45" s="35">
        <v>4</v>
      </c>
      <c r="V45" s="36">
        <v>26</v>
      </c>
      <c r="W45" s="36">
        <v>0.070313</v>
      </c>
      <c r="X45" s="36">
        <v>0</v>
      </c>
      <c r="Y45" s="36">
        <v>0.017199</v>
      </c>
      <c r="Z45" s="36">
        <v>0</v>
      </c>
      <c r="AA45" s="36">
        <v>0</v>
      </c>
      <c r="AB45" s="69">
        <v>45</v>
      </c>
      <c r="AC45" s="69"/>
      <c r="AD45" s="70"/>
      <c r="AE45" t="s">
        <v>1052</v>
      </c>
      <c r="AF45">
        <v>138</v>
      </c>
      <c r="AG45">
        <v>158</v>
      </c>
      <c r="AH45">
        <v>8154</v>
      </c>
      <c r="AL45" t="s">
        <v>1053</v>
      </c>
      <c r="AO45" s="50">
        <v>40227.067395833335</v>
      </c>
      <c r="AP45" s="85" t="str">
        <f>HYPERLINK("https://pbs.twimg.com/profile_banners/115235401/1588588000")</f>
        <v>https://pbs.twimg.com/profile_banners/115235401/1588588000</v>
      </c>
      <c r="AQ45" t="b">
        <v>0</v>
      </c>
      <c r="AR45" t="b">
        <v>0</v>
      </c>
      <c r="AU45">
        <v>2</v>
      </c>
      <c r="AW45" t="b">
        <v>0</v>
      </c>
      <c r="AX45" t="s">
        <v>789</v>
      </c>
      <c r="AY45" s="85" t="str">
        <f>HYPERLINK("https://twitter.com/jeremyl_7")</f>
        <v>https://twitter.com/jeremyl_7</v>
      </c>
      <c r="AZ45" s="81" t="s">
        <v>588</v>
      </c>
      <c r="BA45" s="35"/>
      <c r="BB45" s="35"/>
      <c r="BC45" s="35"/>
      <c r="BD45" s="35"/>
      <c r="BE45" s="35"/>
      <c r="BF45" s="35"/>
      <c r="BG45" s="65" t="s">
        <v>1054</v>
      </c>
      <c r="BH45" s="65" t="s">
        <v>1054</v>
      </c>
      <c r="BI45" s="65" t="s">
        <v>1055</v>
      </c>
      <c r="BJ45" s="65" t="s">
        <v>1055</v>
      </c>
      <c r="BK45" s="35"/>
      <c r="BL45" s="36"/>
      <c r="BM45" s="35"/>
      <c r="BN45" s="36"/>
      <c r="BO45" s="35"/>
      <c r="BP45" s="36"/>
      <c r="BQ45" s="35">
        <v>38</v>
      </c>
      <c r="BR45" s="36">
        <v>65.51724137931035</v>
      </c>
      <c r="BS45" s="35">
        <v>58</v>
      </c>
      <c r="BT45" s="125" t="str">
        <f>REPLACE(INDEX(GroupVertices[Group],MATCH(Vertices[[#This Row],[Vertex]],GroupVertices[Vertex],0)),1,1,"")</f>
        <v>3</v>
      </c>
      <c r="BU45" s="98" t="s">
        <v>1056</v>
      </c>
      <c r="BV45" s="35">
        <v>0</v>
      </c>
      <c r="BW45" s="36">
        <v>0</v>
      </c>
      <c r="BX45" s="35">
        <v>0</v>
      </c>
      <c r="BY45" s="36">
        <v>0</v>
      </c>
      <c r="BZ45" s="35">
        <v>0</v>
      </c>
      <c r="CA45" s="36">
        <v>0</v>
      </c>
      <c r="CB45" s="82"/>
      <c r="DI45">
        <v>6499</v>
      </c>
      <c r="DJ45">
        <v>165</v>
      </c>
      <c r="DK45" t="b">
        <v>0</v>
      </c>
      <c r="DN45" t="b">
        <v>0</v>
      </c>
      <c r="DO45" t="b">
        <v>1</v>
      </c>
      <c r="DP45" t="b">
        <v>1</v>
      </c>
      <c r="DQ45" t="b">
        <v>0</v>
      </c>
      <c r="DR45" t="b">
        <v>0</v>
      </c>
      <c r="DT45" t="s">
        <v>797</v>
      </c>
      <c r="DU45" t="b">
        <v>0</v>
      </c>
    </row>
    <row r="46" spans="1:125" ht="41.45" customHeight="1">
      <c r="A46" s="49" t="s">
        <v>387</v>
      </c>
      <c r="C46" s="60"/>
      <c r="D46" s="60" t="s">
        <v>785</v>
      </c>
      <c r="E46" s="66">
        <v>162.40163625610242</v>
      </c>
      <c r="F46" s="67">
        <v>99.99853162830846</v>
      </c>
      <c r="G46" s="53" t="str">
        <f>HYPERLINK("https://pbs.twimg.com/profile_images/1686366753973219328/zmehMSmA_normal.jpg")</f>
        <v>https://pbs.twimg.com/profile_images/1686366753973219328/zmehMSmA_normal.jpg</v>
      </c>
      <c r="H46" s="60"/>
      <c r="I46" s="54" t="s">
        <v>387</v>
      </c>
      <c r="J46" s="68"/>
      <c r="K46" s="68"/>
      <c r="L46" s="54" t="s">
        <v>1057</v>
      </c>
      <c r="M46" s="71">
        <v>1.4893593390694586</v>
      </c>
      <c r="N46" s="72">
        <v>5641.36572265625</v>
      </c>
      <c r="O46" s="72">
        <v>7787.416015625</v>
      </c>
      <c r="P46" s="73"/>
      <c r="Q46" s="74"/>
      <c r="R46" s="74"/>
      <c r="S46" s="101"/>
      <c r="T46" s="35">
        <v>2</v>
      </c>
      <c r="U46" s="35">
        <v>2</v>
      </c>
      <c r="V46" s="36">
        <v>10</v>
      </c>
      <c r="W46" s="36">
        <v>0.051136</v>
      </c>
      <c r="X46" s="36">
        <v>0</v>
      </c>
      <c r="Y46" s="36">
        <v>0.015627</v>
      </c>
      <c r="Z46" s="36">
        <v>0</v>
      </c>
      <c r="AA46" s="36">
        <v>0</v>
      </c>
      <c r="AB46" s="69">
        <v>46</v>
      </c>
      <c r="AC46" s="69"/>
      <c r="AD46" s="70"/>
      <c r="AE46" t="s">
        <v>1058</v>
      </c>
      <c r="AF46">
        <v>556</v>
      </c>
      <c r="AG46">
        <v>7662</v>
      </c>
      <c r="AH46">
        <v>10922</v>
      </c>
      <c r="AK46" t="s">
        <v>1059</v>
      </c>
      <c r="AL46" t="s">
        <v>1053</v>
      </c>
      <c r="AO46" s="50">
        <v>45003.361666666664</v>
      </c>
      <c r="AP46" s="85" t="str">
        <f>HYPERLINK("https://pbs.twimg.com/profile_banners/1637011093745704961/1692303233")</f>
        <v>https://pbs.twimg.com/profile_banners/1637011093745704961/1692303233</v>
      </c>
      <c r="AQ46" t="b">
        <v>1</v>
      </c>
      <c r="AR46" t="b">
        <v>0</v>
      </c>
      <c r="AU46">
        <v>11</v>
      </c>
      <c r="AW46" t="b">
        <v>0</v>
      </c>
      <c r="AX46" t="s">
        <v>789</v>
      </c>
      <c r="AY46" s="85" t="str">
        <f>HYPERLINK("https://twitter.com/mimitheblogger")</f>
        <v>https://twitter.com/mimitheblogger</v>
      </c>
      <c r="AZ46" s="81" t="s">
        <v>588</v>
      </c>
      <c r="BA46" s="35"/>
      <c r="BB46" s="35"/>
      <c r="BC46" s="35"/>
      <c r="BD46" s="35"/>
      <c r="BE46" s="35"/>
      <c r="BF46" s="35"/>
      <c r="BG46" s="65" t="s">
        <v>1060</v>
      </c>
      <c r="BH46" s="65" t="s">
        <v>1060</v>
      </c>
      <c r="BI46" s="65" t="s">
        <v>1061</v>
      </c>
      <c r="BJ46" s="65" t="s">
        <v>1061</v>
      </c>
      <c r="BK46" s="35"/>
      <c r="BL46" s="36"/>
      <c r="BM46" s="35"/>
      <c r="BN46" s="36"/>
      <c r="BO46" s="35"/>
      <c r="BP46" s="36"/>
      <c r="BQ46" s="35">
        <v>11</v>
      </c>
      <c r="BR46" s="36">
        <v>78.57142857142857</v>
      </c>
      <c r="BS46" s="35">
        <v>14</v>
      </c>
      <c r="BT46" s="125" t="str">
        <f>REPLACE(INDEX(GroupVertices[Group],MATCH(Vertices[[#This Row],[Vertex]],GroupVertices[Vertex],0)),1,1,"")</f>
        <v>3</v>
      </c>
      <c r="BU46" s="98" t="s">
        <v>584</v>
      </c>
      <c r="BV46" s="35">
        <v>0</v>
      </c>
      <c r="BW46" s="36">
        <v>0</v>
      </c>
      <c r="BX46" s="35">
        <v>0</v>
      </c>
      <c r="BY46" s="36">
        <v>0</v>
      </c>
      <c r="BZ46" s="35">
        <v>0</v>
      </c>
      <c r="CA46" s="36">
        <v>0</v>
      </c>
      <c r="CB46" s="82"/>
      <c r="CD46" s="85" t="str">
        <f>HYPERLINK("https://t.co/s6aa61MDyZ")</f>
        <v>https://t.co/s6aa61MDyZ</v>
      </c>
      <c r="CE46" s="85" t="str">
        <f>HYPERLINK("https://linktr.ee/mimithemusicblogger1")</f>
        <v>https://linktr.ee/mimithemusicblogger1</v>
      </c>
      <c r="CF46" t="s">
        <v>1062</v>
      </c>
      <c r="CM46">
        <v>1.66783751865646E+18</v>
      </c>
      <c r="CN46" s="85" t="str">
        <f>HYPERLINK("https://t.co/s6aa61MDyZ")</f>
        <v>https://t.co/s6aa61MDyZ</v>
      </c>
      <c r="DI46">
        <v>5722</v>
      </c>
      <c r="DJ46">
        <v>2219</v>
      </c>
      <c r="DK46" t="b">
        <v>0</v>
      </c>
      <c r="DN46" t="b">
        <v>1</v>
      </c>
      <c r="DO46" t="b">
        <v>1</v>
      </c>
      <c r="DP46" t="b">
        <v>1</v>
      </c>
      <c r="DQ46" t="b">
        <v>0</v>
      </c>
      <c r="DR46" t="b">
        <v>0</v>
      </c>
      <c r="DT46" t="s">
        <v>797</v>
      </c>
      <c r="DU46" t="b">
        <v>0</v>
      </c>
    </row>
    <row r="47" spans="1:125" ht="41.45" customHeight="1">
      <c r="A47" s="49" t="s">
        <v>397</v>
      </c>
      <c r="C47" s="60"/>
      <c r="D47" s="60" t="s">
        <v>785</v>
      </c>
      <c r="E47" s="66">
        <v>162.13298762486713</v>
      </c>
      <c r="F47" s="67">
        <v>99.99951380070719</v>
      </c>
      <c r="G47" s="53" t="str">
        <f>HYPERLINK("https://pbs.twimg.com/profile_images/1610744523616919553/2VXaWAOU_normal.jpg")</f>
        <v>https://pbs.twimg.com/profile_images/1610744523616919553/2VXaWAOU_normal.jpg</v>
      </c>
      <c r="H47" s="60"/>
      <c r="I47" s="54" t="s">
        <v>397</v>
      </c>
      <c r="J47" s="68"/>
      <c r="K47" s="68"/>
      <c r="L47" s="54" t="s">
        <v>1063</v>
      </c>
      <c r="M47" s="71">
        <v>1.1620340176480315</v>
      </c>
      <c r="N47" s="72">
        <v>5851.68017578125</v>
      </c>
      <c r="O47" s="72">
        <v>9545.873046875</v>
      </c>
      <c r="P47" s="73"/>
      <c r="Q47" s="74"/>
      <c r="R47" s="74"/>
      <c r="S47" s="101"/>
      <c r="T47" s="35">
        <v>2</v>
      </c>
      <c r="U47" s="35">
        <v>1</v>
      </c>
      <c r="V47" s="36">
        <v>0</v>
      </c>
      <c r="W47" s="36">
        <v>0.043269</v>
      </c>
      <c r="X47" s="36">
        <v>0</v>
      </c>
      <c r="Y47" s="36">
        <v>0.014834</v>
      </c>
      <c r="Z47" s="36">
        <v>0</v>
      </c>
      <c r="AA47" s="36">
        <v>0</v>
      </c>
      <c r="AB47" s="69">
        <v>47</v>
      </c>
      <c r="AC47" s="69"/>
      <c r="AD47" s="70"/>
      <c r="AE47" t="s">
        <v>1064</v>
      </c>
      <c r="AF47">
        <v>4311</v>
      </c>
      <c r="AG47">
        <v>2537</v>
      </c>
      <c r="AH47">
        <v>62558</v>
      </c>
      <c r="AK47" t="s">
        <v>1065</v>
      </c>
      <c r="AO47" s="50">
        <v>43761.901412037034</v>
      </c>
      <c r="AP47" s="85" t="str">
        <f>HYPERLINK("https://pbs.twimg.com/profile_banners/1187120970164776960/1684877583")</f>
        <v>https://pbs.twimg.com/profile_banners/1187120970164776960/1684877583</v>
      </c>
      <c r="AQ47" t="b">
        <v>1</v>
      </c>
      <c r="AR47" t="b">
        <v>0</v>
      </c>
      <c r="AU47">
        <v>10</v>
      </c>
      <c r="AW47" t="b">
        <v>0</v>
      </c>
      <c r="AX47" t="s">
        <v>789</v>
      </c>
      <c r="AY47" s="85" t="str">
        <f>HYPERLINK("https://twitter.com/kieronfish")</f>
        <v>https://twitter.com/kieronfish</v>
      </c>
      <c r="AZ47" s="81" t="s">
        <v>588</v>
      </c>
      <c r="BA47" s="35"/>
      <c r="BB47" s="35"/>
      <c r="BC47" s="35"/>
      <c r="BD47" s="35"/>
      <c r="BE47" s="35"/>
      <c r="BF47" s="35"/>
      <c r="BG47" s="65" t="s">
        <v>1066</v>
      </c>
      <c r="BH47" s="65" t="s">
        <v>1066</v>
      </c>
      <c r="BI47" s="65" t="s">
        <v>1067</v>
      </c>
      <c r="BJ47" s="65" t="s">
        <v>1067</v>
      </c>
      <c r="BK47" s="35"/>
      <c r="BL47" s="36"/>
      <c r="BM47" s="35"/>
      <c r="BN47" s="36"/>
      <c r="BO47" s="35"/>
      <c r="BP47" s="36"/>
      <c r="BQ47" s="35">
        <v>6</v>
      </c>
      <c r="BR47" s="36">
        <v>75</v>
      </c>
      <c r="BS47" s="35">
        <v>8</v>
      </c>
      <c r="BT47" s="125" t="str">
        <f>REPLACE(INDEX(GroupVertices[Group],MATCH(Vertices[[#This Row],[Vertex]],GroupVertices[Vertex],0)),1,1,"")</f>
        <v>3</v>
      </c>
      <c r="BU47" s="98" t="s">
        <v>571</v>
      </c>
      <c r="BV47" s="35">
        <v>0</v>
      </c>
      <c r="BW47" s="36">
        <v>0</v>
      </c>
      <c r="BX47" s="35">
        <v>0</v>
      </c>
      <c r="BY47" s="36">
        <v>0</v>
      </c>
      <c r="BZ47" s="35">
        <v>0</v>
      </c>
      <c r="CA47" s="36">
        <v>0</v>
      </c>
      <c r="CB47" s="82"/>
      <c r="CM47">
        <v>1.60948722032669E+18</v>
      </c>
      <c r="DI47">
        <v>128302</v>
      </c>
      <c r="DJ47">
        <v>4167</v>
      </c>
      <c r="DK47" t="b">
        <v>0</v>
      </c>
      <c r="DN47" t="b">
        <v>0</v>
      </c>
      <c r="DO47" t="b">
        <v>1</v>
      </c>
      <c r="DP47" t="b">
        <v>1</v>
      </c>
      <c r="DQ47" t="b">
        <v>0</v>
      </c>
      <c r="DR47" t="b">
        <v>0</v>
      </c>
      <c r="DT47" t="s">
        <v>797</v>
      </c>
      <c r="DU47" t="b">
        <v>0</v>
      </c>
    </row>
    <row r="48" spans="1:125" ht="41.45" customHeight="1">
      <c r="A48" s="49" t="s">
        <v>404</v>
      </c>
      <c r="C48" s="60"/>
      <c r="D48" s="60" t="s">
        <v>785</v>
      </c>
      <c r="E48" s="66">
        <v>163.64297639976743</v>
      </c>
      <c r="F48" s="67">
        <v>99.99399332107437</v>
      </c>
      <c r="G48" s="53" t="str">
        <f>HYPERLINK("https://pbs.twimg.com/profile_images/1623552966837039112/-lRznnfc_normal.jpg")</f>
        <v>https://pbs.twimg.com/profile_images/1623552966837039112/-lRznnfc_normal.jpg</v>
      </c>
      <c r="H48" s="60"/>
      <c r="I48" s="54" t="s">
        <v>404</v>
      </c>
      <c r="J48" s="68"/>
      <c r="K48" s="68"/>
      <c r="L48" s="54" t="s">
        <v>1068</v>
      </c>
      <c r="M48" s="71">
        <v>3.00182586328035</v>
      </c>
      <c r="N48" s="72">
        <v>2253.8447265625</v>
      </c>
      <c r="O48" s="72">
        <v>4185.39111328125</v>
      </c>
      <c r="P48" s="73"/>
      <c r="Q48" s="74"/>
      <c r="R48" s="74"/>
      <c r="S48" s="101"/>
      <c r="T48" s="35">
        <v>2</v>
      </c>
      <c r="U48" s="35">
        <v>1</v>
      </c>
      <c r="V48" s="36">
        <v>0</v>
      </c>
      <c r="W48" s="36">
        <v>0.09375</v>
      </c>
      <c r="X48" s="36">
        <v>0.240742</v>
      </c>
      <c r="Y48" s="36">
        <v>0.014535</v>
      </c>
      <c r="Z48" s="36">
        <v>0</v>
      </c>
      <c r="AA48" s="36">
        <v>0</v>
      </c>
      <c r="AB48" s="69">
        <v>48</v>
      </c>
      <c r="AC48" s="69"/>
      <c r="AD48" s="70"/>
      <c r="AE48" t="s">
        <v>1069</v>
      </c>
      <c r="AF48">
        <v>422</v>
      </c>
      <c r="AG48">
        <v>31343</v>
      </c>
      <c r="AH48">
        <v>1869</v>
      </c>
      <c r="AK48" t="s">
        <v>1070</v>
      </c>
      <c r="AL48" t="s">
        <v>1071</v>
      </c>
      <c r="AO48" s="50">
        <v>44315.41716435185</v>
      </c>
      <c r="AP48" s="85" t="str">
        <f>HYPERLINK("https://pbs.twimg.com/profile_banners/1387708368056328194/1675867834")</f>
        <v>https://pbs.twimg.com/profile_banners/1387708368056328194/1675867834</v>
      </c>
      <c r="AQ48" t="b">
        <v>1</v>
      </c>
      <c r="AR48" t="b">
        <v>0</v>
      </c>
      <c r="AU48">
        <v>463</v>
      </c>
      <c r="AW48" t="b">
        <v>0</v>
      </c>
      <c r="AX48" t="s">
        <v>789</v>
      </c>
      <c r="AY48" s="85" t="str">
        <f>HYPERLINK("https://twitter.com/crypto_qianxun")</f>
        <v>https://twitter.com/crypto_qianxun</v>
      </c>
      <c r="AZ48" s="81" t="s">
        <v>588</v>
      </c>
      <c r="BA48" s="35" t="s">
        <v>1072</v>
      </c>
      <c r="BB48" s="35" t="s">
        <v>1072</v>
      </c>
      <c r="BC48" s="35" t="s">
        <v>406</v>
      </c>
      <c r="BD48" s="35" t="s">
        <v>406</v>
      </c>
      <c r="BE48" s="35"/>
      <c r="BF48" s="35"/>
      <c r="BG48" s="65" t="s">
        <v>1073</v>
      </c>
      <c r="BH48" s="65" t="s">
        <v>1073</v>
      </c>
      <c r="BI48" s="65" t="s">
        <v>1074</v>
      </c>
      <c r="BJ48" s="65" t="s">
        <v>1074</v>
      </c>
      <c r="BK48" s="35"/>
      <c r="BL48" s="36"/>
      <c r="BM48" s="35"/>
      <c r="BN48" s="36"/>
      <c r="BO48" s="35"/>
      <c r="BP48" s="36"/>
      <c r="BQ48" s="35">
        <v>11</v>
      </c>
      <c r="BR48" s="36">
        <v>100</v>
      </c>
      <c r="BS48" s="35">
        <v>11</v>
      </c>
      <c r="BT48" s="125" t="str">
        <f>REPLACE(INDEX(GroupVertices[Group],MATCH(Vertices[[#This Row],[Vertex]],GroupVertices[Vertex],0)),1,1,"")</f>
        <v>1</v>
      </c>
      <c r="BU48" s="98" t="s">
        <v>411</v>
      </c>
      <c r="BV48" s="35">
        <v>0</v>
      </c>
      <c r="BW48" s="36">
        <v>0</v>
      </c>
      <c r="BX48" s="35">
        <v>0</v>
      </c>
      <c r="BY48" s="36">
        <v>0</v>
      </c>
      <c r="BZ48" s="35">
        <v>0</v>
      </c>
      <c r="CA48" s="36">
        <v>0</v>
      </c>
      <c r="CB48" s="82"/>
      <c r="CD48" s="85" t="str">
        <f>HYPERLINK("https://t.co/O7SifcuHmk")</f>
        <v>https://t.co/O7SifcuHmk</v>
      </c>
      <c r="CE48" s="85" t="str">
        <f>HYPERLINK("http://youtube.com/@wwbsz")</f>
        <v>http://youtube.com/@wwbsz</v>
      </c>
      <c r="CF48" t="s">
        <v>1075</v>
      </c>
      <c r="CN48" s="85" t="str">
        <f>HYPERLINK("https://t.co/O7SifcuHmk")</f>
        <v>https://t.co/O7SifcuHmk</v>
      </c>
      <c r="DI48">
        <v>4242</v>
      </c>
      <c r="DJ48">
        <v>488</v>
      </c>
      <c r="DK48" t="b">
        <v>1</v>
      </c>
      <c r="DN48" t="b">
        <v>1</v>
      </c>
      <c r="DO48" t="b">
        <v>1</v>
      </c>
      <c r="DP48" t="b">
        <v>1</v>
      </c>
      <c r="DQ48" t="b">
        <v>0</v>
      </c>
      <c r="DR48" t="b">
        <v>0</v>
      </c>
      <c r="DT48" t="s">
        <v>797</v>
      </c>
      <c r="DU48" t="b">
        <v>0</v>
      </c>
    </row>
    <row r="49" spans="1:125" ht="41.45" customHeight="1">
      <c r="A49" s="49" t="s">
        <v>412</v>
      </c>
      <c r="C49" s="60"/>
      <c r="D49" s="60" t="s">
        <v>785</v>
      </c>
      <c r="E49" s="66">
        <v>162.00125806188285</v>
      </c>
      <c r="F49" s="67">
        <v>99.99999540055852</v>
      </c>
      <c r="G49" s="53" t="str">
        <f>HYPERLINK("https://pbs.twimg.com/profile_images/1223036536028925952/FSgIEXZc_normal.jpg")</f>
        <v>https://pbs.twimg.com/profile_images/1223036536028925952/FSgIEXZc_normal.jpg</v>
      </c>
      <c r="H49" s="60"/>
      <c r="I49" s="54" t="s">
        <v>412</v>
      </c>
      <c r="J49" s="68"/>
      <c r="K49" s="68"/>
      <c r="L49" s="54" t="s">
        <v>1076</v>
      </c>
      <c r="M49" s="71">
        <v>1.0015328405295834</v>
      </c>
      <c r="N49" s="72">
        <v>1690.060302734375</v>
      </c>
      <c r="O49" s="72">
        <v>5935.771484375</v>
      </c>
      <c r="P49" s="73"/>
      <c r="Q49" s="74"/>
      <c r="R49" s="74"/>
      <c r="S49" s="101"/>
      <c r="T49" s="35">
        <v>0</v>
      </c>
      <c r="U49" s="35">
        <v>11</v>
      </c>
      <c r="V49" s="36">
        <v>130</v>
      </c>
      <c r="W49" s="36">
        <v>0.173077</v>
      </c>
      <c r="X49" s="36">
        <v>0.659889</v>
      </c>
      <c r="Y49" s="36">
        <v>0.027</v>
      </c>
      <c r="Z49" s="36">
        <v>0</v>
      </c>
      <c r="AA49" s="36">
        <v>0</v>
      </c>
      <c r="AB49" s="69">
        <v>49</v>
      </c>
      <c r="AC49" s="69"/>
      <c r="AD49" s="70"/>
      <c r="AE49" t="s">
        <v>1077</v>
      </c>
      <c r="AF49">
        <v>251</v>
      </c>
      <c r="AG49">
        <v>24</v>
      </c>
      <c r="AH49">
        <v>881</v>
      </c>
      <c r="AO49" s="50">
        <v>43702.06741898148</v>
      </c>
      <c r="AP49" s="85" t="str">
        <f>HYPERLINK("https://pbs.twimg.com/profile_banners/1165437834573991936/1575887855")</f>
        <v>https://pbs.twimg.com/profile_banners/1165437834573991936/1575887855</v>
      </c>
      <c r="AQ49" t="b">
        <v>1</v>
      </c>
      <c r="AR49" t="b">
        <v>0</v>
      </c>
      <c r="AU49">
        <v>0</v>
      </c>
      <c r="AW49" t="b">
        <v>0</v>
      </c>
      <c r="AX49" t="s">
        <v>789</v>
      </c>
      <c r="AY49" s="85" t="str">
        <f>HYPERLINK("https://twitter.com/jeremyl99313994")</f>
        <v>https://twitter.com/jeremyl99313994</v>
      </c>
      <c r="AZ49" s="81" t="s">
        <v>588</v>
      </c>
      <c r="BA49" s="35" t="s">
        <v>1078</v>
      </c>
      <c r="BB49" s="35" t="s">
        <v>2238</v>
      </c>
      <c r="BC49" s="35" t="s">
        <v>1079</v>
      </c>
      <c r="BD49" s="35" t="s">
        <v>2240</v>
      </c>
      <c r="BE49" s="35" t="s">
        <v>1080</v>
      </c>
      <c r="BF49" s="35" t="s">
        <v>1080</v>
      </c>
      <c r="BG49" s="65" t="s">
        <v>1081</v>
      </c>
      <c r="BH49" s="65" t="s">
        <v>1082</v>
      </c>
      <c r="BI49" s="65" t="s">
        <v>1083</v>
      </c>
      <c r="BJ49" s="65" t="s">
        <v>1083</v>
      </c>
      <c r="BK49" s="35"/>
      <c r="BL49" s="36"/>
      <c r="BM49" s="35"/>
      <c r="BN49" s="36"/>
      <c r="BO49" s="35"/>
      <c r="BP49" s="36"/>
      <c r="BQ49" s="35">
        <v>188</v>
      </c>
      <c r="BR49" s="36">
        <v>92.15686274509804</v>
      </c>
      <c r="BS49" s="35">
        <v>204</v>
      </c>
      <c r="BT49" s="125" t="str">
        <f>REPLACE(INDEX(GroupVertices[Group],MATCH(Vertices[[#This Row],[Vertex]],GroupVertices[Vertex],0)),1,1,"")</f>
        <v>1</v>
      </c>
      <c r="BU49" s="98" t="s">
        <v>416</v>
      </c>
      <c r="BV49" s="35">
        <v>0</v>
      </c>
      <c r="BW49" s="36">
        <v>0</v>
      </c>
      <c r="BX49" s="35">
        <v>0</v>
      </c>
      <c r="BY49" s="36">
        <v>0</v>
      </c>
      <c r="BZ49" s="35">
        <v>0</v>
      </c>
      <c r="CA49" s="36">
        <v>0</v>
      </c>
      <c r="CB49" s="82"/>
      <c r="DI49">
        <v>494</v>
      </c>
      <c r="DJ49">
        <v>7</v>
      </c>
      <c r="DK49" t="b">
        <v>0</v>
      </c>
      <c r="DN49" t="b">
        <v>0</v>
      </c>
      <c r="DO49" t="b">
        <v>1</v>
      </c>
      <c r="DP49" t="b">
        <v>0</v>
      </c>
      <c r="DQ49" t="b">
        <v>0</v>
      </c>
      <c r="DR49" t="b">
        <v>0</v>
      </c>
      <c r="DT49" t="s">
        <v>797</v>
      </c>
      <c r="DU49" t="b">
        <v>0</v>
      </c>
    </row>
    <row r="50" spans="1:125" ht="41.45" customHeight="1">
      <c r="A50" s="49" t="s">
        <v>421</v>
      </c>
      <c r="C50" s="60"/>
      <c r="D50" s="60" t="s">
        <v>785</v>
      </c>
      <c r="E50" s="66">
        <v>164.95214704661655</v>
      </c>
      <c r="F50" s="67">
        <v>99.98920702728732</v>
      </c>
      <c r="G50" s="53" t="str">
        <f>HYPERLINK("https://pbs.twimg.com/profile_images/803996540696084480/Z-uk8--s_normal.jpg")</f>
        <v>https://pbs.twimg.com/profile_images/803996540696084480/Z-uk8--s_normal.jpg</v>
      </c>
      <c r="H50" s="60"/>
      <c r="I50" s="54" t="s">
        <v>421</v>
      </c>
      <c r="J50" s="68"/>
      <c r="K50" s="68"/>
      <c r="L50" s="54" t="s">
        <v>1084</v>
      </c>
      <c r="M50" s="71">
        <v>4.596938039377939</v>
      </c>
      <c r="N50" s="72">
        <v>2780.757568359375</v>
      </c>
      <c r="O50" s="72">
        <v>4884.25390625</v>
      </c>
      <c r="P50" s="73"/>
      <c r="Q50" s="74"/>
      <c r="R50" s="74"/>
      <c r="S50" s="101"/>
      <c r="T50" s="35">
        <v>2</v>
      </c>
      <c r="U50" s="35">
        <v>1</v>
      </c>
      <c r="V50" s="36">
        <v>0</v>
      </c>
      <c r="W50" s="36">
        <v>0.09375</v>
      </c>
      <c r="X50" s="36">
        <v>0.240742</v>
      </c>
      <c r="Y50" s="36">
        <v>0.014535</v>
      </c>
      <c r="Z50" s="36">
        <v>0</v>
      </c>
      <c r="AA50" s="36">
        <v>0</v>
      </c>
      <c r="AB50" s="69">
        <v>50</v>
      </c>
      <c r="AC50" s="69"/>
      <c r="AD50" s="70"/>
      <c r="AE50" t="s">
        <v>1085</v>
      </c>
      <c r="AF50">
        <v>1416</v>
      </c>
      <c r="AG50">
        <v>56318</v>
      </c>
      <c r="AH50">
        <v>7457</v>
      </c>
      <c r="AK50" t="s">
        <v>1086</v>
      </c>
      <c r="AL50" t="s">
        <v>1087</v>
      </c>
      <c r="AO50" s="50">
        <v>40604.28743055555</v>
      </c>
      <c r="AP50" s="85" t="str">
        <f>HYPERLINK("https://pbs.twimg.com/profile_banners/259611996/1676681076")</f>
        <v>https://pbs.twimg.com/profile_banners/259611996/1676681076</v>
      </c>
      <c r="AQ50" t="b">
        <v>1</v>
      </c>
      <c r="AR50" t="b">
        <v>0</v>
      </c>
      <c r="AU50">
        <v>361</v>
      </c>
      <c r="AW50" t="b">
        <v>0</v>
      </c>
      <c r="AX50" t="s">
        <v>789</v>
      </c>
      <c r="AY50" s="85" t="str">
        <f>HYPERLINK("https://twitter.com/bearbig")</f>
        <v>https://twitter.com/bearbig</v>
      </c>
      <c r="AZ50" s="81" t="s">
        <v>588</v>
      </c>
      <c r="BA50" s="35"/>
      <c r="BB50" s="35"/>
      <c r="BC50" s="35"/>
      <c r="BD50" s="35"/>
      <c r="BE50" s="35"/>
      <c r="BF50" s="35"/>
      <c r="BG50" s="65" t="s">
        <v>1088</v>
      </c>
      <c r="BH50" s="65" t="s">
        <v>1088</v>
      </c>
      <c r="BI50" s="65" t="s">
        <v>1089</v>
      </c>
      <c r="BJ50" s="65" t="s">
        <v>1089</v>
      </c>
      <c r="BK50" s="35"/>
      <c r="BL50" s="36"/>
      <c r="BM50" s="35"/>
      <c r="BN50" s="36"/>
      <c r="BO50" s="35"/>
      <c r="BP50" s="36"/>
      <c r="BQ50" s="35">
        <v>8</v>
      </c>
      <c r="BR50" s="36">
        <v>100</v>
      </c>
      <c r="BS50" s="35">
        <v>8</v>
      </c>
      <c r="BT50" s="125" t="str">
        <f>REPLACE(INDEX(GroupVertices[Group],MATCH(Vertices[[#This Row],[Vertex]],GroupVertices[Vertex],0)),1,1,"")</f>
        <v>1</v>
      </c>
      <c r="BU50" s="98" t="s">
        <v>434</v>
      </c>
      <c r="BV50" s="35">
        <v>0</v>
      </c>
      <c r="BW50" s="36">
        <v>0</v>
      </c>
      <c r="BX50" s="35">
        <v>0</v>
      </c>
      <c r="BY50" s="36">
        <v>0</v>
      </c>
      <c r="BZ50" s="35">
        <v>0</v>
      </c>
      <c r="CA50" s="36">
        <v>0</v>
      </c>
      <c r="CB50" s="82"/>
      <c r="CD50" s="85" t="str">
        <f>HYPERLINK("https://t.co/FHmZzjmbVl")</f>
        <v>https://t.co/FHmZzjmbVl</v>
      </c>
      <c r="CE50" s="85" t="str">
        <f>HYPERLINK("https://bearliu.substack.com/")</f>
        <v>https://bearliu.substack.com/</v>
      </c>
      <c r="CF50" t="s">
        <v>1090</v>
      </c>
      <c r="CN50" s="85" t="str">
        <f>HYPERLINK("https://t.co/FHmZzjmbVl")</f>
        <v>https://t.co/FHmZzjmbVl</v>
      </c>
      <c r="DI50">
        <v>1152</v>
      </c>
      <c r="DJ50">
        <v>2908</v>
      </c>
      <c r="DK50" t="b">
        <v>1</v>
      </c>
      <c r="DN50" t="b">
        <v>1</v>
      </c>
      <c r="DO50" t="b">
        <v>1</v>
      </c>
      <c r="DP50" t="b">
        <v>1</v>
      </c>
      <c r="DQ50" t="b">
        <v>0</v>
      </c>
      <c r="DR50" t="b">
        <v>0</v>
      </c>
      <c r="DT50" t="s">
        <v>797</v>
      </c>
      <c r="DU50" t="b">
        <v>0</v>
      </c>
    </row>
    <row r="51" spans="1:125" ht="41.45" customHeight="1">
      <c r="A51" s="49" t="s">
        <v>435</v>
      </c>
      <c r="C51" s="60"/>
      <c r="D51" s="60" t="s">
        <v>785</v>
      </c>
      <c r="E51" s="66">
        <v>163.0776348411581</v>
      </c>
      <c r="F51" s="67">
        <v>99.99606019508812</v>
      </c>
      <c r="G51" s="53" t="str">
        <f>HYPERLINK("https://pbs.twimg.com/profile_images/1477903349278453762/0OBeufkj_normal.jpg")</f>
        <v>https://pbs.twimg.com/profile_images/1477903349278453762/0OBeufkj_normal.jpg</v>
      </c>
      <c r="H51" s="60"/>
      <c r="I51" s="54" t="s">
        <v>435</v>
      </c>
      <c r="J51" s="68"/>
      <c r="K51" s="68"/>
      <c r="L51" s="54" t="s">
        <v>1091</v>
      </c>
      <c r="M51" s="71">
        <v>2.3130056502988685</v>
      </c>
      <c r="N51" s="72">
        <v>1387.802001953125</v>
      </c>
      <c r="O51" s="72">
        <v>7340.25732421875</v>
      </c>
      <c r="P51" s="73"/>
      <c r="Q51" s="74"/>
      <c r="R51" s="74"/>
      <c r="S51" s="101"/>
      <c r="T51" s="35">
        <v>2</v>
      </c>
      <c r="U51" s="35">
        <v>1</v>
      </c>
      <c r="V51" s="36">
        <v>0</v>
      </c>
      <c r="W51" s="36">
        <v>0.09375</v>
      </c>
      <c r="X51" s="36">
        <v>0.240742</v>
      </c>
      <c r="Y51" s="36">
        <v>0.014535</v>
      </c>
      <c r="Z51" s="36">
        <v>0</v>
      </c>
      <c r="AA51" s="36">
        <v>0</v>
      </c>
      <c r="AB51" s="69">
        <v>51</v>
      </c>
      <c r="AC51" s="69"/>
      <c r="AD51" s="70"/>
      <c r="AE51" t="s">
        <v>1092</v>
      </c>
      <c r="AF51">
        <v>1419</v>
      </c>
      <c r="AG51">
        <v>20558</v>
      </c>
      <c r="AH51">
        <v>5335</v>
      </c>
      <c r="AK51" t="s">
        <v>1093</v>
      </c>
      <c r="AO51" s="50">
        <v>40808.21344907407</v>
      </c>
      <c r="AP51" s="85" t="str">
        <f>HYPERLINK("https://pbs.twimg.com/profile_banners/377823810/1635403486")</f>
        <v>https://pbs.twimg.com/profile_banners/377823810/1635403486</v>
      </c>
      <c r="AQ51" t="b">
        <v>1</v>
      </c>
      <c r="AR51" t="b">
        <v>0</v>
      </c>
      <c r="AU51">
        <v>204</v>
      </c>
      <c r="AW51" t="b">
        <v>0</v>
      </c>
      <c r="AX51" t="s">
        <v>789</v>
      </c>
      <c r="AY51" s="85" t="str">
        <f>HYPERLINK("https://twitter.com/ftium4")</f>
        <v>https://twitter.com/ftium4</v>
      </c>
      <c r="AZ51" s="81" t="s">
        <v>588</v>
      </c>
      <c r="BA51" s="35" t="s">
        <v>1094</v>
      </c>
      <c r="BB51" s="35" t="s">
        <v>1094</v>
      </c>
      <c r="BC51" s="35" t="s">
        <v>437</v>
      </c>
      <c r="BD51" s="35" t="s">
        <v>437</v>
      </c>
      <c r="BE51" s="35"/>
      <c r="BF51" s="35"/>
      <c r="BG51" s="65" t="s">
        <v>1095</v>
      </c>
      <c r="BH51" s="65" t="s">
        <v>1095</v>
      </c>
      <c r="BI51" s="65" t="s">
        <v>1096</v>
      </c>
      <c r="BJ51" s="65" t="s">
        <v>1096</v>
      </c>
      <c r="BK51" s="35"/>
      <c r="BL51" s="36"/>
      <c r="BM51" s="35"/>
      <c r="BN51" s="36"/>
      <c r="BO51" s="35"/>
      <c r="BP51" s="36"/>
      <c r="BQ51" s="35">
        <v>16</v>
      </c>
      <c r="BR51" s="36">
        <v>100</v>
      </c>
      <c r="BS51" s="35">
        <v>16</v>
      </c>
      <c r="BT51" s="125" t="str">
        <f>REPLACE(INDEX(GroupVertices[Group],MATCH(Vertices[[#This Row],[Vertex]],GroupVertices[Vertex],0)),1,1,"")</f>
        <v>1</v>
      </c>
      <c r="BU51" s="98" t="s">
        <v>449</v>
      </c>
      <c r="BV51" s="35">
        <v>0</v>
      </c>
      <c r="BW51" s="36">
        <v>0</v>
      </c>
      <c r="BX51" s="35">
        <v>0</v>
      </c>
      <c r="BY51" s="36">
        <v>0</v>
      </c>
      <c r="BZ51" s="35">
        <v>0</v>
      </c>
      <c r="CA51" s="36">
        <v>0</v>
      </c>
      <c r="CB51" s="82"/>
      <c r="CD51" s="85" t="str">
        <f>HYPERLINK("https://t.co/bXVe2gsFck")</f>
        <v>https://t.co/bXVe2gsFck</v>
      </c>
      <c r="CE51" s="85" t="str">
        <f>HYPERLINK("http://www.ftium4.com")</f>
        <v>http://www.ftium4.com</v>
      </c>
      <c r="CF51" t="s">
        <v>1097</v>
      </c>
      <c r="CN51" s="85" t="str">
        <f>HYPERLINK("https://t.co/bXVe2gsFck")</f>
        <v>https://t.co/bXVe2gsFck</v>
      </c>
      <c r="DI51">
        <v>7580</v>
      </c>
      <c r="DJ51">
        <v>2567</v>
      </c>
      <c r="DK51" t="b">
        <v>0</v>
      </c>
      <c r="DN51" t="b">
        <v>1</v>
      </c>
      <c r="DO51" t="b">
        <v>1</v>
      </c>
      <c r="DP51" t="b">
        <v>1</v>
      </c>
      <c r="DQ51" t="b">
        <v>0</v>
      </c>
      <c r="DR51" t="b">
        <v>0</v>
      </c>
      <c r="DT51" t="s">
        <v>797</v>
      </c>
      <c r="DU51" t="b">
        <v>0</v>
      </c>
    </row>
    <row r="52" spans="1:125" ht="41.45" customHeight="1">
      <c r="A52" s="49" t="s">
        <v>450</v>
      </c>
      <c r="C52" s="60"/>
      <c r="D52" s="60" t="s">
        <v>785</v>
      </c>
      <c r="E52" s="66">
        <v>162.19153992166514</v>
      </c>
      <c r="F52" s="67">
        <v>99.99929973503512</v>
      </c>
      <c r="G52" s="53" t="str">
        <f>HYPERLINK("https://pbs.twimg.com/profile_images/1638106713688805378/4v00_uOz_normal.jpg")</f>
        <v>https://pbs.twimg.com/profile_images/1638106713688805378/4v00_uOz_normal.jpg</v>
      </c>
      <c r="H52" s="60"/>
      <c r="I52" s="54" t="s">
        <v>450</v>
      </c>
      <c r="J52" s="68"/>
      <c r="K52" s="68"/>
      <c r="L52" s="54" t="s">
        <v>1098</v>
      </c>
      <c r="M52" s="71">
        <v>1.2333749706290527</v>
      </c>
      <c r="N52" s="72">
        <v>383.5933532714844</v>
      </c>
      <c r="O52" s="72">
        <v>6333.267578125</v>
      </c>
      <c r="P52" s="73"/>
      <c r="Q52" s="74"/>
      <c r="R52" s="74"/>
      <c r="S52" s="101"/>
      <c r="T52" s="35">
        <v>2</v>
      </c>
      <c r="U52" s="35">
        <v>1</v>
      </c>
      <c r="V52" s="36">
        <v>0</v>
      </c>
      <c r="W52" s="36">
        <v>0.09375</v>
      </c>
      <c r="X52" s="36">
        <v>0.240742</v>
      </c>
      <c r="Y52" s="36">
        <v>0.014535</v>
      </c>
      <c r="Z52" s="36">
        <v>0</v>
      </c>
      <c r="AA52" s="36">
        <v>0</v>
      </c>
      <c r="AB52" s="69">
        <v>52</v>
      </c>
      <c r="AC52" s="69"/>
      <c r="AD52" s="70"/>
      <c r="AE52" t="s">
        <v>1099</v>
      </c>
      <c r="AF52">
        <v>1041</v>
      </c>
      <c r="AG52">
        <v>3654</v>
      </c>
      <c r="AH52">
        <v>6338</v>
      </c>
      <c r="AK52" t="s">
        <v>1100</v>
      </c>
      <c r="AL52" t="s">
        <v>1101</v>
      </c>
      <c r="AO52" s="50">
        <v>44362.412511574075</v>
      </c>
      <c r="AP52" s="85" t="str">
        <f>HYPERLINK("https://pbs.twimg.com/profile_banners/1404738934043602947/1677035156")</f>
        <v>https://pbs.twimg.com/profile_banners/1404738934043602947/1677035156</v>
      </c>
      <c r="AQ52" t="b">
        <v>1</v>
      </c>
      <c r="AR52" t="b">
        <v>0</v>
      </c>
      <c r="AU52">
        <v>44</v>
      </c>
      <c r="AW52" t="b">
        <v>0</v>
      </c>
      <c r="AX52" t="s">
        <v>789</v>
      </c>
      <c r="AY52" s="85" t="str">
        <f>HYPERLINK("https://twitter.com/jackywine")</f>
        <v>https://twitter.com/jackywine</v>
      </c>
      <c r="AZ52" s="81" t="s">
        <v>588</v>
      </c>
      <c r="BA52" s="35" t="s">
        <v>1102</v>
      </c>
      <c r="BB52" s="35" t="s">
        <v>1102</v>
      </c>
      <c r="BC52" s="35" t="s">
        <v>452</v>
      </c>
      <c r="BD52" s="35" t="s">
        <v>452</v>
      </c>
      <c r="BE52" s="35" t="s">
        <v>453</v>
      </c>
      <c r="BF52" s="35" t="s">
        <v>453</v>
      </c>
      <c r="BG52" s="65" t="s">
        <v>1103</v>
      </c>
      <c r="BH52" s="65" t="s">
        <v>1103</v>
      </c>
      <c r="BI52" s="65" t="s">
        <v>1104</v>
      </c>
      <c r="BJ52" s="65" t="s">
        <v>1104</v>
      </c>
      <c r="BK52" s="35"/>
      <c r="BL52" s="36"/>
      <c r="BM52" s="35"/>
      <c r="BN52" s="36"/>
      <c r="BO52" s="35"/>
      <c r="BP52" s="36"/>
      <c r="BQ52" s="35">
        <v>11</v>
      </c>
      <c r="BR52" s="36">
        <v>100</v>
      </c>
      <c r="BS52" s="35">
        <v>11</v>
      </c>
      <c r="BT52" s="125" t="str">
        <f>REPLACE(INDEX(GroupVertices[Group],MATCH(Vertices[[#This Row],[Vertex]],GroupVertices[Vertex],0)),1,1,"")</f>
        <v>1</v>
      </c>
      <c r="BU52" s="98" t="s">
        <v>458</v>
      </c>
      <c r="BV52" s="35">
        <v>0</v>
      </c>
      <c r="BW52" s="36">
        <v>0</v>
      </c>
      <c r="BX52" s="35">
        <v>0</v>
      </c>
      <c r="BY52" s="36">
        <v>0</v>
      </c>
      <c r="BZ52" s="35">
        <v>0</v>
      </c>
      <c r="CA52" s="36">
        <v>0</v>
      </c>
      <c r="CB52" s="82"/>
      <c r="CD52" s="85" t="str">
        <f>HYPERLINK("https://t.co/Of8hzcqIfQ")</f>
        <v>https://t.co/Of8hzcqIfQ</v>
      </c>
      <c r="CE52" s="85" t="str">
        <f>HYPERLINK("http://figma.com/@jackywine1")</f>
        <v>http://figma.com/@jackywine1</v>
      </c>
      <c r="CF52" t="s">
        <v>1105</v>
      </c>
      <c r="CG52" s="85" t="str">
        <f>HYPERLINK("https://t.co/3iazbgJtUk")</f>
        <v>https://t.co/3iazbgJtUk</v>
      </c>
      <c r="CH52" s="85" t="str">
        <f>HYPERLINK("http://typefully.com/Jackywine")</f>
        <v>http://typefully.com/Jackywine</v>
      </c>
      <c r="CI52" t="s">
        <v>1106</v>
      </c>
      <c r="CM52">
        <v>1.64530868604123E+18</v>
      </c>
      <c r="CN52" s="85" t="str">
        <f>HYPERLINK("https://t.co/Of8hzcqIfQ")</f>
        <v>https://t.co/Of8hzcqIfQ</v>
      </c>
      <c r="DI52">
        <v>21870</v>
      </c>
      <c r="DJ52">
        <v>853</v>
      </c>
      <c r="DK52" t="b">
        <v>0</v>
      </c>
      <c r="DN52" t="b">
        <v>1</v>
      </c>
      <c r="DO52" t="b">
        <v>0</v>
      </c>
      <c r="DP52" t="b">
        <v>1</v>
      </c>
      <c r="DQ52" t="b">
        <v>0</v>
      </c>
      <c r="DR52" t="b">
        <v>0</v>
      </c>
      <c r="DT52" t="s">
        <v>797</v>
      </c>
      <c r="DU52" t="b">
        <v>0</v>
      </c>
    </row>
    <row r="53" spans="1:125" ht="41.45" customHeight="1">
      <c r="A53" s="49" t="s">
        <v>468</v>
      </c>
      <c r="C53" s="60"/>
      <c r="D53" s="60" t="s">
        <v>785</v>
      </c>
      <c r="E53" s="66">
        <v>162.14273760445926</v>
      </c>
      <c r="F53" s="67">
        <v>99.99947815503575</v>
      </c>
      <c r="G53" s="53" t="str">
        <f>HYPERLINK("https://pbs.twimg.com/profile_images/1552319982956154880/ovry18-I_normal.png")</f>
        <v>https://pbs.twimg.com/profile_images/1552319982956154880/ovry18-I_normal.png</v>
      </c>
      <c r="H53" s="60"/>
      <c r="I53" s="54" t="s">
        <v>468</v>
      </c>
      <c r="J53" s="68"/>
      <c r="K53" s="68"/>
      <c r="L53" s="54" t="s">
        <v>1107</v>
      </c>
      <c r="M53" s="71">
        <v>1.1739135317523017</v>
      </c>
      <c r="N53" s="72">
        <v>1540.802734375</v>
      </c>
      <c r="O53" s="72">
        <v>4093.246337890625</v>
      </c>
      <c r="P53" s="73"/>
      <c r="Q53" s="74"/>
      <c r="R53" s="74"/>
      <c r="S53" s="101"/>
      <c r="T53" s="35">
        <v>2</v>
      </c>
      <c r="U53" s="35">
        <v>1</v>
      </c>
      <c r="V53" s="36">
        <v>0</v>
      </c>
      <c r="W53" s="36">
        <v>0.09375</v>
      </c>
      <c r="X53" s="36">
        <v>0.240742</v>
      </c>
      <c r="Y53" s="36">
        <v>0.014535</v>
      </c>
      <c r="Z53" s="36">
        <v>0</v>
      </c>
      <c r="AA53" s="36">
        <v>0</v>
      </c>
      <c r="AB53" s="69">
        <v>53</v>
      </c>
      <c r="AC53" s="69"/>
      <c r="AD53" s="70"/>
      <c r="AE53" t="s">
        <v>1108</v>
      </c>
      <c r="AF53">
        <v>249</v>
      </c>
      <c r="AG53">
        <v>2723</v>
      </c>
      <c r="AH53">
        <v>1078</v>
      </c>
      <c r="AK53" t="s">
        <v>1109</v>
      </c>
      <c r="AL53" t="s">
        <v>1110</v>
      </c>
      <c r="AO53" s="50">
        <v>43438.222025462965</v>
      </c>
      <c r="AP53" s="85" t="str">
        <f>HYPERLINK("https://pbs.twimg.com/profile_banners/1069823543658000385/1658933753")</f>
        <v>https://pbs.twimg.com/profile_banners/1069823543658000385/1658933753</v>
      </c>
      <c r="AQ53" t="b">
        <v>1</v>
      </c>
      <c r="AR53" t="b">
        <v>0</v>
      </c>
      <c r="AU53">
        <v>33</v>
      </c>
      <c r="AW53" t="b">
        <v>0</v>
      </c>
      <c r="AX53" t="s">
        <v>789</v>
      </c>
      <c r="AY53" s="85" t="str">
        <f>HYPERLINK("https://twitter.com/gia917229015")</f>
        <v>https://twitter.com/gia917229015</v>
      </c>
      <c r="AZ53" s="81" t="s">
        <v>588</v>
      </c>
      <c r="BA53" s="35"/>
      <c r="BB53" s="35"/>
      <c r="BC53" s="35"/>
      <c r="BD53" s="35"/>
      <c r="BE53" s="35"/>
      <c r="BF53" s="35"/>
      <c r="BG53" s="65" t="s">
        <v>1111</v>
      </c>
      <c r="BH53" s="65" t="s">
        <v>1111</v>
      </c>
      <c r="BI53" s="65" t="s">
        <v>1112</v>
      </c>
      <c r="BJ53" s="65" t="s">
        <v>1112</v>
      </c>
      <c r="BK53" s="35"/>
      <c r="BL53" s="36"/>
      <c r="BM53" s="35"/>
      <c r="BN53" s="36"/>
      <c r="BO53" s="35"/>
      <c r="BP53" s="36"/>
      <c r="BQ53" s="35">
        <v>8</v>
      </c>
      <c r="BR53" s="36">
        <v>80</v>
      </c>
      <c r="BS53" s="35">
        <v>10</v>
      </c>
      <c r="BT53" s="125" t="str">
        <f>REPLACE(INDEX(GroupVertices[Group],MATCH(Vertices[[#This Row],[Vertex]],GroupVertices[Vertex],0)),1,1,"")</f>
        <v>1</v>
      </c>
      <c r="BU53" s="98" t="s">
        <v>472</v>
      </c>
      <c r="BV53" s="35">
        <v>0</v>
      </c>
      <c r="BW53" s="36">
        <v>0</v>
      </c>
      <c r="BX53" s="35">
        <v>0</v>
      </c>
      <c r="BY53" s="36">
        <v>0</v>
      </c>
      <c r="BZ53" s="35">
        <v>0</v>
      </c>
      <c r="CA53" s="36">
        <v>0</v>
      </c>
      <c r="CB53" s="82"/>
      <c r="CD53" s="85" t="str">
        <f>HYPERLINK("https://t.co/WLCN3lw4Ts")</f>
        <v>https://t.co/WLCN3lw4Ts</v>
      </c>
      <c r="CE53" s="85" t="str">
        <f>HYPERLINK("https://vim0.com")</f>
        <v>https://vim0.com</v>
      </c>
      <c r="CF53" t="s">
        <v>1113</v>
      </c>
      <c r="CM53">
        <v>1.65489475793469E+18</v>
      </c>
      <c r="CN53" s="85" t="str">
        <f>HYPERLINK("https://t.co/WLCN3lw4Ts")</f>
        <v>https://t.co/WLCN3lw4Ts</v>
      </c>
      <c r="DI53">
        <v>1794</v>
      </c>
      <c r="DJ53">
        <v>93</v>
      </c>
      <c r="DK53" t="b">
        <v>0</v>
      </c>
      <c r="DN53" t="b">
        <v>0</v>
      </c>
      <c r="DO53" t="b">
        <v>0</v>
      </c>
      <c r="DP53" t="b">
        <v>1</v>
      </c>
      <c r="DQ53" t="b">
        <v>0</v>
      </c>
      <c r="DR53" t="b">
        <v>0</v>
      </c>
      <c r="DT53" t="s">
        <v>797</v>
      </c>
      <c r="DU53" t="b">
        <v>0</v>
      </c>
    </row>
    <row r="54" spans="1:125" ht="41.45" customHeight="1">
      <c r="A54" s="49" t="s">
        <v>480</v>
      </c>
      <c r="C54" s="60"/>
      <c r="D54" s="60" t="s">
        <v>785</v>
      </c>
      <c r="E54" s="66">
        <v>165.48483141551665</v>
      </c>
      <c r="F54" s="67">
        <v>99.98725954710858</v>
      </c>
      <c r="G54" s="53" t="str">
        <f>HYPERLINK("https://pbs.twimg.com/profile_images/1577139853585973248/VFH3Pxe3_normal.png")</f>
        <v>https://pbs.twimg.com/profile_images/1577139853585973248/VFH3Pxe3_normal.png</v>
      </c>
      <c r="H54" s="60"/>
      <c r="I54" s="54" t="s">
        <v>480</v>
      </c>
      <c r="J54" s="68"/>
      <c r="K54" s="68"/>
      <c r="L54" s="54" t="s">
        <v>1114</v>
      </c>
      <c r="M54" s="71">
        <v>5.245968266945655</v>
      </c>
      <c r="N54" s="72">
        <v>2638.89990234375</v>
      </c>
      <c r="O54" s="72">
        <v>6660.64404296875</v>
      </c>
      <c r="P54" s="73"/>
      <c r="Q54" s="74"/>
      <c r="R54" s="74"/>
      <c r="S54" s="101"/>
      <c r="T54" s="35">
        <v>1</v>
      </c>
      <c r="U54" s="35">
        <v>0</v>
      </c>
      <c r="V54" s="36">
        <v>0</v>
      </c>
      <c r="W54" s="36">
        <v>0.09375</v>
      </c>
      <c r="X54" s="36">
        <v>0.176391</v>
      </c>
      <c r="Y54" s="36">
        <v>0.013445</v>
      </c>
      <c r="Z54" s="36">
        <v>0</v>
      </c>
      <c r="AA54" s="36">
        <v>0</v>
      </c>
      <c r="AB54" s="69">
        <v>54</v>
      </c>
      <c r="AC54" s="69"/>
      <c r="AD54" s="70"/>
      <c r="AE54" t="s">
        <v>1115</v>
      </c>
      <c r="AF54">
        <v>7264</v>
      </c>
      <c r="AG54">
        <v>66480</v>
      </c>
      <c r="AH54">
        <v>8934</v>
      </c>
      <c r="AK54" t="s">
        <v>1116</v>
      </c>
      <c r="AL54" t="s">
        <v>1117</v>
      </c>
      <c r="AO54" s="50">
        <v>43052.82347222222</v>
      </c>
      <c r="AP54" s="85" t="str">
        <f>HYPERLINK("https://pbs.twimg.com/profile_banners/930159781729333249/1635014346")</f>
        <v>https://pbs.twimg.com/profile_banners/930159781729333249/1635014346</v>
      </c>
      <c r="AQ54" t="b">
        <v>0</v>
      </c>
      <c r="AR54" t="b">
        <v>0</v>
      </c>
      <c r="AU54">
        <v>874</v>
      </c>
      <c r="AW54" t="b">
        <v>0</v>
      </c>
      <c r="AX54" t="s">
        <v>789</v>
      </c>
      <c r="AY54" s="85" t="str">
        <f>HYPERLINK("https://twitter.com/rickawsb")</f>
        <v>https://twitter.com/rickawsb</v>
      </c>
      <c r="AZ54" s="81" t="s">
        <v>137</v>
      </c>
      <c r="BA54" s="35"/>
      <c r="BB54" s="35"/>
      <c r="BC54" s="35"/>
      <c r="BD54" s="35"/>
      <c r="BE54" s="35"/>
      <c r="BF54" s="35"/>
      <c r="BG54" s="35"/>
      <c r="BH54" s="35"/>
      <c r="BI54" s="35"/>
      <c r="BJ54" s="35"/>
      <c r="BK54" s="35"/>
      <c r="BL54" s="36"/>
      <c r="BM54" s="35"/>
      <c r="BN54" s="36"/>
      <c r="BO54" s="35"/>
      <c r="BP54" s="36"/>
      <c r="BQ54" s="35"/>
      <c r="BR54" s="36"/>
      <c r="BS54" s="35"/>
      <c r="BT54" s="125" t="str">
        <f>REPLACE(INDEX(GroupVertices[Group],MATCH(Vertices[[#This Row],[Vertex]],GroupVertices[Vertex],0)),1,1,"")</f>
        <v>1</v>
      </c>
      <c r="BU54" s="98" t="s">
        <v>486</v>
      </c>
      <c r="BV54" s="35"/>
      <c r="BW54" s="36"/>
      <c r="BX54" s="35"/>
      <c r="BY54" s="36"/>
      <c r="BZ54" s="35"/>
      <c r="CA54" s="36"/>
      <c r="CB54" s="82"/>
      <c r="CM54">
        <v>1.70183783072366E+18</v>
      </c>
      <c r="DI54">
        <v>3050</v>
      </c>
      <c r="DJ54">
        <v>998</v>
      </c>
      <c r="DK54" t="b">
        <v>1</v>
      </c>
      <c r="DN54" t="b">
        <v>1</v>
      </c>
      <c r="DO54" t="b">
        <v>1</v>
      </c>
      <c r="DP54" t="b">
        <v>1</v>
      </c>
      <c r="DQ54" t="b">
        <v>0</v>
      </c>
      <c r="DR54" t="b">
        <v>0</v>
      </c>
      <c r="DT54" t="s">
        <v>797</v>
      </c>
      <c r="DU54" t="b">
        <v>0</v>
      </c>
    </row>
    <row r="55" spans="1:125" ht="41.45" customHeight="1">
      <c r="A55" s="49" t="s">
        <v>490</v>
      </c>
      <c r="C55" s="60"/>
      <c r="D55" s="60" t="s">
        <v>785</v>
      </c>
      <c r="E55" s="66">
        <v>163.06201390611264</v>
      </c>
      <c r="F55" s="67">
        <v>99.99611730481979</v>
      </c>
      <c r="G55" s="53" t="str">
        <f>HYPERLINK("https://pbs.twimg.com/profile_images/1578724430536388613/mmTYRTbf_normal.png")</f>
        <v>https://pbs.twimg.com/profile_images/1578724430536388613/mmTYRTbf_normal.png</v>
      </c>
      <c r="H55" s="60"/>
      <c r="I55" s="54" t="s">
        <v>490</v>
      </c>
      <c r="J55" s="68"/>
      <c r="K55" s="68"/>
      <c r="L55" s="54" t="s">
        <v>1118</v>
      </c>
      <c r="M55" s="71">
        <v>2.2939728803898762</v>
      </c>
      <c r="N55" s="72">
        <v>3107.106201171875</v>
      </c>
      <c r="O55" s="72">
        <v>5870.20361328125</v>
      </c>
      <c r="P55" s="73"/>
      <c r="Q55" s="74"/>
      <c r="R55" s="74"/>
      <c r="S55" s="101"/>
      <c r="T55" s="35">
        <v>2</v>
      </c>
      <c r="U55" s="35">
        <v>1</v>
      </c>
      <c r="V55" s="36">
        <v>0</v>
      </c>
      <c r="W55" s="36">
        <v>0.09375</v>
      </c>
      <c r="X55" s="36">
        <v>0.240742</v>
      </c>
      <c r="Y55" s="36">
        <v>0.014535</v>
      </c>
      <c r="Z55" s="36">
        <v>0</v>
      </c>
      <c r="AA55" s="36">
        <v>0</v>
      </c>
      <c r="AB55" s="69">
        <v>55</v>
      </c>
      <c r="AC55" s="69"/>
      <c r="AD55" s="70"/>
      <c r="AE55" t="s">
        <v>1119</v>
      </c>
      <c r="AF55">
        <v>433</v>
      </c>
      <c r="AG55">
        <v>20260</v>
      </c>
      <c r="AH55">
        <v>2297</v>
      </c>
      <c r="AK55" t="s">
        <v>1120</v>
      </c>
      <c r="AL55" t="s">
        <v>1121</v>
      </c>
      <c r="AO55" s="50">
        <v>41745.398506944446</v>
      </c>
      <c r="AP55" s="85" t="str">
        <f>HYPERLINK("https://pbs.twimg.com/profile_banners/2446896679/1688982838")</f>
        <v>https://pbs.twimg.com/profile_banners/2446896679/1688982838</v>
      </c>
      <c r="AQ55" t="b">
        <v>1</v>
      </c>
      <c r="AR55" t="b">
        <v>0</v>
      </c>
      <c r="AU55">
        <v>368</v>
      </c>
      <c r="AW55" t="b">
        <v>0</v>
      </c>
      <c r="AX55" t="s">
        <v>789</v>
      </c>
      <c r="AY55" s="85" t="str">
        <f>HYPERLINK("https://twitter.com/punk2898")</f>
        <v>https://twitter.com/punk2898</v>
      </c>
      <c r="AZ55" s="81" t="s">
        <v>588</v>
      </c>
      <c r="BA55" s="35"/>
      <c r="BB55" s="35"/>
      <c r="BC55" s="35"/>
      <c r="BD55" s="35"/>
      <c r="BE55" s="35"/>
      <c r="BF55" s="35"/>
      <c r="BG55" s="65" t="s">
        <v>1122</v>
      </c>
      <c r="BH55" s="65" t="s">
        <v>1122</v>
      </c>
      <c r="BI55" s="65" t="s">
        <v>1123</v>
      </c>
      <c r="BJ55" s="65" t="s">
        <v>1123</v>
      </c>
      <c r="BK55" s="35"/>
      <c r="BL55" s="36"/>
      <c r="BM55" s="35"/>
      <c r="BN55" s="36"/>
      <c r="BO55" s="35"/>
      <c r="BP55" s="36"/>
      <c r="BQ55" s="35">
        <v>12</v>
      </c>
      <c r="BR55" s="36">
        <v>100</v>
      </c>
      <c r="BS55" s="35">
        <v>12</v>
      </c>
      <c r="BT55" s="125" t="str">
        <f>REPLACE(INDEX(GroupVertices[Group],MATCH(Vertices[[#This Row],[Vertex]],GroupVertices[Vertex],0)),1,1,"")</f>
        <v>1</v>
      </c>
      <c r="BU55" s="98" t="s">
        <v>500</v>
      </c>
      <c r="BV55" s="35">
        <v>0</v>
      </c>
      <c r="BW55" s="36">
        <v>0</v>
      </c>
      <c r="BX55" s="35">
        <v>0</v>
      </c>
      <c r="BY55" s="36">
        <v>0</v>
      </c>
      <c r="BZ55" s="35">
        <v>0</v>
      </c>
      <c r="CA55" s="36">
        <v>0</v>
      </c>
      <c r="CB55" s="82"/>
      <c r="CD55" s="85" t="str">
        <f>HYPERLINK("https://t.co/kIBHcxqwUr")</f>
        <v>https://t.co/kIBHcxqwUr</v>
      </c>
      <c r="CE55" s="85" t="str">
        <f>HYPERLINK("https://t.me/punk2898_club")</f>
        <v>https://t.me/punk2898_club</v>
      </c>
      <c r="CF55" t="s">
        <v>1124</v>
      </c>
      <c r="CM55">
        <v>1.69677219994288E+18</v>
      </c>
      <c r="CN55" s="85" t="str">
        <f>HYPERLINK("https://t.co/kIBHcxqwUr")</f>
        <v>https://t.co/kIBHcxqwUr</v>
      </c>
      <c r="DI55">
        <v>5755</v>
      </c>
      <c r="DJ55">
        <v>375</v>
      </c>
      <c r="DK55" t="b">
        <v>1</v>
      </c>
      <c r="DN55" t="b">
        <v>1</v>
      </c>
      <c r="DO55" t="b">
        <v>1</v>
      </c>
      <c r="DP55" t="b">
        <v>1</v>
      </c>
      <c r="DQ55" t="b">
        <v>0</v>
      </c>
      <c r="DR55" t="b">
        <v>0</v>
      </c>
      <c r="DT55" t="s">
        <v>797</v>
      </c>
      <c r="DU55" t="b">
        <v>0</v>
      </c>
    </row>
    <row r="56" spans="1:125" ht="41.45" customHeight="1">
      <c r="A56" s="49" t="s">
        <v>504</v>
      </c>
      <c r="C56" s="60"/>
      <c r="D56" s="60" t="s">
        <v>785</v>
      </c>
      <c r="E56" s="66">
        <v>172.78541694098675</v>
      </c>
      <c r="F56" s="67">
        <v>99.9605687965739</v>
      </c>
      <c r="G56" s="53" t="str">
        <f>HYPERLINK("https://pbs.twimg.com/profile_images/1333582244817100801/W9vXWh4U_normal.jpg")</f>
        <v>https://pbs.twimg.com/profile_images/1333582244817100801/W9vXWh4U_normal.jpg</v>
      </c>
      <c r="H56" s="60"/>
      <c r="I56" s="54" t="s">
        <v>504</v>
      </c>
      <c r="J56" s="68"/>
      <c r="K56" s="68"/>
      <c r="L56" s="54" t="s">
        <v>1125</v>
      </c>
      <c r="M56" s="71">
        <v>14.141105728472764</v>
      </c>
      <c r="N56" s="72">
        <v>868.7427368164062</v>
      </c>
      <c r="O56" s="72">
        <v>4448.85595703125</v>
      </c>
      <c r="P56" s="73"/>
      <c r="Q56" s="74"/>
      <c r="R56" s="74"/>
      <c r="S56" s="101"/>
      <c r="T56" s="35">
        <v>1</v>
      </c>
      <c r="U56" s="35">
        <v>0</v>
      </c>
      <c r="V56" s="36">
        <v>0</v>
      </c>
      <c r="W56" s="36">
        <v>0.09375</v>
      </c>
      <c r="X56" s="36">
        <v>0.176391</v>
      </c>
      <c r="Y56" s="36">
        <v>0.013445</v>
      </c>
      <c r="Z56" s="36">
        <v>0</v>
      </c>
      <c r="AA56" s="36">
        <v>0</v>
      </c>
      <c r="AB56" s="69">
        <v>56</v>
      </c>
      <c r="AC56" s="69"/>
      <c r="AD56" s="70"/>
      <c r="AE56" t="s">
        <v>1126</v>
      </c>
      <c r="AF56">
        <v>3323</v>
      </c>
      <c r="AG56">
        <v>205753</v>
      </c>
      <c r="AH56">
        <v>469090</v>
      </c>
      <c r="AK56" t="s">
        <v>1127</v>
      </c>
      <c r="AO56" s="50">
        <v>43025.67502314815</v>
      </c>
      <c r="AP56" s="85" t="str">
        <f>HYPERLINK("https://pbs.twimg.com/profile_banners/920321515077414912/1628820387")</f>
        <v>https://pbs.twimg.com/profile_banners/920321515077414912/1628820387</v>
      </c>
      <c r="AQ56" t="b">
        <v>1</v>
      </c>
      <c r="AR56" t="b">
        <v>0</v>
      </c>
      <c r="AU56">
        <v>1393</v>
      </c>
      <c r="AW56" t="b">
        <v>0</v>
      </c>
      <c r="AX56" t="s">
        <v>789</v>
      </c>
      <c r="AY56" s="85" t="str">
        <f>HYPERLINK("https://twitter.com/readwise")</f>
        <v>https://twitter.com/readwise</v>
      </c>
      <c r="AZ56" s="81" t="s">
        <v>137</v>
      </c>
      <c r="BA56" s="35"/>
      <c r="BB56" s="35"/>
      <c r="BC56" s="35"/>
      <c r="BD56" s="35"/>
      <c r="BE56" s="35"/>
      <c r="BF56" s="35"/>
      <c r="BG56" s="35"/>
      <c r="BH56" s="35"/>
      <c r="BI56" s="35"/>
      <c r="BJ56" s="35"/>
      <c r="BK56" s="35"/>
      <c r="BL56" s="36"/>
      <c r="BM56" s="35"/>
      <c r="BN56" s="36"/>
      <c r="BO56" s="35"/>
      <c r="BP56" s="36"/>
      <c r="BQ56" s="35"/>
      <c r="BR56" s="36"/>
      <c r="BS56" s="35"/>
      <c r="BT56" s="125" t="str">
        <f>REPLACE(INDEX(GroupVertices[Group],MATCH(Vertices[[#This Row],[Vertex]],GroupVertices[Vertex],0)),1,1,"")</f>
        <v>1</v>
      </c>
      <c r="BU56" s="98" t="s">
        <v>1128</v>
      </c>
      <c r="BV56" s="35"/>
      <c r="BW56" s="36"/>
      <c r="BX56" s="35"/>
      <c r="BY56" s="36"/>
      <c r="BZ56" s="35"/>
      <c r="CA56" s="36"/>
      <c r="CB56" s="82"/>
      <c r="CD56" s="85" t="str">
        <f>HYPERLINK("https://t.co/nrgToNhKqN")</f>
        <v>https://t.co/nrgToNhKqN</v>
      </c>
      <c r="CE56" s="85" t="str">
        <f>HYPERLINK("https://readwise.io")</f>
        <v>https://readwise.io</v>
      </c>
      <c r="CF56" t="s">
        <v>1129</v>
      </c>
      <c r="CM56">
        <v>1.56543881084611E+18</v>
      </c>
      <c r="CN56" s="85" t="str">
        <f>HYPERLINK("https://t.co/nrgToNhKqN")</f>
        <v>https://t.co/nrgToNhKqN</v>
      </c>
      <c r="DI56">
        <v>2631</v>
      </c>
      <c r="DJ56">
        <v>132</v>
      </c>
      <c r="DK56" t="b">
        <v>1</v>
      </c>
      <c r="DN56" t="b">
        <v>1</v>
      </c>
      <c r="DO56" t="b">
        <v>1</v>
      </c>
      <c r="DP56" t="b">
        <v>1</v>
      </c>
      <c r="DQ56" t="b">
        <v>0</v>
      </c>
      <c r="DR56" t="b">
        <v>0</v>
      </c>
      <c r="DT56" t="s">
        <v>797</v>
      </c>
      <c r="DU56" t="b">
        <v>0</v>
      </c>
    </row>
    <row r="57" spans="1:125" ht="41.45" customHeight="1">
      <c r="A57" s="49" t="s">
        <v>530</v>
      </c>
      <c r="C57" s="60"/>
      <c r="D57" s="60" t="s">
        <v>785</v>
      </c>
      <c r="E57" s="66">
        <v>165.15611032937488</v>
      </c>
      <c r="F57" s="67">
        <v>99.98846134283785</v>
      </c>
      <c r="G57" s="53" t="str">
        <f>HYPERLINK("https://pbs.twimg.com/profile_images/1540397753586528256/SFkyn7LD_normal.jpg")</f>
        <v>https://pbs.twimg.com/profile_images/1540397753586528256/SFkyn7LD_normal.jpg</v>
      </c>
      <c r="H57" s="60"/>
      <c r="I57" s="54" t="s">
        <v>530</v>
      </c>
      <c r="J57" s="68"/>
      <c r="K57" s="68"/>
      <c r="L57" s="54" t="s">
        <v>1130</v>
      </c>
      <c r="M57" s="71">
        <v>4.845449810236627</v>
      </c>
      <c r="N57" s="72">
        <v>665.9649658203125</v>
      </c>
      <c r="O57" s="72">
        <v>7376.72802734375</v>
      </c>
      <c r="P57" s="73"/>
      <c r="Q57" s="74"/>
      <c r="R57" s="74"/>
      <c r="S57" s="101"/>
      <c r="T57" s="35">
        <v>2</v>
      </c>
      <c r="U57" s="35">
        <v>1</v>
      </c>
      <c r="V57" s="36">
        <v>0</v>
      </c>
      <c r="W57" s="36">
        <v>0.09375</v>
      </c>
      <c r="X57" s="36">
        <v>0.240742</v>
      </c>
      <c r="Y57" s="36">
        <v>0.014535</v>
      </c>
      <c r="Z57" s="36">
        <v>0</v>
      </c>
      <c r="AA57" s="36">
        <v>0</v>
      </c>
      <c r="AB57" s="69">
        <v>57</v>
      </c>
      <c r="AC57" s="69"/>
      <c r="AD57" s="70"/>
      <c r="AE57" t="s">
        <v>1131</v>
      </c>
      <c r="AF57">
        <v>300</v>
      </c>
      <c r="AG57">
        <v>60209</v>
      </c>
      <c r="AH57">
        <v>2169</v>
      </c>
      <c r="AK57" t="s">
        <v>1132</v>
      </c>
      <c r="AL57" t="s">
        <v>1133</v>
      </c>
      <c r="AO57" s="50">
        <v>44685.13082175926</v>
      </c>
      <c r="AP57" s="85" t="str">
        <f>HYPERLINK("https://pbs.twimg.com/profile_banners/1521688129559613440/1656093025")</f>
        <v>https://pbs.twimg.com/profile_banners/1521688129559613440/1656093025</v>
      </c>
      <c r="AQ57" t="b">
        <v>1</v>
      </c>
      <c r="AR57" t="b">
        <v>0</v>
      </c>
      <c r="AU57">
        <v>513</v>
      </c>
      <c r="AW57" t="b">
        <v>0</v>
      </c>
      <c r="AX57" t="s">
        <v>789</v>
      </c>
      <c r="AY57" s="85" t="str">
        <f>HYPERLINK("https://twitter.com/hitw93")</f>
        <v>https://twitter.com/hitw93</v>
      </c>
      <c r="AZ57" s="81" t="s">
        <v>588</v>
      </c>
      <c r="BA57" s="35" t="s">
        <v>1134</v>
      </c>
      <c r="BB57" s="35" t="s">
        <v>1135</v>
      </c>
      <c r="BC57" s="35" t="s">
        <v>1136</v>
      </c>
      <c r="BD57" s="35" t="s">
        <v>1136</v>
      </c>
      <c r="BE57" s="35" t="s">
        <v>1137</v>
      </c>
      <c r="BF57" s="35" t="s">
        <v>1138</v>
      </c>
      <c r="BG57" s="65" t="s">
        <v>1139</v>
      </c>
      <c r="BH57" s="65" t="s">
        <v>1140</v>
      </c>
      <c r="BI57" s="65" t="s">
        <v>1141</v>
      </c>
      <c r="BJ57" s="65" t="s">
        <v>1141</v>
      </c>
      <c r="BK57" s="35"/>
      <c r="BL57" s="36"/>
      <c r="BM57" s="35"/>
      <c r="BN57" s="36"/>
      <c r="BO57" s="35"/>
      <c r="BP57" s="36"/>
      <c r="BQ57" s="35">
        <v>40</v>
      </c>
      <c r="BR57" s="36">
        <v>100</v>
      </c>
      <c r="BS57" s="35">
        <v>40</v>
      </c>
      <c r="BT57" s="125" t="str">
        <f>REPLACE(INDEX(GroupVertices[Group],MATCH(Vertices[[#This Row],[Vertex]],GroupVertices[Vertex],0)),1,1,"")</f>
        <v>1</v>
      </c>
      <c r="BU57" s="98" t="s">
        <v>511</v>
      </c>
      <c r="BV57" s="35">
        <v>0</v>
      </c>
      <c r="BW57" s="36">
        <v>0</v>
      </c>
      <c r="BX57" s="35">
        <v>0</v>
      </c>
      <c r="BY57" s="36">
        <v>0</v>
      </c>
      <c r="BZ57" s="35">
        <v>0</v>
      </c>
      <c r="CA57" s="36">
        <v>0</v>
      </c>
      <c r="CB57" s="82"/>
      <c r="CD57" s="85" t="str">
        <f>HYPERLINK("https://t.co/rEYcagOwvN")</f>
        <v>https://t.co/rEYcagOwvN</v>
      </c>
      <c r="CE57" s="85" t="str">
        <f>HYPERLINK("http://the.top/tw93")</f>
        <v>http://the.top/tw93</v>
      </c>
      <c r="CF57" t="s">
        <v>1142</v>
      </c>
      <c r="CM57">
        <v>1.69687716419987E+18</v>
      </c>
      <c r="CN57" s="85" t="str">
        <f>HYPERLINK("https://t.co/rEYcagOwvN")</f>
        <v>https://t.co/rEYcagOwvN</v>
      </c>
      <c r="DI57">
        <v>894</v>
      </c>
      <c r="DJ57">
        <v>645</v>
      </c>
      <c r="DK57" t="b">
        <v>0</v>
      </c>
      <c r="DN57" t="b">
        <v>1</v>
      </c>
      <c r="DO57" t="b">
        <v>0</v>
      </c>
      <c r="DP57" t="b">
        <v>1</v>
      </c>
      <c r="DQ57" t="b">
        <v>0</v>
      </c>
      <c r="DR57" t="b">
        <v>0</v>
      </c>
      <c r="DT57" t="s">
        <v>797</v>
      </c>
      <c r="DU57" t="b">
        <v>0</v>
      </c>
    </row>
    <row r="58" spans="1:125" ht="41.45" customHeight="1">
      <c r="A58" s="49" t="s">
        <v>555</v>
      </c>
      <c r="C58" s="60"/>
      <c r="D58" s="60" t="s">
        <v>785</v>
      </c>
      <c r="E58" s="66">
        <v>174.20251881353605</v>
      </c>
      <c r="F58" s="67">
        <v>99.9553879090368</v>
      </c>
      <c r="G58" s="53" t="str">
        <f>HYPERLINK("https://pbs.twimg.com/profile_images/1451191636810092553/kpM5Fe12_normal.jpg")</f>
        <v>https://pbs.twimg.com/profile_images/1451191636810092553/kpM5Fe12_normal.jpg</v>
      </c>
      <c r="H58" s="60"/>
      <c r="I58" s="54" t="s">
        <v>555</v>
      </c>
      <c r="J58" s="68"/>
      <c r="K58" s="68"/>
      <c r="L58" s="54" t="s">
        <v>1143</v>
      </c>
      <c r="M58" s="71">
        <v>15.867722848337518</v>
      </c>
      <c r="N58" s="72">
        <v>456.6072692871094</v>
      </c>
      <c r="O58" s="72">
        <v>5306.85693359375</v>
      </c>
      <c r="P58" s="73"/>
      <c r="Q58" s="74"/>
      <c r="R58" s="74"/>
      <c r="S58" s="101"/>
      <c r="T58" s="35">
        <v>2</v>
      </c>
      <c r="U58" s="35">
        <v>1</v>
      </c>
      <c r="V58" s="36">
        <v>0</v>
      </c>
      <c r="W58" s="36">
        <v>0.09375</v>
      </c>
      <c r="X58" s="36">
        <v>0.240742</v>
      </c>
      <c r="Y58" s="36">
        <v>0.014535</v>
      </c>
      <c r="Z58" s="36">
        <v>0</v>
      </c>
      <c r="AA58" s="36">
        <v>0</v>
      </c>
      <c r="AB58" s="69">
        <v>58</v>
      </c>
      <c r="AC58" s="69"/>
      <c r="AD58" s="70"/>
      <c r="AE58" t="s">
        <v>1144</v>
      </c>
      <c r="AF58">
        <v>1866</v>
      </c>
      <c r="AG58">
        <v>232787</v>
      </c>
      <c r="AH58">
        <v>21475</v>
      </c>
      <c r="AK58" t="s">
        <v>1145</v>
      </c>
      <c r="AL58" t="s">
        <v>1146</v>
      </c>
      <c r="AO58" s="50">
        <v>41756.014027777775</v>
      </c>
      <c r="AP58" s="85" t="str">
        <f>HYPERLINK("https://pbs.twimg.com/profile_banners/2465283662/1610997549")</f>
        <v>https://pbs.twimg.com/profile_banners/2465283662/1610997549</v>
      </c>
      <c r="AQ58" t="b">
        <v>1</v>
      </c>
      <c r="AR58" t="b">
        <v>0</v>
      </c>
      <c r="AU58">
        <v>3108</v>
      </c>
      <c r="AW58" t="b">
        <v>0</v>
      </c>
      <c r="AX58" t="s">
        <v>789</v>
      </c>
      <c r="AY58" s="85" t="str">
        <f>HYPERLINK("https://twitter.com/_akhaliq")</f>
        <v>https://twitter.com/_akhaliq</v>
      </c>
      <c r="AZ58" s="81" t="s">
        <v>588</v>
      </c>
      <c r="BA58" s="35" t="s">
        <v>1147</v>
      </c>
      <c r="BB58" s="35" t="s">
        <v>1147</v>
      </c>
      <c r="BC58" s="35" t="s">
        <v>557</v>
      </c>
      <c r="BD58" s="35" t="s">
        <v>557</v>
      </c>
      <c r="BE58" s="35"/>
      <c r="BF58" s="35"/>
      <c r="BG58" s="65" t="s">
        <v>1148</v>
      </c>
      <c r="BH58" s="65" t="s">
        <v>1148</v>
      </c>
      <c r="BI58" s="65" t="s">
        <v>1149</v>
      </c>
      <c r="BJ58" s="65" t="s">
        <v>1149</v>
      </c>
      <c r="BK58" s="35"/>
      <c r="BL58" s="36"/>
      <c r="BM58" s="35"/>
      <c r="BN58" s="36"/>
      <c r="BO58" s="35"/>
      <c r="BP58" s="36"/>
      <c r="BQ58" s="35">
        <v>26</v>
      </c>
      <c r="BR58" s="36">
        <v>76.47058823529412</v>
      </c>
      <c r="BS58" s="35">
        <v>34</v>
      </c>
      <c r="BT58" s="125" t="str">
        <f>REPLACE(INDEX(GroupVertices[Group],MATCH(Vertices[[#This Row],[Vertex]],GroupVertices[Vertex],0)),1,1,"")</f>
        <v>1</v>
      </c>
      <c r="BU58" s="98" t="s">
        <v>523</v>
      </c>
      <c r="BV58" s="35">
        <v>0</v>
      </c>
      <c r="BW58" s="36">
        <v>0</v>
      </c>
      <c r="BX58" s="35">
        <v>0</v>
      </c>
      <c r="BY58" s="36">
        <v>0</v>
      </c>
      <c r="BZ58" s="35">
        <v>0</v>
      </c>
      <c r="CA58" s="36">
        <v>0</v>
      </c>
      <c r="CB58" s="82"/>
      <c r="CD58" s="85" t="str">
        <f>HYPERLINK("https://t.co/TbGnXZJwEc")</f>
        <v>https://t.co/TbGnXZJwEc</v>
      </c>
      <c r="CE58" s="85" t="str">
        <f>HYPERLINK("https://akhaliq.substack.com/")</f>
        <v>https://akhaliq.substack.com/</v>
      </c>
      <c r="CF58" t="s">
        <v>1150</v>
      </c>
      <c r="CN58" s="85" t="str">
        <f>HYPERLINK("https://t.co/TbGnXZJwEc")</f>
        <v>https://t.co/TbGnXZJwEc</v>
      </c>
      <c r="DI58">
        <v>26376</v>
      </c>
      <c r="DJ58">
        <v>13726</v>
      </c>
      <c r="DK58" t="b">
        <v>1</v>
      </c>
      <c r="DN58" t="b">
        <v>1</v>
      </c>
      <c r="DO58" t="b">
        <v>1</v>
      </c>
      <c r="DP58" t="b">
        <v>1</v>
      </c>
      <c r="DQ58" t="b">
        <v>0</v>
      </c>
      <c r="DR58" t="b">
        <v>0</v>
      </c>
      <c r="DT58" t="s">
        <v>797</v>
      </c>
      <c r="DU58" t="b">
        <v>0</v>
      </c>
    </row>
    <row r="59" spans="1:125" ht="41.45" customHeight="1">
      <c r="A59" s="49" t="s">
        <v>560</v>
      </c>
      <c r="C59" s="60"/>
      <c r="D59" s="60" t="s">
        <v>785</v>
      </c>
      <c r="E59" s="66">
        <v>163.6033474504574</v>
      </c>
      <c r="F59" s="67">
        <v>99.9941382034809</v>
      </c>
      <c r="G59" s="53" t="str">
        <f>HYPERLINK("https://pbs.twimg.com/profile_images/587268563/twitterProfilePhoto_normal.jpg")</f>
        <v>https://pbs.twimg.com/profile_images/587268563/twitterProfilePhoto_normal.jpg</v>
      </c>
      <c r="H59" s="60"/>
      <c r="I59" s="54" t="s">
        <v>560</v>
      </c>
      <c r="J59" s="68"/>
      <c r="K59" s="68"/>
      <c r="L59" s="54" t="s">
        <v>1151</v>
      </c>
      <c r="M59" s="71">
        <v>2.953541386598477</v>
      </c>
      <c r="N59" s="72">
        <v>2228.706787109375</v>
      </c>
      <c r="O59" s="72">
        <v>7892.9541015625</v>
      </c>
      <c r="P59" s="73"/>
      <c r="Q59" s="74"/>
      <c r="R59" s="74"/>
      <c r="S59" s="101"/>
      <c r="T59" s="35">
        <v>2</v>
      </c>
      <c r="U59" s="35">
        <v>1</v>
      </c>
      <c r="V59" s="36">
        <v>22</v>
      </c>
      <c r="W59" s="36">
        <v>0.102273</v>
      </c>
      <c r="X59" s="36">
        <v>0.189964</v>
      </c>
      <c r="Y59" s="36">
        <v>0.015582</v>
      </c>
      <c r="Z59" s="36">
        <v>0</v>
      </c>
      <c r="AA59" s="36">
        <v>0.5</v>
      </c>
      <c r="AB59" s="69">
        <v>59</v>
      </c>
      <c r="AC59" s="69"/>
      <c r="AD59" s="70"/>
      <c r="AE59" t="s">
        <v>560</v>
      </c>
      <c r="AF59">
        <v>350</v>
      </c>
      <c r="AG59">
        <v>30587</v>
      </c>
      <c r="AH59">
        <v>2884</v>
      </c>
      <c r="AK59" t="s">
        <v>1152</v>
      </c>
      <c r="AO59" s="50">
        <v>39946.37092592593</v>
      </c>
      <c r="AP59" s="85" t="str">
        <f>HYPERLINK("https://pbs.twimg.com/profile_banners/39716430/1679141200")</f>
        <v>https://pbs.twimg.com/profile_banners/39716430/1679141200</v>
      </c>
      <c r="AQ59" t="b">
        <v>1</v>
      </c>
      <c r="AR59" t="b">
        <v>0</v>
      </c>
      <c r="AU59">
        <v>183</v>
      </c>
      <c r="AW59" t="b">
        <v>0</v>
      </c>
      <c r="AX59" t="s">
        <v>789</v>
      </c>
      <c r="AY59" s="85" t="str">
        <f>HYPERLINK("https://twitter.com/plantegg")</f>
        <v>https://twitter.com/plantegg</v>
      </c>
      <c r="AZ59" s="81" t="s">
        <v>588</v>
      </c>
      <c r="BA59" s="35" t="s">
        <v>1153</v>
      </c>
      <c r="BB59" s="35" t="s">
        <v>1153</v>
      </c>
      <c r="BC59" s="35" t="s">
        <v>562</v>
      </c>
      <c r="BD59" s="35" t="s">
        <v>562</v>
      </c>
      <c r="BE59" s="35"/>
      <c r="BF59" s="35"/>
      <c r="BG59" s="65" t="s">
        <v>1154</v>
      </c>
      <c r="BH59" s="65" t="s">
        <v>1154</v>
      </c>
      <c r="BI59" s="65" t="s">
        <v>1155</v>
      </c>
      <c r="BJ59" s="65" t="s">
        <v>1155</v>
      </c>
      <c r="BK59" s="35"/>
      <c r="BL59" s="36"/>
      <c r="BM59" s="35"/>
      <c r="BN59" s="36"/>
      <c r="BO59" s="35"/>
      <c r="BP59" s="36"/>
      <c r="BQ59" s="35">
        <v>3</v>
      </c>
      <c r="BR59" s="36">
        <v>100</v>
      </c>
      <c r="BS59" s="35">
        <v>3</v>
      </c>
      <c r="BT59" s="125" t="str">
        <f>REPLACE(INDEX(GroupVertices[Group],MATCH(Vertices[[#This Row],[Vertex]],GroupVertices[Vertex],0)),1,1,"")</f>
        <v>1</v>
      </c>
      <c r="BU59" s="98" t="s">
        <v>529</v>
      </c>
      <c r="BV59" s="35">
        <v>0</v>
      </c>
      <c r="BW59" s="36">
        <v>0</v>
      </c>
      <c r="BX59" s="35">
        <v>0</v>
      </c>
      <c r="BY59" s="36">
        <v>0</v>
      </c>
      <c r="BZ59" s="35">
        <v>0</v>
      </c>
      <c r="CA59" s="36">
        <v>0</v>
      </c>
      <c r="CB59" s="82"/>
      <c r="CD59" s="85" t="str">
        <f>HYPERLINK("https://t.co/UWhpCZ06ua")</f>
        <v>https://t.co/UWhpCZ06ua</v>
      </c>
      <c r="CE59" s="85" t="str">
        <f>HYPERLINK("https://plantegg.github.io")</f>
        <v>https://plantegg.github.io</v>
      </c>
      <c r="CF59" t="s">
        <v>1156</v>
      </c>
      <c r="CG59" s="85" t="str">
        <f>HYPERLINK("https://t.co/IxNVHUg5qp")</f>
        <v>https://t.co/IxNVHUg5qp</v>
      </c>
      <c r="CH59" s="85" t="str">
        <f>HYPERLINK("http://t.zsxq.com/0cz93XUPj")</f>
        <v>http://t.zsxq.com/0cz93XUPj</v>
      </c>
      <c r="CI59" t="s">
        <v>1157</v>
      </c>
      <c r="CM59">
        <v>1.65501954090273E+18</v>
      </c>
      <c r="CN59" s="85" t="str">
        <f>HYPERLINK("https://t.co/UWhpCZ06ua")</f>
        <v>https://t.co/UWhpCZ06ua</v>
      </c>
      <c r="DI59">
        <v>880</v>
      </c>
      <c r="DJ59">
        <v>586</v>
      </c>
      <c r="DK59" t="b">
        <v>0</v>
      </c>
      <c r="DN59" t="b">
        <v>1</v>
      </c>
      <c r="DO59" t="b">
        <v>0</v>
      </c>
      <c r="DP59" t="b">
        <v>1</v>
      </c>
      <c r="DQ59" t="b">
        <v>0</v>
      </c>
      <c r="DR59" t="b">
        <v>0</v>
      </c>
      <c r="DT59" t="s">
        <v>797</v>
      </c>
      <c r="DU59" t="b">
        <v>0</v>
      </c>
    </row>
    <row r="60" spans="1:125" ht="41.45" customHeight="1">
      <c r="A60" s="49" t="s">
        <v>576</v>
      </c>
      <c r="C60" s="60"/>
      <c r="D60" s="60" t="s">
        <v>785</v>
      </c>
      <c r="E60" s="66">
        <v>162.0224878561561</v>
      </c>
      <c r="F60" s="67">
        <v>99.9999177849836</v>
      </c>
      <c r="G60" s="53" t="str">
        <f>HYPERLINK("https://pbs.twimg.com/profile_images/1695723026023632896/U0_yzxng_normal.jpg")</f>
        <v>https://pbs.twimg.com/profile_images/1695723026023632896/U0_yzxng_normal.jpg</v>
      </c>
      <c r="H60" s="60"/>
      <c r="I60" s="54" t="s">
        <v>576</v>
      </c>
      <c r="J60" s="68"/>
      <c r="K60" s="68"/>
      <c r="L60" s="54" t="s">
        <v>1158</v>
      </c>
      <c r="M60" s="71">
        <v>1.027399524466301</v>
      </c>
      <c r="N60" s="72">
        <v>6416.14501953125</v>
      </c>
      <c r="O60" s="72">
        <v>7174.50927734375</v>
      </c>
      <c r="P60" s="73"/>
      <c r="Q60" s="74"/>
      <c r="R60" s="74"/>
      <c r="S60" s="101"/>
      <c r="T60" s="35">
        <v>2</v>
      </c>
      <c r="U60" s="35">
        <v>1</v>
      </c>
      <c r="V60" s="36">
        <v>0</v>
      </c>
      <c r="W60" s="36">
        <v>0.035156</v>
      </c>
      <c r="X60" s="36">
        <v>0</v>
      </c>
      <c r="Y60" s="36">
        <v>0.014982</v>
      </c>
      <c r="Z60" s="36">
        <v>0</v>
      </c>
      <c r="AA60" s="36">
        <v>0</v>
      </c>
      <c r="AB60" s="69">
        <v>60</v>
      </c>
      <c r="AC60" s="69"/>
      <c r="AD60" s="70"/>
      <c r="AE60" t="s">
        <v>1159</v>
      </c>
      <c r="AF60">
        <v>287</v>
      </c>
      <c r="AG60">
        <v>429</v>
      </c>
      <c r="AH60">
        <v>7952</v>
      </c>
      <c r="AK60" t="s">
        <v>1160</v>
      </c>
      <c r="AL60" t="s">
        <v>1161</v>
      </c>
      <c r="AO60" s="50">
        <v>44860.49658564815</v>
      </c>
      <c r="AP60" s="85" t="str">
        <f>HYPERLINK("https://pbs.twimg.com/profile_banners/1585238546742493184/1666866398")</f>
        <v>https://pbs.twimg.com/profile_banners/1585238546742493184/1666866398</v>
      </c>
      <c r="AQ60" t="b">
        <v>1</v>
      </c>
      <c r="AR60" t="b">
        <v>0</v>
      </c>
      <c r="AU60">
        <v>2</v>
      </c>
      <c r="AW60" t="b">
        <v>0</v>
      </c>
      <c r="AX60" t="s">
        <v>789</v>
      </c>
      <c r="AY60" s="85" t="str">
        <f>HYPERLINK("https://twitter.com/instigator_h")</f>
        <v>https://twitter.com/instigator_h</v>
      </c>
      <c r="AZ60" s="81" t="s">
        <v>588</v>
      </c>
      <c r="BA60" s="35"/>
      <c r="BB60" s="35"/>
      <c r="BC60" s="35"/>
      <c r="BD60" s="35"/>
      <c r="BE60" s="35"/>
      <c r="BF60" s="35"/>
      <c r="BG60" s="65" t="s">
        <v>1162</v>
      </c>
      <c r="BH60" s="65" t="s">
        <v>1162</v>
      </c>
      <c r="BI60" s="65" t="s">
        <v>1163</v>
      </c>
      <c r="BJ60" s="65" t="s">
        <v>1163</v>
      </c>
      <c r="BK60" s="35"/>
      <c r="BL60" s="36"/>
      <c r="BM60" s="35"/>
      <c r="BN60" s="36"/>
      <c r="BO60" s="35"/>
      <c r="BP60" s="36"/>
      <c r="BQ60" s="35">
        <v>3</v>
      </c>
      <c r="BR60" s="36">
        <v>42.857142857142854</v>
      </c>
      <c r="BS60" s="35">
        <v>7</v>
      </c>
      <c r="BT60" s="125" t="str">
        <f>REPLACE(INDEX(GroupVertices[Group],MATCH(Vertices[[#This Row],[Vertex]],GroupVertices[Vertex],0)),1,1,"")</f>
        <v>3</v>
      </c>
      <c r="BU60" s="98" t="s">
        <v>581</v>
      </c>
      <c r="BV60" s="35">
        <v>0</v>
      </c>
      <c r="BW60" s="36">
        <v>0</v>
      </c>
      <c r="BX60" s="35">
        <v>0</v>
      </c>
      <c r="BY60" s="36">
        <v>0</v>
      </c>
      <c r="BZ60" s="35">
        <v>0</v>
      </c>
      <c r="CA60" s="36">
        <v>0</v>
      </c>
      <c r="CB60" s="82"/>
      <c r="CD60" s="85" t="str">
        <f>HYPERLINK("https://t.co/ZtuexMZviT")</f>
        <v>https://t.co/ZtuexMZviT</v>
      </c>
      <c r="CE60" s="85" t="str">
        <f>HYPERLINK("http://www.Instagram.com/big_heph")</f>
        <v>http://www.Instagram.com/big_heph</v>
      </c>
      <c r="CF60" t="s">
        <v>1164</v>
      </c>
      <c r="CM60">
        <v>1.69696342162169E+18</v>
      </c>
      <c r="CN60" s="85" t="str">
        <f>HYPERLINK("https://t.co/ZtuexMZviT")</f>
        <v>https://t.co/ZtuexMZviT</v>
      </c>
      <c r="DI60">
        <v>12820</v>
      </c>
      <c r="DJ60">
        <v>125</v>
      </c>
      <c r="DK60" t="b">
        <v>0</v>
      </c>
      <c r="DN60" t="b">
        <v>0</v>
      </c>
      <c r="DO60" t="b">
        <v>1</v>
      </c>
      <c r="DP60" t="b">
        <v>0</v>
      </c>
      <c r="DQ60" t="b">
        <v>0</v>
      </c>
      <c r="DR60" t="b">
        <v>0</v>
      </c>
      <c r="DT60" t="s">
        <v>797</v>
      </c>
      <c r="DU60" t="b">
        <v>0</v>
      </c>
    </row>
    <row r="61" spans="1:125" ht="41.45" customHeight="1">
      <c r="A61" s="49" t="s">
        <v>587</v>
      </c>
      <c r="C61" s="60"/>
      <c r="D61" s="60" t="s">
        <v>785</v>
      </c>
      <c r="E61" s="66">
        <v>162.00319757395226</v>
      </c>
      <c r="F61" s="67">
        <v>99.99998830975291</v>
      </c>
      <c r="G61" s="53" t="str">
        <f>HYPERLINK("https://pbs.twimg.com/profile_images/925687120244723712/gT7H83cM_normal.jpg")</f>
        <v>https://pbs.twimg.com/profile_images/925687120244723712/gT7H83cM_normal.jpg</v>
      </c>
      <c r="H61" s="60"/>
      <c r="I61" s="54" t="s">
        <v>587</v>
      </c>
      <c r="J61" s="68"/>
      <c r="K61" s="68"/>
      <c r="L61" s="54" t="s">
        <v>1165</v>
      </c>
      <c r="M61" s="71">
        <v>1.0038959696793575</v>
      </c>
      <c r="N61" s="72">
        <v>2668.68115234375</v>
      </c>
      <c r="O61" s="72">
        <v>9545.873046875</v>
      </c>
      <c r="P61" s="73"/>
      <c r="Q61" s="74"/>
      <c r="R61" s="74"/>
      <c r="S61" s="101"/>
      <c r="T61" s="35">
        <v>1</v>
      </c>
      <c r="U61" s="35">
        <v>1</v>
      </c>
      <c r="V61" s="36">
        <v>0</v>
      </c>
      <c r="W61" s="36">
        <v>0.068182</v>
      </c>
      <c r="X61" s="36">
        <v>0.050778</v>
      </c>
      <c r="Y61" s="36">
        <v>0.014246</v>
      </c>
      <c r="Z61" s="36">
        <v>0</v>
      </c>
      <c r="AA61" s="36">
        <v>1</v>
      </c>
      <c r="AB61" s="69">
        <v>61</v>
      </c>
      <c r="AC61" s="69"/>
      <c r="AD61" s="70"/>
      <c r="AE61" t="s">
        <v>1166</v>
      </c>
      <c r="AF61">
        <v>574</v>
      </c>
      <c r="AG61">
        <v>61</v>
      </c>
      <c r="AH61">
        <v>4515</v>
      </c>
      <c r="AO61" s="50">
        <v>40529.285405092596</v>
      </c>
      <c r="AQ61" t="b">
        <v>1</v>
      </c>
      <c r="AR61" t="b">
        <v>0</v>
      </c>
      <c r="AU61">
        <v>14</v>
      </c>
      <c r="AW61" t="b">
        <v>0</v>
      </c>
      <c r="AX61" t="s">
        <v>789</v>
      </c>
      <c r="AY61" s="85" t="str">
        <f>HYPERLINK("https://twitter.com/csyangchsh")</f>
        <v>https://twitter.com/csyangchsh</v>
      </c>
      <c r="AZ61" s="81" t="s">
        <v>588</v>
      </c>
      <c r="BA61" s="35"/>
      <c r="BB61" s="35"/>
      <c r="BC61" s="35"/>
      <c r="BD61" s="35"/>
      <c r="BE61" s="35"/>
      <c r="BF61" s="35"/>
      <c r="BG61" s="65" t="s">
        <v>1167</v>
      </c>
      <c r="BH61" s="65" t="s">
        <v>1167</v>
      </c>
      <c r="BI61" s="65" t="s">
        <v>1168</v>
      </c>
      <c r="BJ61" s="65" t="s">
        <v>1168</v>
      </c>
      <c r="BK61" s="35"/>
      <c r="BL61" s="36"/>
      <c r="BM61" s="35"/>
      <c r="BN61" s="36"/>
      <c r="BO61" s="35"/>
      <c r="BP61" s="36"/>
      <c r="BQ61" s="35">
        <v>5</v>
      </c>
      <c r="BR61" s="36">
        <v>100</v>
      </c>
      <c r="BS61" s="35">
        <v>5</v>
      </c>
      <c r="BT61" s="125" t="str">
        <f>REPLACE(INDEX(GroupVertices[Group],MATCH(Vertices[[#This Row],[Vertex]],GroupVertices[Vertex],0)),1,1,"")</f>
        <v>1</v>
      </c>
      <c r="BU61" s="98" t="s">
        <v>1169</v>
      </c>
      <c r="BV61" s="35">
        <v>0</v>
      </c>
      <c r="BW61" s="36">
        <v>0</v>
      </c>
      <c r="BX61" s="35">
        <v>0</v>
      </c>
      <c r="BY61" s="36">
        <v>0</v>
      </c>
      <c r="BZ61" s="35">
        <v>0</v>
      </c>
      <c r="CA61" s="36">
        <v>0</v>
      </c>
      <c r="CB61" s="82"/>
      <c r="DI61">
        <v>2413</v>
      </c>
      <c r="DJ61">
        <v>3</v>
      </c>
      <c r="DK61" t="b">
        <v>0</v>
      </c>
      <c r="DN61" t="b">
        <v>0</v>
      </c>
      <c r="DO61" t="b">
        <v>1</v>
      </c>
      <c r="DP61" t="b">
        <v>0</v>
      </c>
      <c r="DQ61" t="b">
        <v>0</v>
      </c>
      <c r="DR61" t="b">
        <v>0</v>
      </c>
      <c r="DT61" t="s">
        <v>797</v>
      </c>
      <c r="DU61" t="b">
        <v>0</v>
      </c>
    </row>
    <row r="62" spans="1:125" ht="41.45" customHeight="1">
      <c r="A62" s="49" t="s">
        <v>595</v>
      </c>
      <c r="C62" s="60"/>
      <c r="D62" s="60" t="s">
        <v>785</v>
      </c>
      <c r="E62" s="66">
        <v>162.0010483849024</v>
      </c>
      <c r="F62" s="67">
        <v>99.9999961671321</v>
      </c>
      <c r="G62" s="53" t="str">
        <f>HYPERLINK("https://pbs.twimg.com/profile_images/1698702382836641792/tdhTCKDs_normal.jpg")</f>
        <v>https://pbs.twimg.com/profile_images/1698702382836641792/tdhTCKDs_normal.jpg</v>
      </c>
      <c r="H62" s="60"/>
      <c r="I62" s="54" t="s">
        <v>595</v>
      </c>
      <c r="J62" s="68"/>
      <c r="K62" s="68"/>
      <c r="L62" s="54" t="s">
        <v>1170</v>
      </c>
      <c r="M62" s="71">
        <v>1.001277367107986</v>
      </c>
      <c r="N62" s="72">
        <v>6418.79541015625</v>
      </c>
      <c r="O62" s="72">
        <v>4005.13818359375</v>
      </c>
      <c r="P62" s="73"/>
      <c r="Q62" s="74"/>
      <c r="R62" s="74"/>
      <c r="S62" s="101"/>
      <c r="T62" s="35">
        <v>0</v>
      </c>
      <c r="U62" s="35">
        <v>1</v>
      </c>
      <c r="V62" s="36">
        <v>0</v>
      </c>
      <c r="W62" s="36">
        <v>0.020833</v>
      </c>
      <c r="X62" s="36">
        <v>0</v>
      </c>
      <c r="Y62" s="36">
        <v>0.014381</v>
      </c>
      <c r="Z62" s="36">
        <v>0</v>
      </c>
      <c r="AA62" s="36">
        <v>0</v>
      </c>
      <c r="AB62" s="69">
        <v>62</v>
      </c>
      <c r="AC62" s="69"/>
      <c r="AD62" s="70"/>
      <c r="AE62" t="s">
        <v>1171</v>
      </c>
      <c r="AF62">
        <v>110</v>
      </c>
      <c r="AG62">
        <v>20</v>
      </c>
      <c r="AH62">
        <v>19</v>
      </c>
      <c r="AK62" t="s">
        <v>1172</v>
      </c>
      <c r="AO62" s="50">
        <v>43328.70978009259</v>
      </c>
      <c r="AP62" s="85" t="str">
        <f>HYPERLINK("https://pbs.twimg.com/profile_banners/1030137633987547136/1641305601")</f>
        <v>https://pbs.twimg.com/profile_banners/1030137633987547136/1641305601</v>
      </c>
      <c r="AQ62" t="b">
        <v>1</v>
      </c>
      <c r="AR62" t="b">
        <v>0</v>
      </c>
      <c r="AU62">
        <v>0</v>
      </c>
      <c r="AW62" t="b">
        <v>0</v>
      </c>
      <c r="AX62" t="s">
        <v>789</v>
      </c>
      <c r="AY62" s="85" t="str">
        <f>HYPERLINK("https://twitter.com/jeremyl51357386")</f>
        <v>https://twitter.com/jeremyl51357386</v>
      </c>
      <c r="AZ62" s="81" t="s">
        <v>588</v>
      </c>
      <c r="BA62" s="35"/>
      <c r="BB62" s="35"/>
      <c r="BC62" s="35"/>
      <c r="BD62" s="35"/>
      <c r="BE62" s="35"/>
      <c r="BF62" s="35"/>
      <c r="BG62" s="65" t="s">
        <v>1173</v>
      </c>
      <c r="BH62" s="65" t="s">
        <v>1173</v>
      </c>
      <c r="BI62" s="65" t="s">
        <v>1174</v>
      </c>
      <c r="BJ62" s="65" t="s">
        <v>1174</v>
      </c>
      <c r="BK62" s="35"/>
      <c r="BL62" s="36"/>
      <c r="BM62" s="35"/>
      <c r="BN62" s="36"/>
      <c r="BO62" s="35"/>
      <c r="BP62" s="36"/>
      <c r="BQ62" s="35">
        <v>12</v>
      </c>
      <c r="BR62" s="36">
        <v>63.1578947368421</v>
      </c>
      <c r="BS62" s="35">
        <v>19</v>
      </c>
      <c r="BT62" s="125" t="str">
        <f>REPLACE(INDEX(GroupVertices[Group],MATCH(Vertices[[#This Row],[Vertex]],GroupVertices[Vertex],0)),1,1,"")</f>
        <v>8</v>
      </c>
      <c r="BU62" s="98" t="s">
        <v>599</v>
      </c>
      <c r="BV62" s="35">
        <v>0</v>
      </c>
      <c r="BW62" s="36">
        <v>0</v>
      </c>
      <c r="BX62" s="35">
        <v>0</v>
      </c>
      <c r="BY62" s="36">
        <v>0</v>
      </c>
      <c r="BZ62" s="35">
        <v>0</v>
      </c>
      <c r="CA62" s="36">
        <v>0</v>
      </c>
      <c r="CB62" s="82"/>
      <c r="DI62">
        <v>292</v>
      </c>
      <c r="DJ62">
        <v>0</v>
      </c>
      <c r="DK62" t="b">
        <v>0</v>
      </c>
      <c r="DN62" t="b">
        <v>0</v>
      </c>
      <c r="DO62" t="b">
        <v>1</v>
      </c>
      <c r="DP62" t="b">
        <v>1</v>
      </c>
      <c r="DQ62" t="b">
        <v>0</v>
      </c>
      <c r="DR62" t="b">
        <v>0</v>
      </c>
      <c r="DT62" t="s">
        <v>797</v>
      </c>
      <c r="DU62" t="b">
        <v>0</v>
      </c>
    </row>
    <row r="63" spans="1:125" ht="41.45" customHeight="1">
      <c r="A63" s="49" t="s">
        <v>600</v>
      </c>
      <c r="C63" s="60"/>
      <c r="D63" s="60" t="s">
        <v>785</v>
      </c>
      <c r="E63" s="66">
        <v>1000</v>
      </c>
      <c r="F63" s="67">
        <v>70</v>
      </c>
      <c r="G63" s="53" t="str">
        <f>HYPERLINK("https://pbs.twimg.com/profile_images/1683325380441128960/yRsRRjGO_normal.jpg")</f>
        <v>https://pbs.twimg.com/profile_images/1683325380441128960/yRsRRjGO_normal.jpg</v>
      </c>
      <c r="H63" s="60"/>
      <c r="I63" s="54" t="s">
        <v>600</v>
      </c>
      <c r="J63" s="68"/>
      <c r="K63" s="68"/>
      <c r="L63" s="54" t="s">
        <v>1175</v>
      </c>
      <c r="M63" s="71">
        <v>9999</v>
      </c>
      <c r="N63" s="72">
        <v>383.7212219238281</v>
      </c>
      <c r="O63" s="72">
        <v>1686.100830078125</v>
      </c>
      <c r="P63" s="73"/>
      <c r="Q63" s="74"/>
      <c r="R63" s="74"/>
      <c r="S63" s="101"/>
      <c r="T63" s="35">
        <v>1</v>
      </c>
      <c r="U63" s="35">
        <v>0</v>
      </c>
      <c r="V63" s="36">
        <v>0</v>
      </c>
      <c r="W63" s="36">
        <v>0.080357</v>
      </c>
      <c r="X63" s="36">
        <v>6.5E-05</v>
      </c>
      <c r="Y63" s="36">
        <v>0.013549</v>
      </c>
      <c r="Z63" s="36">
        <v>0</v>
      </c>
      <c r="AA63" s="36">
        <v>0</v>
      </c>
      <c r="AB63" s="69">
        <v>63</v>
      </c>
      <c r="AC63" s="69"/>
      <c r="AD63" s="70"/>
      <c r="AE63" t="s">
        <v>1176</v>
      </c>
      <c r="AF63">
        <v>425</v>
      </c>
      <c r="AG63">
        <v>156540746</v>
      </c>
      <c r="AH63">
        <v>30658</v>
      </c>
      <c r="AL63" t="s">
        <v>1177</v>
      </c>
      <c r="AO63" s="50">
        <v>39966.842002314814</v>
      </c>
      <c r="AP63" s="85" t="str">
        <f>HYPERLINK("https://pbs.twimg.com/profile_banners/44196397/1690621312")</f>
        <v>https://pbs.twimg.com/profile_banners/44196397/1690621312</v>
      </c>
      <c r="AQ63" t="b">
        <v>0</v>
      </c>
      <c r="AR63" t="b">
        <v>0</v>
      </c>
      <c r="AU63">
        <v>127186</v>
      </c>
      <c r="AW63" t="b">
        <v>0</v>
      </c>
      <c r="AX63" t="s">
        <v>789</v>
      </c>
      <c r="AY63" s="85" t="str">
        <f>HYPERLINK("https://twitter.com/elonmusk")</f>
        <v>https://twitter.com/elonmusk</v>
      </c>
      <c r="AZ63" s="81" t="s">
        <v>137</v>
      </c>
      <c r="BA63" s="35"/>
      <c r="BB63" s="35"/>
      <c r="BC63" s="35"/>
      <c r="BD63" s="35"/>
      <c r="BE63" s="35"/>
      <c r="BF63" s="35"/>
      <c r="BG63" s="35"/>
      <c r="BH63" s="35"/>
      <c r="BI63" s="35"/>
      <c r="BJ63" s="35"/>
      <c r="BK63" s="35"/>
      <c r="BL63" s="36"/>
      <c r="BM63" s="35"/>
      <c r="BN63" s="36"/>
      <c r="BO63" s="35"/>
      <c r="BP63" s="36"/>
      <c r="BQ63" s="35"/>
      <c r="BR63" s="36"/>
      <c r="BS63" s="35"/>
      <c r="BT63" s="125" t="str">
        <f>REPLACE(INDEX(GroupVertices[Group],MATCH(Vertices[[#This Row],[Vertex]],GroupVertices[Vertex],0)),1,1,"")</f>
        <v>2</v>
      </c>
      <c r="BU63" s="98" t="s">
        <v>1178</v>
      </c>
      <c r="BV63" s="35"/>
      <c r="BW63" s="36"/>
      <c r="BX63" s="35"/>
      <c r="BY63" s="36"/>
      <c r="BZ63" s="35"/>
      <c r="CA63" s="36"/>
      <c r="CB63" s="82"/>
      <c r="CM63">
        <v>1.7010035501582E+18</v>
      </c>
      <c r="DI63">
        <v>32253</v>
      </c>
      <c r="DJ63">
        <v>1691</v>
      </c>
      <c r="DK63" t="b">
        <v>1</v>
      </c>
      <c r="DN63" t="b">
        <v>0</v>
      </c>
      <c r="DO63" t="b">
        <v>0</v>
      </c>
      <c r="DP63" t="b">
        <v>1</v>
      </c>
      <c r="DQ63" t="b">
        <v>0</v>
      </c>
      <c r="DR63" t="b">
        <v>0</v>
      </c>
      <c r="DT63" t="s">
        <v>797</v>
      </c>
      <c r="DU63" t="b">
        <v>0</v>
      </c>
    </row>
    <row r="64" spans="1:125" ht="41.45" customHeight="1">
      <c r="A64" s="49" t="s">
        <v>605</v>
      </c>
      <c r="C64" s="60"/>
      <c r="D64" s="60" t="s">
        <v>785</v>
      </c>
      <c r="E64" s="66">
        <v>174.84308198889124</v>
      </c>
      <c r="F64" s="67">
        <v>99.9530460267514</v>
      </c>
      <c r="G64" s="53" t="str">
        <f>HYPERLINK("https://pbs.twimg.com/profile_images/1646909696782000129/zpvatFoy_normal.jpg")</f>
        <v>https://pbs.twimg.com/profile_images/1646909696782000129/zpvatFoy_normal.jpg</v>
      </c>
      <c r="H64" s="60"/>
      <c r="I64" s="54" t="s">
        <v>605</v>
      </c>
      <c r="J64" s="68"/>
      <c r="K64" s="68"/>
      <c r="L64" s="54" t="s">
        <v>1179</v>
      </c>
      <c r="M64" s="71">
        <v>16.648194151317</v>
      </c>
      <c r="N64" s="72">
        <v>1053.0570068359375</v>
      </c>
      <c r="O64" s="72">
        <v>759.9444580078125</v>
      </c>
      <c r="P64" s="73"/>
      <c r="Q64" s="74"/>
      <c r="R64" s="74"/>
      <c r="S64" s="101"/>
      <c r="T64" s="35">
        <v>1</v>
      </c>
      <c r="U64" s="35">
        <v>0</v>
      </c>
      <c r="V64" s="36">
        <v>0</v>
      </c>
      <c r="W64" s="36">
        <v>0.080357</v>
      </c>
      <c r="X64" s="36">
        <v>6.5E-05</v>
      </c>
      <c r="Y64" s="36">
        <v>0.013549</v>
      </c>
      <c r="Z64" s="36">
        <v>0</v>
      </c>
      <c r="AA64" s="36">
        <v>0</v>
      </c>
      <c r="AB64" s="69">
        <v>64</v>
      </c>
      <c r="AC64" s="69"/>
      <c r="AD64" s="70"/>
      <c r="AE64" t="s">
        <v>1180</v>
      </c>
      <c r="AF64">
        <v>3509</v>
      </c>
      <c r="AG64">
        <v>245007</v>
      </c>
      <c r="AH64">
        <v>53254</v>
      </c>
      <c r="AK64" t="s">
        <v>1181</v>
      </c>
      <c r="AL64" t="s">
        <v>1182</v>
      </c>
      <c r="AO64" s="50">
        <v>39689.75697916667</v>
      </c>
      <c r="AP64" s="85" t="str">
        <f>HYPERLINK("https://pbs.twimg.com/profile_banners/16045268/1681046448")</f>
        <v>https://pbs.twimg.com/profile_banners/16045268/1681046448</v>
      </c>
      <c r="AQ64" t="b">
        <v>0</v>
      </c>
      <c r="AR64" t="b">
        <v>0</v>
      </c>
      <c r="AU64">
        <v>5790</v>
      </c>
      <c r="AW64" t="b">
        <v>0</v>
      </c>
      <c r="AX64" t="s">
        <v>789</v>
      </c>
      <c r="AY64" s="85" t="str">
        <f>HYPERLINK("https://twitter.com/insidehighered")</f>
        <v>https://twitter.com/insidehighered</v>
      </c>
      <c r="AZ64" s="81" t="s">
        <v>137</v>
      </c>
      <c r="BA64" s="35"/>
      <c r="BB64" s="35"/>
      <c r="BC64" s="35"/>
      <c r="BD64" s="35"/>
      <c r="BE64" s="35"/>
      <c r="BF64" s="35"/>
      <c r="BG64" s="35"/>
      <c r="BH64" s="35"/>
      <c r="BI64" s="35"/>
      <c r="BJ64" s="35"/>
      <c r="BK64" s="35"/>
      <c r="BL64" s="36"/>
      <c r="BM64" s="35"/>
      <c r="BN64" s="36"/>
      <c r="BO64" s="35"/>
      <c r="BP64" s="36"/>
      <c r="BQ64" s="35"/>
      <c r="BR64" s="36"/>
      <c r="BS64" s="35"/>
      <c r="BT64" s="125" t="str">
        <f>REPLACE(INDEX(GroupVertices[Group],MATCH(Vertices[[#This Row],[Vertex]],GroupVertices[Vertex],0)),1,1,"")</f>
        <v>2</v>
      </c>
      <c r="BU64" s="98" t="s">
        <v>1183</v>
      </c>
      <c r="BV64" s="35"/>
      <c r="BW64" s="36"/>
      <c r="BX64" s="35"/>
      <c r="BY64" s="36"/>
      <c r="BZ64" s="35"/>
      <c r="CA64" s="36"/>
      <c r="CB64" s="82"/>
      <c r="CD64" s="85" t="str">
        <f>HYPERLINK("https://t.co/pTGyyp04iI")</f>
        <v>https://t.co/pTGyyp04iI</v>
      </c>
      <c r="CE64" s="85" t="str">
        <f>HYPERLINK("http://www.insidehighered.com")</f>
        <v>http://www.insidehighered.com</v>
      </c>
      <c r="CF64" t="s">
        <v>607</v>
      </c>
      <c r="CM64">
        <v>1.69982844827614E+18</v>
      </c>
      <c r="CN64" s="85" t="str">
        <f>HYPERLINK("https://t.co/pTGyyp04iI")</f>
        <v>https://t.co/pTGyyp04iI</v>
      </c>
      <c r="DI64">
        <v>36610</v>
      </c>
      <c r="DJ64">
        <v>21657</v>
      </c>
      <c r="DK64" t="b">
        <v>1</v>
      </c>
      <c r="DN64" t="b">
        <v>1</v>
      </c>
      <c r="DO64" t="b">
        <v>1</v>
      </c>
      <c r="DP64" t="b">
        <v>1</v>
      </c>
      <c r="DQ64" t="b">
        <v>0</v>
      </c>
      <c r="DR64" t="b">
        <v>0</v>
      </c>
      <c r="DT64" t="s">
        <v>797</v>
      </c>
      <c r="DU64" t="b">
        <v>0</v>
      </c>
    </row>
    <row r="65" spans="1:125" ht="41.45" customHeight="1">
      <c r="A65" s="49" t="s">
        <v>611</v>
      </c>
      <c r="C65" s="60"/>
      <c r="D65" s="60" t="s">
        <v>785</v>
      </c>
      <c r="E65" s="66">
        <v>1000</v>
      </c>
      <c r="F65" s="67">
        <v>89.4516411081879</v>
      </c>
      <c r="G65" s="53" t="str">
        <f>HYPERLINK("https://pbs.twimg.com/profile_images/1098244578472280064/gjkVMelR_normal.png")</f>
        <v>https://pbs.twimg.com/profile_images/1098244578472280064/gjkVMelR_normal.png</v>
      </c>
      <c r="H65" s="60"/>
      <c r="I65" s="54" t="s">
        <v>611</v>
      </c>
      <c r="J65" s="68"/>
      <c r="K65" s="68"/>
      <c r="L65" s="54" t="s">
        <v>1184</v>
      </c>
      <c r="M65" s="71">
        <v>3516.4164066779135</v>
      </c>
      <c r="N65" s="72">
        <v>1465.0859375</v>
      </c>
      <c r="O65" s="72">
        <v>3640.119384765625</v>
      </c>
      <c r="P65" s="73"/>
      <c r="Q65" s="74"/>
      <c r="R65" s="74"/>
      <c r="S65" s="101"/>
      <c r="T65" s="35">
        <v>1</v>
      </c>
      <c r="U65" s="35">
        <v>0</v>
      </c>
      <c r="V65" s="36">
        <v>0</v>
      </c>
      <c r="W65" s="36">
        <v>0.080357</v>
      </c>
      <c r="X65" s="36">
        <v>6.5E-05</v>
      </c>
      <c r="Y65" s="36">
        <v>0.013549</v>
      </c>
      <c r="Z65" s="36">
        <v>0</v>
      </c>
      <c r="AA65" s="36">
        <v>0</v>
      </c>
      <c r="AB65" s="69">
        <v>65</v>
      </c>
      <c r="AC65" s="69"/>
      <c r="AD65" s="70"/>
      <c r="AE65" t="s">
        <v>1185</v>
      </c>
      <c r="AF65">
        <v>875</v>
      </c>
      <c r="AG65">
        <v>55041599</v>
      </c>
      <c r="AH65">
        <v>522204</v>
      </c>
      <c r="AK65" t="s">
        <v>1186</v>
      </c>
      <c r="AL65" t="s">
        <v>1187</v>
      </c>
      <c r="AO65" s="50">
        <v>39143.862291666665</v>
      </c>
      <c r="AP65" s="85" t="str">
        <f>HYPERLINK("https://pbs.twimg.com/profile_banners/807095/1584666392")</f>
        <v>https://pbs.twimg.com/profile_banners/807095/1584666392</v>
      </c>
      <c r="AQ65" t="b">
        <v>0</v>
      </c>
      <c r="AR65" t="b">
        <v>0</v>
      </c>
      <c r="AU65">
        <v>216838</v>
      </c>
      <c r="AW65" t="b">
        <v>0</v>
      </c>
      <c r="AX65" t="s">
        <v>789</v>
      </c>
      <c r="AY65" s="85" t="str">
        <f>HYPERLINK("https://twitter.com/nytimes")</f>
        <v>https://twitter.com/nytimes</v>
      </c>
      <c r="AZ65" s="81" t="s">
        <v>137</v>
      </c>
      <c r="BA65" s="35"/>
      <c r="BB65" s="35"/>
      <c r="BC65" s="35"/>
      <c r="BD65" s="35"/>
      <c r="BE65" s="35"/>
      <c r="BF65" s="35"/>
      <c r="BG65" s="35"/>
      <c r="BH65" s="35"/>
      <c r="BI65" s="35"/>
      <c r="BJ65" s="35"/>
      <c r="BK65" s="35"/>
      <c r="BL65" s="36"/>
      <c r="BM65" s="35"/>
      <c r="BN65" s="36"/>
      <c r="BO65" s="35"/>
      <c r="BP65" s="36"/>
      <c r="BQ65" s="35"/>
      <c r="BR65" s="36"/>
      <c r="BS65" s="35"/>
      <c r="BT65" s="125" t="str">
        <f>REPLACE(INDEX(GroupVertices[Group],MATCH(Vertices[[#This Row],[Vertex]],GroupVertices[Vertex],0)),1,1,"")</f>
        <v>2</v>
      </c>
      <c r="BU65" s="98" t="s">
        <v>1188</v>
      </c>
      <c r="BV65" s="35"/>
      <c r="BW65" s="36"/>
      <c r="BX65" s="35"/>
      <c r="BY65" s="36"/>
      <c r="BZ65" s="35"/>
      <c r="CA65" s="36"/>
      <c r="CB65" s="82"/>
      <c r="CD65" s="85" t="str">
        <f>HYPERLINK("http://t.co/ahvuWqicF9")</f>
        <v>http://t.co/ahvuWqicF9</v>
      </c>
      <c r="CE65" s="85" t="str">
        <f>HYPERLINK("http://www.nytimes.com/")</f>
        <v>http://www.nytimes.com/</v>
      </c>
      <c r="CF65" t="s">
        <v>147</v>
      </c>
      <c r="CG65" s="85" t="str">
        <f>HYPERLINK("https://t.co/ghL9OoYKMM")</f>
        <v>https://t.co/ghL9OoYKMM</v>
      </c>
      <c r="CH65" s="85" t="str">
        <f>HYPERLINK("http://nyti.ms/2FVHq9v")</f>
        <v>http://nyti.ms/2FVHq9v</v>
      </c>
      <c r="CI65" t="s">
        <v>1189</v>
      </c>
      <c r="CM65">
        <v>1.59368357868404E+18</v>
      </c>
      <c r="CN65" s="85" t="str">
        <f>HYPERLINK("http://t.co/ahvuWqicF9")</f>
        <v>http://t.co/ahvuWqicF9</v>
      </c>
      <c r="DI65">
        <v>18694</v>
      </c>
      <c r="DJ65">
        <v>66699</v>
      </c>
      <c r="DK65" t="b">
        <v>0</v>
      </c>
      <c r="DN65" t="b">
        <v>0</v>
      </c>
      <c r="DO65" t="b">
        <v>1</v>
      </c>
      <c r="DP65" t="b">
        <v>1</v>
      </c>
      <c r="DQ65" t="b">
        <v>0</v>
      </c>
      <c r="DR65" t="b">
        <v>0</v>
      </c>
      <c r="DT65" t="s">
        <v>797</v>
      </c>
      <c r="DU65" t="b">
        <v>0</v>
      </c>
    </row>
    <row r="66" spans="1:125" ht="41.45" customHeight="1">
      <c r="A66" s="49" t="s">
        <v>616</v>
      </c>
      <c r="C66" s="60"/>
      <c r="D66" s="60" t="s">
        <v>785</v>
      </c>
      <c r="E66" s="66">
        <v>162.08046354125779</v>
      </c>
      <c r="F66" s="67">
        <v>99.99970582738887</v>
      </c>
      <c r="G66" s="53" t="str">
        <f>HYPERLINK("https://pbs.twimg.com/profile_images/1664612525596344320/hmUNOKXI_normal.jpg")</f>
        <v>https://pbs.twimg.com/profile_images/1664612525596344320/hmUNOKXI_normal.jpg</v>
      </c>
      <c r="H66" s="60"/>
      <c r="I66" s="54" t="s">
        <v>616</v>
      </c>
      <c r="J66" s="68"/>
      <c r="K66" s="68"/>
      <c r="L66" s="54" t="s">
        <v>1190</v>
      </c>
      <c r="M66" s="71">
        <v>1.09803792553793</v>
      </c>
      <c r="N66" s="72">
        <v>570.131103515625</v>
      </c>
      <c r="O66" s="72">
        <v>3021.735107421875</v>
      </c>
      <c r="P66" s="73"/>
      <c r="Q66" s="74"/>
      <c r="R66" s="74"/>
      <c r="S66" s="101"/>
      <c r="T66" s="35">
        <v>1</v>
      </c>
      <c r="U66" s="35">
        <v>0</v>
      </c>
      <c r="V66" s="36">
        <v>0</v>
      </c>
      <c r="W66" s="36">
        <v>0.080357</v>
      </c>
      <c r="X66" s="36">
        <v>6.5E-05</v>
      </c>
      <c r="Y66" s="36">
        <v>0.013549</v>
      </c>
      <c r="Z66" s="36">
        <v>0</v>
      </c>
      <c r="AA66" s="36">
        <v>0</v>
      </c>
      <c r="AB66" s="69">
        <v>66</v>
      </c>
      <c r="AC66" s="69"/>
      <c r="AD66" s="70"/>
      <c r="AE66" t="s">
        <v>1191</v>
      </c>
      <c r="AF66">
        <v>0</v>
      </c>
      <c r="AG66">
        <v>1535</v>
      </c>
      <c r="AH66">
        <v>312</v>
      </c>
      <c r="AK66" t="s">
        <v>1192</v>
      </c>
      <c r="AO66" s="50">
        <v>44680.618935185186</v>
      </c>
      <c r="AP66" s="85" t="str">
        <f>HYPERLINK("https://pbs.twimg.com/profile_banners/1520053071996407813/1685721340")</f>
        <v>https://pbs.twimg.com/profile_banners/1520053071996407813/1685721340</v>
      </c>
      <c r="AQ66" t="b">
        <v>1</v>
      </c>
      <c r="AR66" t="b">
        <v>0</v>
      </c>
      <c r="AU66">
        <v>5</v>
      </c>
      <c r="AW66" t="b">
        <v>0</v>
      </c>
      <c r="AX66" t="s">
        <v>789</v>
      </c>
      <c r="AY66" s="85" t="str">
        <f>HYPERLINK("https://twitter.com/carscurious")</f>
        <v>https://twitter.com/carscurious</v>
      </c>
      <c r="AZ66" s="81" t="s">
        <v>137</v>
      </c>
      <c r="BA66" s="35"/>
      <c r="BB66" s="35"/>
      <c r="BC66" s="35"/>
      <c r="BD66" s="35"/>
      <c r="BE66" s="35"/>
      <c r="BF66" s="35"/>
      <c r="BG66" s="35"/>
      <c r="BH66" s="35"/>
      <c r="BI66" s="35"/>
      <c r="BJ66" s="35"/>
      <c r="BK66" s="35"/>
      <c r="BL66" s="36"/>
      <c r="BM66" s="35"/>
      <c r="BN66" s="36"/>
      <c r="BO66" s="35"/>
      <c r="BP66" s="36"/>
      <c r="BQ66" s="35"/>
      <c r="BR66" s="36"/>
      <c r="BS66" s="35"/>
      <c r="BT66" s="125" t="str">
        <f>REPLACE(INDEX(GroupVertices[Group],MATCH(Vertices[[#This Row],[Vertex]],GroupVertices[Vertex],0)),1,1,"")</f>
        <v>2</v>
      </c>
      <c r="BU66" s="98" t="s">
        <v>622</v>
      </c>
      <c r="BV66" s="35"/>
      <c r="BW66" s="36"/>
      <c r="BX66" s="35"/>
      <c r="BY66" s="36"/>
      <c r="BZ66" s="35"/>
      <c r="CA66" s="36"/>
      <c r="CB66" s="82"/>
      <c r="CM66">
        <v>1.54375351661061E+18</v>
      </c>
      <c r="DI66">
        <v>14</v>
      </c>
      <c r="DJ66">
        <v>144</v>
      </c>
      <c r="DK66" t="b">
        <v>1</v>
      </c>
      <c r="DN66" t="b">
        <v>0</v>
      </c>
      <c r="DO66" t="b">
        <v>1</v>
      </c>
      <c r="DP66" t="b">
        <v>0</v>
      </c>
      <c r="DQ66" t="b">
        <v>0</v>
      </c>
      <c r="DR66" t="b">
        <v>0</v>
      </c>
      <c r="DT66" t="s">
        <v>797</v>
      </c>
      <c r="DU66" t="b">
        <v>0</v>
      </c>
    </row>
    <row r="67" spans="1:125" ht="41.45" customHeight="1">
      <c r="A67" s="49" t="s">
        <v>623</v>
      </c>
      <c r="C67" s="60"/>
      <c r="D67" s="60" t="s">
        <v>785</v>
      </c>
      <c r="E67" s="66">
        <v>1000</v>
      </c>
      <c r="F67" s="67">
        <v>96.93629382601767</v>
      </c>
      <c r="G67" s="53" t="str">
        <f>HYPERLINK("https://pbs.twimg.com/profile_images/461964160838803457/8z9FImcv_normal.png")</f>
        <v>https://pbs.twimg.com/profile_images/461964160838803457/8z9FImcv_normal.png</v>
      </c>
      <c r="H67" s="60"/>
      <c r="I67" s="54" t="s">
        <v>623</v>
      </c>
      <c r="J67" s="68"/>
      <c r="K67" s="68"/>
      <c r="L67" s="54" t="s">
        <v>1193</v>
      </c>
      <c r="M67" s="71">
        <v>1022.0311442491784</v>
      </c>
      <c r="N67" s="72">
        <v>2310.728759765625</v>
      </c>
      <c r="O67" s="72">
        <v>3032.2783203125</v>
      </c>
      <c r="P67" s="73"/>
      <c r="Q67" s="74"/>
      <c r="R67" s="74"/>
      <c r="S67" s="101"/>
      <c r="T67" s="35">
        <v>1</v>
      </c>
      <c r="U67" s="35">
        <v>0</v>
      </c>
      <c r="V67" s="36">
        <v>0</v>
      </c>
      <c r="W67" s="36">
        <v>0.080357</v>
      </c>
      <c r="X67" s="36">
        <v>6.5E-05</v>
      </c>
      <c r="Y67" s="36">
        <v>0.013549</v>
      </c>
      <c r="Z67" s="36">
        <v>0</v>
      </c>
      <c r="AA67" s="36">
        <v>0</v>
      </c>
      <c r="AB67" s="69">
        <v>67</v>
      </c>
      <c r="AC67" s="69"/>
      <c r="AD67" s="70"/>
      <c r="AE67" t="s">
        <v>1194</v>
      </c>
      <c r="AF67">
        <v>6597</v>
      </c>
      <c r="AG67">
        <v>15986495</v>
      </c>
      <c r="AH67">
        <v>349540</v>
      </c>
      <c r="AK67" t="s">
        <v>1195</v>
      </c>
      <c r="AL67" t="s">
        <v>1016</v>
      </c>
      <c r="AO67" s="50">
        <v>39990.90893518519</v>
      </c>
      <c r="AP67" s="85" t="str">
        <f>HYPERLINK("https://pbs.twimg.com/profile_banners/51241574/1638483576")</f>
        <v>https://pbs.twimg.com/profile_banners/51241574/1638483576</v>
      </c>
      <c r="AQ67" t="b">
        <v>0</v>
      </c>
      <c r="AR67" t="b">
        <v>0</v>
      </c>
      <c r="AU67">
        <v>106100</v>
      </c>
      <c r="AW67" t="b">
        <v>0</v>
      </c>
      <c r="AX67" t="s">
        <v>789</v>
      </c>
      <c r="AY67" s="85" t="str">
        <f>HYPERLINK("https://twitter.com/ap")</f>
        <v>https://twitter.com/ap</v>
      </c>
      <c r="AZ67" s="81" t="s">
        <v>137</v>
      </c>
      <c r="BA67" s="35"/>
      <c r="BB67" s="35"/>
      <c r="BC67" s="35"/>
      <c r="BD67" s="35"/>
      <c r="BE67" s="35"/>
      <c r="BF67" s="35"/>
      <c r="BG67" s="35"/>
      <c r="BH67" s="35"/>
      <c r="BI67" s="35"/>
      <c r="BJ67" s="35"/>
      <c r="BK67" s="35"/>
      <c r="BL67" s="36"/>
      <c r="BM67" s="35"/>
      <c r="BN67" s="36"/>
      <c r="BO67" s="35"/>
      <c r="BP67" s="36"/>
      <c r="BQ67" s="35"/>
      <c r="BR67" s="36"/>
      <c r="BS67" s="35"/>
      <c r="BT67" s="125" t="str">
        <f>REPLACE(INDEX(GroupVertices[Group],MATCH(Vertices[[#This Row],[Vertex]],GroupVertices[Vertex],0)),1,1,"")</f>
        <v>2</v>
      </c>
      <c r="BU67" s="98" t="s">
        <v>1196</v>
      </c>
      <c r="BV67" s="35"/>
      <c r="BW67" s="36"/>
      <c r="BX67" s="35"/>
      <c r="BY67" s="36"/>
      <c r="BZ67" s="35"/>
      <c r="CA67" s="36"/>
      <c r="CB67" s="82"/>
      <c r="CD67" s="85" t="str">
        <f>HYPERLINK("https://t.co/0HD7A9hKKy")</f>
        <v>https://t.co/0HD7A9hKKy</v>
      </c>
      <c r="CE67" s="85" t="str">
        <f>HYPERLINK("https://apnews.com/")</f>
        <v>https://apnews.com/</v>
      </c>
      <c r="CF67" t="s">
        <v>625</v>
      </c>
      <c r="CN67" s="85" t="str">
        <f>HYPERLINK("https://t.co/0HD7A9hKKy")</f>
        <v>https://t.co/0HD7A9hKKy</v>
      </c>
      <c r="DI67">
        <v>4327</v>
      </c>
      <c r="DJ67">
        <v>12546</v>
      </c>
      <c r="DK67" t="b">
        <v>1</v>
      </c>
      <c r="DN67" t="b">
        <v>0</v>
      </c>
      <c r="DO67" t="b">
        <v>1</v>
      </c>
      <c r="DP67" t="b">
        <v>1</v>
      </c>
      <c r="DQ67" t="b">
        <v>0</v>
      </c>
      <c r="DR67" t="b">
        <v>0</v>
      </c>
      <c r="DT67" t="s">
        <v>797</v>
      </c>
      <c r="DU67" t="b">
        <v>0</v>
      </c>
    </row>
    <row r="68" spans="1:30" ht="41.45" customHeight="1">
      <c r="A68"/>
      <c r="AC68"/>
      <c r="AD68"/>
    </row>
    <row r="69" spans="1:30" ht="41.45" customHeight="1">
      <c r="A69"/>
      <c r="AC69"/>
      <c r="AD69"/>
    </row>
    <row r="70" spans="1:30" ht="41.45" customHeight="1">
      <c r="A70"/>
      <c r="AC70"/>
      <c r="AD70"/>
    </row>
    <row r="71" spans="1:30" ht="41.45" customHeight="1">
      <c r="A71"/>
      <c r="AC71"/>
      <c r="AD71"/>
    </row>
    <row r="72" spans="1:30" ht="41.45" customHeight="1">
      <c r="A72"/>
      <c r="AC72"/>
      <c r="AD72"/>
    </row>
    <row r="73" spans="1:30" ht="41.45" customHeight="1">
      <c r="A73"/>
      <c r="AC73"/>
      <c r="AD73"/>
    </row>
    <row r="74" spans="1:30" ht="41.45" customHeight="1">
      <c r="A74"/>
      <c r="AC74"/>
      <c r="AD74"/>
    </row>
    <row r="75" spans="1:30" ht="41.45" customHeight="1">
      <c r="A75"/>
      <c r="AC75"/>
      <c r="AD75"/>
    </row>
    <row r="76" spans="1:30" ht="41.45" customHeight="1">
      <c r="A76"/>
      <c r="AC76"/>
      <c r="AD76"/>
    </row>
    <row r="77" spans="1:30" ht="41.45" customHeight="1">
      <c r="A77"/>
      <c r="AC77"/>
      <c r="AD77"/>
    </row>
    <row r="78" spans="1:30" ht="41.45" customHeight="1">
      <c r="A78"/>
      <c r="AC78"/>
      <c r="AD78"/>
    </row>
    <row r="79" spans="1:30" ht="41.45" customHeight="1">
      <c r="A79"/>
      <c r="AC79"/>
      <c r="AD79"/>
    </row>
    <row r="80" spans="1:30" ht="41.45" customHeight="1">
      <c r="A80"/>
      <c r="AC80"/>
      <c r="AD80"/>
    </row>
    <row r="81" spans="1:30" ht="41.45" customHeight="1">
      <c r="A81"/>
      <c r="AC81"/>
      <c r="AD81"/>
    </row>
    <row r="82" spans="1:30" ht="41.45" customHeight="1">
      <c r="A82"/>
      <c r="AC82"/>
      <c r="AD82"/>
    </row>
    <row r="83" spans="1:30" ht="41.45" customHeight="1">
      <c r="A83"/>
      <c r="AC83"/>
      <c r="AD83"/>
    </row>
    <row r="84" spans="1:30" ht="41.45" customHeight="1">
      <c r="A84"/>
      <c r="AC84"/>
      <c r="AD84"/>
    </row>
    <row r="85" spans="1:30" ht="41.45" customHeight="1">
      <c r="A85"/>
      <c r="AC85"/>
      <c r="AD85"/>
    </row>
    <row r="86" spans="1:30" ht="41.45" customHeight="1">
      <c r="A86"/>
      <c r="AC86"/>
      <c r="AD86"/>
    </row>
    <row r="87" spans="1:30" ht="41.45" customHeight="1">
      <c r="A87"/>
      <c r="AC87"/>
      <c r="AD87"/>
    </row>
    <row r="88" spans="1:30" ht="41.45" customHeight="1">
      <c r="A88"/>
      <c r="AC88"/>
      <c r="AD88"/>
    </row>
    <row r="89" spans="1:30" ht="41.45" customHeight="1">
      <c r="A89"/>
      <c r="AC89"/>
      <c r="AD89"/>
    </row>
    <row r="90" spans="1:30" ht="41.45" customHeight="1">
      <c r="A90"/>
      <c r="AC90"/>
      <c r="AD90"/>
    </row>
    <row r="91" spans="1:30" ht="41.45" customHeight="1">
      <c r="A91"/>
      <c r="AC91"/>
      <c r="AD91"/>
    </row>
    <row r="92" spans="1:30" ht="41.45" customHeight="1">
      <c r="A92"/>
      <c r="AC92"/>
      <c r="AD92"/>
    </row>
    <row r="93" spans="1:30" ht="41.45" customHeight="1">
      <c r="A93"/>
      <c r="AC93"/>
      <c r="AD93"/>
    </row>
    <row r="94" spans="1:30" ht="41.45" customHeight="1">
      <c r="A94"/>
      <c r="AC94"/>
      <c r="AD94"/>
    </row>
    <row r="95" spans="1:30" ht="41.45" customHeight="1">
      <c r="A95"/>
      <c r="AC95"/>
      <c r="AD95"/>
    </row>
    <row r="96" spans="1:30" ht="41.45" customHeight="1">
      <c r="A96"/>
      <c r="AC96"/>
      <c r="AD96"/>
    </row>
    <row r="97" spans="1:30" ht="41.45" customHeight="1">
      <c r="A97"/>
      <c r="AC97"/>
      <c r="AD97"/>
    </row>
    <row r="98" spans="1:30" ht="41.45" customHeight="1">
      <c r="A98"/>
      <c r="AC98"/>
      <c r="AD98"/>
    </row>
    <row r="99" spans="1:30" ht="41.45" customHeight="1">
      <c r="A99"/>
      <c r="AC99"/>
      <c r="AD99"/>
    </row>
    <row r="100" spans="1:30" ht="41.45" customHeight="1">
      <c r="A100"/>
      <c r="AC100"/>
      <c r="AD100"/>
    </row>
    <row r="101" spans="1:30" ht="41.45" customHeight="1">
      <c r="A101"/>
      <c r="AC101"/>
      <c r="AD101"/>
    </row>
    <row r="102" spans="1:30" ht="41.45" customHeight="1">
      <c r="A102"/>
      <c r="AC102"/>
      <c r="AD102"/>
    </row>
    <row r="103" spans="1:30" ht="41.45" customHeight="1">
      <c r="A103"/>
      <c r="AC103"/>
      <c r="AD103"/>
    </row>
    <row r="104" spans="1:30" ht="41.45" customHeight="1">
      <c r="A104"/>
      <c r="AC104"/>
      <c r="AD104"/>
    </row>
    <row r="105" spans="1:30" ht="41.45" customHeight="1">
      <c r="A105"/>
      <c r="AC105"/>
      <c r="AD105"/>
    </row>
    <row r="106" spans="1:30" ht="41.45" customHeight="1">
      <c r="A106"/>
      <c r="AC106"/>
      <c r="AD106"/>
    </row>
    <row r="107" spans="1:30" ht="41.45" customHeight="1">
      <c r="A107"/>
      <c r="AC107"/>
      <c r="AD107"/>
    </row>
    <row r="108" spans="1:30" ht="41.45" customHeight="1">
      <c r="A108"/>
      <c r="AC108"/>
      <c r="AD108"/>
    </row>
    <row r="109" spans="1:30" ht="41.45" customHeight="1">
      <c r="A109"/>
      <c r="AC109"/>
      <c r="AD109"/>
    </row>
    <row r="110" spans="1:30" ht="41.45" customHeight="1">
      <c r="A110"/>
      <c r="AC110"/>
      <c r="AD110"/>
    </row>
    <row r="111" spans="1:30" ht="41.45" customHeight="1">
      <c r="A111"/>
      <c r="AC111"/>
      <c r="AD111"/>
    </row>
    <row r="112" spans="1:30" ht="41.45" customHeight="1">
      <c r="A112"/>
      <c r="AC112"/>
      <c r="AD112"/>
    </row>
    <row r="113" spans="1:30" ht="41.45" customHeight="1">
      <c r="A113"/>
      <c r="AC113"/>
      <c r="AD113"/>
    </row>
    <row r="114" spans="1:30" ht="41.45" customHeight="1">
      <c r="A114"/>
      <c r="AC114"/>
      <c r="AD114"/>
    </row>
    <row r="115" spans="1:30" ht="41.45" customHeight="1">
      <c r="A115"/>
      <c r="AC115"/>
      <c r="AD115"/>
    </row>
    <row r="116" spans="1:30" ht="41.45" customHeight="1">
      <c r="A116"/>
      <c r="AC116"/>
      <c r="AD116"/>
    </row>
    <row r="117" spans="1:30" ht="41.45" customHeight="1">
      <c r="A117"/>
      <c r="AC117"/>
      <c r="AD117"/>
    </row>
    <row r="118" spans="1:30" ht="41.45" customHeight="1">
      <c r="A118"/>
      <c r="AC118"/>
      <c r="AD118"/>
    </row>
    <row r="119" spans="1:30" ht="41.45" customHeight="1">
      <c r="A119"/>
      <c r="AC119"/>
      <c r="AD119"/>
    </row>
    <row r="120" spans="1:30" ht="41.45" customHeight="1">
      <c r="A120"/>
      <c r="AC120"/>
      <c r="AD120"/>
    </row>
    <row r="121" spans="1:30" ht="41.45" customHeight="1">
      <c r="A121"/>
      <c r="AC121"/>
      <c r="AD121"/>
    </row>
    <row r="122" spans="1:30" ht="41.45" customHeight="1">
      <c r="A122"/>
      <c r="AC122"/>
      <c r="AD122"/>
    </row>
    <row r="123" spans="1:30" ht="41.45" customHeight="1">
      <c r="A123"/>
      <c r="AC123"/>
      <c r="AD123"/>
    </row>
    <row r="124" spans="1:30" ht="41.45" customHeight="1">
      <c r="A124"/>
      <c r="AC124"/>
      <c r="AD124"/>
    </row>
    <row r="125" spans="1:30" ht="41.45" customHeight="1">
      <c r="A125"/>
      <c r="AC125"/>
      <c r="AD125"/>
    </row>
    <row r="126" spans="1:30" ht="41.45" customHeight="1">
      <c r="A126"/>
      <c r="AC126"/>
      <c r="AD126"/>
    </row>
    <row r="127" spans="1:30" ht="41.45" customHeight="1">
      <c r="A127"/>
      <c r="AC127"/>
      <c r="AD127"/>
    </row>
    <row r="128" spans="1:30" ht="41.45" customHeight="1">
      <c r="A128"/>
      <c r="AC128"/>
      <c r="AD128"/>
    </row>
    <row r="129" spans="1:30" ht="41.45" customHeight="1">
      <c r="A129"/>
      <c r="AC129"/>
      <c r="AD129"/>
    </row>
    <row r="130" spans="1:30" ht="41.45" customHeight="1">
      <c r="A130"/>
      <c r="AC130"/>
      <c r="AD130"/>
    </row>
    <row r="131" spans="1:30" ht="41.45" customHeight="1">
      <c r="A131"/>
      <c r="AC131"/>
      <c r="AD131"/>
    </row>
    <row r="132" spans="1:30" ht="41.45" customHeight="1">
      <c r="A132"/>
      <c r="AC132"/>
      <c r="AD132"/>
    </row>
    <row r="133" spans="1:30" ht="41.45" customHeight="1">
      <c r="A133"/>
      <c r="AC133"/>
      <c r="AD133"/>
    </row>
    <row r="134" spans="1:30" ht="41.45" customHeight="1">
      <c r="A134"/>
      <c r="AC134"/>
      <c r="AD134"/>
    </row>
    <row r="135" spans="1:30" ht="41.45" customHeight="1">
      <c r="A135"/>
      <c r="AC135"/>
      <c r="AD135"/>
    </row>
    <row r="136" spans="1:30" ht="41.45" customHeight="1">
      <c r="A136"/>
      <c r="AC136"/>
      <c r="AD136"/>
    </row>
    <row r="137" spans="1:30" ht="41.45" customHeight="1">
      <c r="A137"/>
      <c r="AC137"/>
      <c r="AD137"/>
    </row>
    <row r="138" spans="1:30" ht="41.45" customHeight="1">
      <c r="A138"/>
      <c r="AC138"/>
      <c r="AD138"/>
    </row>
    <row r="139" spans="1:30" ht="41.45" customHeight="1">
      <c r="A139"/>
      <c r="AC139"/>
      <c r="AD139"/>
    </row>
    <row r="140" spans="1:30" ht="41.45" customHeight="1">
      <c r="A140"/>
      <c r="AC140"/>
      <c r="AD140"/>
    </row>
    <row r="141" spans="1:30" ht="41.45" customHeight="1">
      <c r="A141"/>
      <c r="AC141"/>
      <c r="AD141"/>
    </row>
    <row r="142" spans="1:30" ht="41.45" customHeight="1">
      <c r="A142"/>
      <c r="AC142"/>
      <c r="AD142"/>
    </row>
    <row r="143" spans="1:30" ht="41.45" customHeight="1">
      <c r="A143"/>
      <c r="AC143"/>
      <c r="AD143"/>
    </row>
    <row r="144" spans="1:30" ht="41.45" customHeight="1">
      <c r="A144"/>
      <c r="AC144"/>
      <c r="AD144"/>
    </row>
    <row r="145" spans="1:30" ht="41.45" customHeight="1">
      <c r="A145"/>
      <c r="AC145"/>
      <c r="AD145"/>
    </row>
    <row r="146" spans="1:30" ht="41.45" customHeight="1">
      <c r="A146"/>
      <c r="AC146"/>
      <c r="AD146"/>
    </row>
    <row r="147" spans="1:30" ht="41.45" customHeight="1">
      <c r="A147"/>
      <c r="AC147"/>
      <c r="AD147"/>
    </row>
    <row r="148" spans="1:30" ht="41.45" customHeight="1">
      <c r="A148"/>
      <c r="AC148"/>
      <c r="AD148"/>
    </row>
    <row r="149" spans="1:30" ht="41.45" customHeight="1">
      <c r="A149"/>
      <c r="AC149"/>
      <c r="AD149"/>
    </row>
    <row r="150" spans="1:30" ht="41.45" customHeight="1">
      <c r="A150"/>
      <c r="AC150"/>
      <c r="AD150"/>
    </row>
    <row r="151" spans="1:30" ht="41.45" customHeight="1">
      <c r="A151"/>
      <c r="AC151"/>
      <c r="AD151"/>
    </row>
    <row r="152" spans="1:30" ht="41.45" customHeight="1">
      <c r="A152"/>
      <c r="AC152"/>
      <c r="AD152"/>
    </row>
    <row r="153" spans="1:30" ht="41.45" customHeight="1">
      <c r="A153"/>
      <c r="AC153"/>
      <c r="AD153"/>
    </row>
    <row r="154" spans="1:30" ht="41.45" customHeight="1">
      <c r="A154"/>
      <c r="AC154"/>
      <c r="AD154"/>
    </row>
    <row r="155" spans="1:30" ht="41.45" customHeight="1">
      <c r="A155"/>
      <c r="AC155"/>
      <c r="AD155"/>
    </row>
    <row r="156" spans="1:30" ht="41.45" customHeight="1">
      <c r="A156"/>
      <c r="AC156"/>
      <c r="AD156"/>
    </row>
    <row r="157" spans="1:30" ht="41.45" customHeight="1">
      <c r="A157"/>
      <c r="AC157"/>
      <c r="AD157"/>
    </row>
    <row r="158" spans="1:30" ht="41.45" customHeight="1">
      <c r="A158"/>
      <c r="AC158"/>
      <c r="AD158"/>
    </row>
    <row r="159" spans="1:30" ht="41.45" customHeight="1">
      <c r="A159"/>
      <c r="AC159"/>
      <c r="AD159"/>
    </row>
    <row r="160" spans="1:30" ht="41.45" customHeight="1">
      <c r="A160"/>
      <c r="AC160"/>
      <c r="AD160"/>
    </row>
    <row r="161" spans="1:30" ht="41.45" customHeight="1">
      <c r="A161"/>
      <c r="AC161"/>
      <c r="AD161"/>
    </row>
    <row r="162" spans="1:30" ht="41.45" customHeight="1">
      <c r="A162"/>
      <c r="AC162"/>
      <c r="AD162"/>
    </row>
    <row r="163" spans="1:30" ht="41.45" customHeight="1">
      <c r="A163"/>
      <c r="AC163"/>
      <c r="AD163"/>
    </row>
    <row r="164" spans="1:30" ht="41.45" customHeight="1">
      <c r="A164"/>
      <c r="AC164"/>
      <c r="AD164"/>
    </row>
    <row r="165" spans="1:30" ht="41.45" customHeight="1">
      <c r="A165"/>
      <c r="AC165"/>
      <c r="AD165"/>
    </row>
    <row r="166" spans="1:30" ht="41.45" customHeight="1">
      <c r="A166"/>
      <c r="AC166"/>
      <c r="AD166"/>
    </row>
    <row r="167" spans="1:30" ht="41.45" customHeight="1">
      <c r="A167"/>
      <c r="AC167"/>
      <c r="AD167"/>
    </row>
    <row r="168" spans="1:30" ht="41.45" customHeight="1">
      <c r="A168"/>
      <c r="AC168"/>
      <c r="AD168"/>
    </row>
    <row r="169" spans="1:30" ht="41.45" customHeight="1">
      <c r="A169"/>
      <c r="AC169"/>
      <c r="AD169"/>
    </row>
    <row r="170" spans="1:30" ht="41.45" customHeight="1">
      <c r="A170"/>
      <c r="AC170"/>
      <c r="AD170"/>
    </row>
    <row r="171" spans="1:30" ht="41.45" customHeight="1">
      <c r="A171"/>
      <c r="AC171"/>
      <c r="AD171"/>
    </row>
    <row r="172" spans="1:30" ht="41.45" customHeight="1">
      <c r="A172"/>
      <c r="AC172"/>
      <c r="AD172"/>
    </row>
    <row r="173" spans="1:30" ht="41.45" customHeight="1">
      <c r="A173"/>
      <c r="AC173"/>
      <c r="AD173"/>
    </row>
    <row r="174" spans="1:30" ht="41.45" customHeight="1">
      <c r="A174"/>
      <c r="AC174"/>
      <c r="AD174"/>
    </row>
    <row r="175" spans="1:30" ht="41.45" customHeight="1">
      <c r="A175"/>
      <c r="AC175"/>
      <c r="AD175"/>
    </row>
    <row r="176" spans="1:30" ht="41.45" customHeight="1">
      <c r="A176"/>
      <c r="AC176"/>
      <c r="AD176"/>
    </row>
    <row r="177" spans="1:30" ht="41.45" customHeight="1">
      <c r="A177"/>
      <c r="AC177"/>
      <c r="AD177"/>
    </row>
    <row r="178" spans="1:30" ht="41.45" customHeight="1">
      <c r="A178"/>
      <c r="AC178"/>
      <c r="AD178"/>
    </row>
    <row r="179" spans="1:30" ht="41.45" customHeight="1">
      <c r="A179"/>
      <c r="AC179"/>
      <c r="AD179"/>
    </row>
    <row r="180" spans="1:30" ht="41.45" customHeight="1">
      <c r="A180"/>
      <c r="AC180"/>
      <c r="AD180"/>
    </row>
    <row r="181" spans="1:30" ht="41.45" customHeight="1">
      <c r="A181"/>
      <c r="AC181"/>
      <c r="AD181"/>
    </row>
    <row r="182" spans="1:30" ht="41.45" customHeight="1">
      <c r="A182"/>
      <c r="AC182"/>
      <c r="AD182"/>
    </row>
    <row r="183" spans="1:30" ht="41.45" customHeight="1">
      <c r="A183"/>
      <c r="AC183"/>
      <c r="AD183"/>
    </row>
    <row r="184" spans="1:30" ht="41.45" customHeight="1">
      <c r="A184"/>
      <c r="AC184"/>
      <c r="AD184"/>
    </row>
    <row r="185" spans="1:30" ht="41.45" customHeight="1">
      <c r="A185"/>
      <c r="AC185"/>
      <c r="AD185"/>
    </row>
    <row r="186" spans="1:30" ht="41.45" customHeight="1">
      <c r="A186"/>
      <c r="AC186"/>
      <c r="AD186"/>
    </row>
    <row r="187" spans="1:30" ht="41.45" customHeight="1">
      <c r="A187"/>
      <c r="AC187"/>
      <c r="AD187"/>
    </row>
    <row r="188" spans="1:30" ht="41.45" customHeight="1">
      <c r="A188"/>
      <c r="AC188"/>
      <c r="AD188"/>
    </row>
    <row r="189" spans="1:30" ht="41.45" customHeight="1">
      <c r="A189"/>
      <c r="AC189"/>
      <c r="AD189"/>
    </row>
    <row r="190" spans="1:30" ht="41.45" customHeight="1">
      <c r="A190"/>
      <c r="AC190"/>
      <c r="AD190"/>
    </row>
    <row r="191" spans="1:30" ht="41.45" customHeight="1">
      <c r="A191"/>
      <c r="AC191"/>
      <c r="AD191"/>
    </row>
    <row r="192" spans="1:30" ht="41.45" customHeight="1">
      <c r="A192"/>
      <c r="AC192"/>
      <c r="AD192"/>
    </row>
    <row r="193" spans="1:30" ht="41.45" customHeight="1">
      <c r="A193"/>
      <c r="AC193"/>
      <c r="AD193"/>
    </row>
    <row r="194" spans="1:30" ht="41.45" customHeight="1">
      <c r="A194"/>
      <c r="AC194"/>
      <c r="AD194"/>
    </row>
    <row r="195" spans="1:30" ht="41.45" customHeight="1">
      <c r="A195"/>
      <c r="AC195"/>
      <c r="AD195"/>
    </row>
    <row r="196" spans="1:30" ht="41.45" customHeight="1">
      <c r="A196"/>
      <c r="AC196"/>
      <c r="AD196"/>
    </row>
    <row r="197" spans="1:30" ht="41.45" customHeight="1">
      <c r="A197"/>
      <c r="AC197"/>
      <c r="AD197"/>
    </row>
    <row r="198" spans="1:30" ht="41.45" customHeight="1">
      <c r="A198"/>
      <c r="AC198"/>
      <c r="AD198"/>
    </row>
    <row r="199" spans="1:30" ht="41.45" customHeight="1">
      <c r="A199"/>
      <c r="AC199"/>
      <c r="AD199"/>
    </row>
    <row r="200" spans="1:30" ht="41.45" customHeight="1">
      <c r="A200"/>
      <c r="AC200"/>
      <c r="AD200"/>
    </row>
    <row r="201" spans="1:30" ht="41.45" customHeight="1">
      <c r="A201"/>
      <c r="AC201"/>
      <c r="AD201"/>
    </row>
    <row r="202" spans="1:30" ht="41.45" customHeight="1">
      <c r="A202"/>
      <c r="AC202"/>
      <c r="AD202"/>
    </row>
    <row r="203" spans="1:30" ht="41.45" customHeight="1">
      <c r="A203"/>
      <c r="AC203"/>
      <c r="AD203"/>
    </row>
    <row r="204" spans="1:30" ht="41.45" customHeight="1">
      <c r="A204"/>
      <c r="AC204"/>
      <c r="AD204"/>
    </row>
    <row r="205" spans="1:30" ht="41.45" customHeight="1">
      <c r="A205"/>
      <c r="AC205"/>
      <c r="AD205"/>
    </row>
    <row r="206" spans="1:30" ht="41.45" customHeight="1">
      <c r="A206"/>
      <c r="AC206"/>
      <c r="AD206"/>
    </row>
    <row r="207" spans="1:30" ht="41.45" customHeight="1">
      <c r="A207"/>
      <c r="AC207"/>
      <c r="AD207"/>
    </row>
    <row r="208" spans="1:30" ht="41.45" customHeight="1">
      <c r="A208"/>
      <c r="AC208"/>
      <c r="AD208"/>
    </row>
    <row r="209" spans="1:30" ht="41.45" customHeight="1">
      <c r="A209"/>
      <c r="AC209"/>
      <c r="AD209"/>
    </row>
    <row r="210" spans="1:30" ht="41.45" customHeight="1">
      <c r="A210"/>
      <c r="AC210"/>
      <c r="AD210"/>
    </row>
    <row r="211" spans="1:30" ht="41.45" customHeight="1">
      <c r="A211"/>
      <c r="AC211"/>
      <c r="AD211"/>
    </row>
    <row r="212" spans="1:30" ht="41.45" customHeight="1">
      <c r="A212"/>
      <c r="AC212"/>
      <c r="AD212"/>
    </row>
    <row r="213" spans="1:30" ht="41.45" customHeight="1">
      <c r="A213"/>
      <c r="AC213"/>
      <c r="AD213"/>
    </row>
    <row r="214" spans="1:30" ht="41.45" customHeight="1">
      <c r="A214"/>
      <c r="AC214"/>
      <c r="AD214"/>
    </row>
    <row r="215" spans="1:30" ht="41.45" customHeight="1">
      <c r="A215"/>
      <c r="AC215"/>
      <c r="AD215"/>
    </row>
    <row r="216" spans="1:30" ht="41.45" customHeight="1">
      <c r="A216"/>
      <c r="AC216"/>
      <c r="AD216"/>
    </row>
    <row r="217" spans="1:30" ht="41.45" customHeight="1">
      <c r="A217"/>
      <c r="AC217"/>
      <c r="AD217"/>
    </row>
    <row r="218" spans="1:30" ht="41.45" customHeight="1">
      <c r="A218"/>
      <c r="AC218"/>
      <c r="AD218"/>
    </row>
    <row r="219" spans="1:30" ht="41.45" customHeight="1">
      <c r="A219"/>
      <c r="AC219"/>
      <c r="AD219"/>
    </row>
    <row r="220" spans="1:30" ht="41.45" customHeight="1">
      <c r="A220"/>
      <c r="AC220"/>
      <c r="AD220"/>
    </row>
    <row r="221" spans="1:30" ht="41.45" customHeight="1">
      <c r="A221"/>
      <c r="AC221"/>
      <c r="AD221"/>
    </row>
    <row r="222" spans="1:30" ht="41.45" customHeight="1">
      <c r="A222"/>
      <c r="AC222"/>
      <c r="AD222"/>
    </row>
    <row r="223" spans="1:30" ht="41.45" customHeight="1">
      <c r="A223"/>
      <c r="AC223"/>
      <c r="AD223"/>
    </row>
    <row r="224" spans="1:30" ht="41.45" customHeight="1">
      <c r="A224"/>
      <c r="AC224"/>
      <c r="AD224"/>
    </row>
    <row r="225" spans="1:30" ht="41.45" customHeight="1">
      <c r="A225"/>
      <c r="AC225"/>
      <c r="AD225"/>
    </row>
    <row r="226" spans="1:30" ht="41.45" customHeight="1">
      <c r="A226"/>
      <c r="AC226"/>
      <c r="AD226"/>
    </row>
    <row r="227" spans="1:30" ht="41.45" customHeight="1">
      <c r="A227"/>
      <c r="AC227"/>
      <c r="AD227"/>
    </row>
    <row r="228" spans="1:30" ht="41.45" customHeight="1">
      <c r="A228"/>
      <c r="AC228"/>
      <c r="AD228"/>
    </row>
    <row r="229" spans="1:30" ht="41.45" customHeight="1">
      <c r="A229"/>
      <c r="AC229"/>
      <c r="AD229"/>
    </row>
    <row r="230" spans="1:30" ht="41.45" customHeight="1">
      <c r="A230"/>
      <c r="AC230"/>
      <c r="AD230"/>
    </row>
    <row r="231" spans="1:30" ht="41.45" customHeight="1">
      <c r="A231"/>
      <c r="AC231"/>
      <c r="AD231"/>
    </row>
    <row r="232" spans="1:30" ht="41.45" customHeight="1">
      <c r="A232"/>
      <c r="AC232"/>
      <c r="AD232"/>
    </row>
    <row r="233" spans="1:30" ht="41.45" customHeight="1">
      <c r="A233"/>
      <c r="AC233"/>
      <c r="AD233"/>
    </row>
    <row r="234" spans="1:30" ht="41.45" customHeight="1">
      <c r="A234"/>
      <c r="AC234"/>
      <c r="AD234"/>
    </row>
    <row r="235" spans="1:30" ht="41.45" customHeight="1">
      <c r="A235"/>
      <c r="AC235"/>
      <c r="AD235"/>
    </row>
    <row r="236" spans="1:30" ht="41.45" customHeight="1">
      <c r="A236"/>
      <c r="AC236"/>
      <c r="AD236"/>
    </row>
    <row r="237" spans="1:30" ht="41.45" customHeight="1">
      <c r="A237"/>
      <c r="AC237"/>
      <c r="AD237"/>
    </row>
    <row r="238" spans="1:30" ht="41.45" customHeight="1">
      <c r="A238"/>
      <c r="AC238"/>
      <c r="AD238"/>
    </row>
    <row r="239" spans="1:30" ht="41.45" customHeight="1">
      <c r="A239"/>
      <c r="AC239"/>
      <c r="AD239"/>
    </row>
    <row r="240" spans="1:30" ht="41.45" customHeight="1">
      <c r="A240"/>
      <c r="AC240"/>
      <c r="AD240"/>
    </row>
    <row r="241" spans="1:30" ht="41.45" customHeight="1">
      <c r="A241"/>
      <c r="AC241"/>
      <c r="AD241"/>
    </row>
    <row r="242" spans="1:30" ht="41.45" customHeight="1">
      <c r="A242"/>
      <c r="AC242"/>
      <c r="AD242"/>
    </row>
    <row r="243" spans="1:30" ht="41.45" customHeight="1">
      <c r="A243"/>
      <c r="AC243"/>
      <c r="AD243"/>
    </row>
    <row r="244" spans="1:30" ht="41.45" customHeight="1">
      <c r="A244"/>
      <c r="AC244"/>
      <c r="AD244"/>
    </row>
    <row r="245" spans="1:30" ht="41.45" customHeight="1">
      <c r="A245"/>
      <c r="AC245"/>
      <c r="AD245"/>
    </row>
    <row r="246" spans="1:30" ht="41.45" customHeight="1">
      <c r="A246"/>
      <c r="AC246"/>
      <c r="AD246"/>
    </row>
    <row r="247" spans="1:30" ht="41.45" customHeight="1">
      <c r="A247"/>
      <c r="AC247"/>
      <c r="AD247"/>
    </row>
    <row r="248" spans="1:30" ht="41.45" customHeight="1">
      <c r="A248"/>
      <c r="AC248"/>
      <c r="AD248"/>
    </row>
    <row r="249" spans="1:30" ht="41.45" customHeight="1">
      <c r="A249"/>
      <c r="AC249"/>
      <c r="AD249"/>
    </row>
    <row r="250" spans="1:30" ht="41.45" customHeight="1">
      <c r="A250"/>
      <c r="AC250"/>
      <c r="AD250"/>
    </row>
    <row r="251" spans="1:30" ht="41.45" customHeight="1">
      <c r="A251"/>
      <c r="AC251"/>
      <c r="AD251"/>
    </row>
    <row r="252" spans="1:30" ht="41.45" customHeight="1">
      <c r="A252"/>
      <c r="AC252"/>
      <c r="AD252"/>
    </row>
    <row r="253" spans="1:30" ht="41.45" customHeight="1">
      <c r="A253"/>
      <c r="AC253"/>
      <c r="AD253"/>
    </row>
    <row r="254" spans="1:30" ht="41.45" customHeight="1">
      <c r="A254"/>
      <c r="AC254"/>
      <c r="AD254"/>
    </row>
    <row r="255" spans="1:30" ht="41.45" customHeight="1">
      <c r="A255"/>
      <c r="AC255"/>
      <c r="AD255"/>
    </row>
    <row r="256" spans="1:30" ht="41.45" customHeight="1">
      <c r="A256"/>
      <c r="AC256"/>
      <c r="AD256"/>
    </row>
    <row r="257" spans="1:30" ht="41.45" customHeight="1">
      <c r="A257"/>
      <c r="AC257"/>
      <c r="AD257"/>
    </row>
    <row r="258" spans="1:30" ht="41.45" customHeight="1">
      <c r="A258"/>
      <c r="AC258"/>
      <c r="AD258"/>
    </row>
    <row r="259" spans="1:30" ht="41.45" customHeight="1">
      <c r="A259"/>
      <c r="AC259"/>
      <c r="AD259"/>
    </row>
    <row r="260" spans="1:30" ht="41.45" customHeight="1">
      <c r="A260"/>
      <c r="AC260"/>
      <c r="AD260"/>
    </row>
    <row r="261" spans="1:30" ht="41.45" customHeight="1">
      <c r="A261"/>
      <c r="AC261"/>
      <c r="AD261"/>
    </row>
    <row r="262" spans="1:30" ht="41.45" customHeight="1">
      <c r="A262"/>
      <c r="AC262"/>
      <c r="AD262"/>
    </row>
    <row r="263" spans="1:30" ht="41.45" customHeight="1">
      <c r="A263"/>
      <c r="AC263"/>
      <c r="AD263"/>
    </row>
    <row r="264" spans="1:30" ht="41.45" customHeight="1">
      <c r="A264"/>
      <c r="AC264"/>
      <c r="AD264"/>
    </row>
    <row r="265" spans="1:30" ht="41.45" customHeight="1">
      <c r="A265"/>
      <c r="AC265"/>
      <c r="AD265"/>
    </row>
    <row r="266" spans="1:30" ht="41.45" customHeight="1">
      <c r="A266"/>
      <c r="AC266"/>
      <c r="AD266"/>
    </row>
    <row r="267" spans="1:30" ht="41.45" customHeight="1">
      <c r="A267"/>
      <c r="AC267"/>
      <c r="AD267"/>
    </row>
    <row r="268" spans="1:30" ht="41.45" customHeight="1">
      <c r="A268"/>
      <c r="AC268"/>
      <c r="AD268"/>
    </row>
    <row r="269" spans="1:30" ht="41.45" customHeight="1">
      <c r="A269"/>
      <c r="AC269"/>
      <c r="AD269"/>
    </row>
    <row r="270" spans="1:30" ht="41.45" customHeight="1">
      <c r="A270"/>
      <c r="AC270"/>
      <c r="AD270"/>
    </row>
    <row r="271" spans="1:30" ht="41.45" customHeight="1">
      <c r="A271"/>
      <c r="AC271"/>
      <c r="AD271"/>
    </row>
    <row r="272" spans="1:30" ht="41.45" customHeight="1">
      <c r="A272"/>
      <c r="AC272"/>
      <c r="AD272"/>
    </row>
    <row r="273" spans="1:30" ht="41.45" customHeight="1">
      <c r="A273"/>
      <c r="AC273"/>
      <c r="AD273"/>
    </row>
    <row r="274" spans="1:30" ht="41.45" customHeight="1">
      <c r="A274"/>
      <c r="AC274"/>
      <c r="AD274"/>
    </row>
    <row r="275" spans="1:30" ht="41.45" customHeight="1">
      <c r="A275"/>
      <c r="AC275"/>
      <c r="AD275"/>
    </row>
    <row r="276" spans="1:30" ht="41.45" customHeight="1">
      <c r="A276"/>
      <c r="AC276"/>
      <c r="AD276"/>
    </row>
    <row r="277" spans="1:30" ht="41.45" customHeight="1">
      <c r="A277"/>
      <c r="AC277"/>
      <c r="AD277"/>
    </row>
    <row r="278" spans="1:30" ht="41.45" customHeight="1">
      <c r="A278"/>
      <c r="AC278"/>
      <c r="AD278"/>
    </row>
    <row r="279" spans="1:30" ht="41.45" customHeight="1">
      <c r="A279"/>
      <c r="AC279"/>
      <c r="AD279"/>
    </row>
    <row r="280" spans="1:30" ht="41.45" customHeight="1">
      <c r="A280"/>
      <c r="AC280"/>
      <c r="AD280"/>
    </row>
    <row r="281" spans="1:30" ht="41.45" customHeight="1">
      <c r="A281"/>
      <c r="AC281"/>
      <c r="AD281"/>
    </row>
    <row r="282" spans="1:30" ht="41.45" customHeight="1">
      <c r="A282"/>
      <c r="AC282"/>
      <c r="AD282"/>
    </row>
    <row r="283" spans="1:30" ht="41.45" customHeight="1">
      <c r="A283"/>
      <c r="AC283"/>
      <c r="AD283"/>
    </row>
    <row r="284" spans="1:30" ht="41.45" customHeight="1">
      <c r="A284"/>
      <c r="AC284"/>
      <c r="AD284"/>
    </row>
    <row r="285" spans="1:30" ht="41.45" customHeight="1">
      <c r="A285"/>
      <c r="AC285"/>
      <c r="AD285"/>
    </row>
    <row r="286" spans="1:30" ht="41.45" customHeight="1">
      <c r="A286"/>
      <c r="AC286"/>
      <c r="AD286"/>
    </row>
    <row r="287" spans="1:30" ht="41.45" customHeight="1">
      <c r="A287"/>
      <c r="AC287"/>
      <c r="AD287"/>
    </row>
    <row r="288" spans="1:30" ht="41.45" customHeight="1">
      <c r="A288"/>
      <c r="AC288"/>
      <c r="AD288"/>
    </row>
    <row r="289" spans="1:30" ht="41.45" customHeight="1">
      <c r="A289"/>
      <c r="AC289"/>
      <c r="AD289"/>
    </row>
    <row r="290" spans="1:30" ht="41.45" customHeight="1">
      <c r="A290"/>
      <c r="AC290"/>
      <c r="AD290"/>
    </row>
    <row r="291" spans="1:30" ht="41.45" customHeight="1">
      <c r="A291"/>
      <c r="AC291"/>
      <c r="AD291"/>
    </row>
    <row r="292" spans="1:30" ht="41.45" customHeight="1">
      <c r="A292"/>
      <c r="AC292"/>
      <c r="AD292"/>
    </row>
    <row r="293" spans="1:30" ht="41.45" customHeight="1">
      <c r="A293"/>
      <c r="AC293"/>
      <c r="AD293"/>
    </row>
    <row r="294" spans="1:30" ht="41.45" customHeight="1">
      <c r="A294"/>
      <c r="AC294"/>
      <c r="AD294"/>
    </row>
    <row r="295" spans="1:30" ht="41.45" customHeight="1">
      <c r="A295"/>
      <c r="AC295"/>
      <c r="AD295"/>
    </row>
    <row r="296" spans="1:30" ht="41.45" customHeight="1">
      <c r="A296"/>
      <c r="AC296"/>
      <c r="AD296"/>
    </row>
    <row r="297" spans="1:30" ht="41.45" customHeight="1">
      <c r="A297"/>
      <c r="AC297"/>
      <c r="AD297"/>
    </row>
    <row r="298" spans="1:30" ht="41.45" customHeight="1">
      <c r="A298"/>
      <c r="AC298"/>
      <c r="AD298"/>
    </row>
    <row r="299" spans="1:30" ht="41.45" customHeight="1">
      <c r="A299"/>
      <c r="AC299"/>
      <c r="AD299"/>
    </row>
    <row r="300" spans="1:30" ht="41.45" customHeight="1">
      <c r="A300"/>
      <c r="AC300"/>
      <c r="AD300"/>
    </row>
    <row r="301" spans="1:30" ht="41.45" customHeight="1">
      <c r="A301"/>
      <c r="AC301"/>
      <c r="AD301"/>
    </row>
    <row r="302" spans="1:30" ht="41.45" customHeight="1">
      <c r="A302"/>
      <c r="AC302"/>
      <c r="AD302"/>
    </row>
    <row r="303" spans="1:30" ht="41.45" customHeight="1">
      <c r="A303"/>
      <c r="AC303"/>
      <c r="AD303"/>
    </row>
    <row r="304" spans="1:30" ht="41.45" customHeight="1">
      <c r="A304"/>
      <c r="AC304"/>
      <c r="AD304"/>
    </row>
    <row r="305" spans="1:30" ht="41.45" customHeight="1">
      <c r="A305"/>
      <c r="AC305"/>
      <c r="AD305"/>
    </row>
    <row r="306" spans="1:30" ht="41.45" customHeight="1">
      <c r="A306"/>
      <c r="AC306"/>
      <c r="AD306"/>
    </row>
    <row r="307" spans="1:30" ht="41.45" customHeight="1">
      <c r="A307"/>
      <c r="AC307"/>
      <c r="AD307"/>
    </row>
    <row r="308" spans="1:30" ht="41.45" customHeight="1">
      <c r="A308"/>
      <c r="AC308"/>
      <c r="AD308"/>
    </row>
    <row r="309" spans="1:30" ht="41.45" customHeight="1">
      <c r="A309"/>
      <c r="AC309"/>
      <c r="AD309"/>
    </row>
    <row r="310" spans="1:30" ht="41.45" customHeight="1">
      <c r="A310"/>
      <c r="AC310"/>
      <c r="AD310"/>
    </row>
    <row r="311" spans="1:30" ht="41.45" customHeight="1">
      <c r="A311"/>
      <c r="AC311"/>
      <c r="AD311"/>
    </row>
    <row r="312" spans="1:30" ht="41.45" customHeight="1">
      <c r="A312"/>
      <c r="AC312"/>
      <c r="AD312"/>
    </row>
    <row r="313" spans="1:30" ht="41.45" customHeight="1">
      <c r="A313"/>
      <c r="AC313"/>
      <c r="AD313"/>
    </row>
    <row r="314" spans="1:30" ht="41.45" customHeight="1">
      <c r="A314"/>
      <c r="AC314"/>
      <c r="AD314"/>
    </row>
    <row r="315" spans="1:30" ht="41.45" customHeight="1">
      <c r="A315"/>
      <c r="AC315"/>
      <c r="AD315"/>
    </row>
    <row r="316" spans="1:30" ht="41.45" customHeight="1">
      <c r="A316"/>
      <c r="AC316"/>
      <c r="AD316"/>
    </row>
    <row r="317" spans="1:30" ht="41.45" customHeight="1">
      <c r="A317"/>
      <c r="AC317"/>
      <c r="AD317"/>
    </row>
    <row r="318" spans="1:30" ht="41.45" customHeight="1">
      <c r="A318"/>
      <c r="AC318"/>
      <c r="AD318"/>
    </row>
    <row r="319" spans="1:30" ht="41.45" customHeight="1">
      <c r="A319"/>
      <c r="AC319"/>
      <c r="AD319"/>
    </row>
    <row r="320" spans="1:30" ht="41.45" customHeight="1">
      <c r="A320"/>
      <c r="AC320"/>
      <c r="AD320"/>
    </row>
    <row r="321" spans="1:30" ht="41.45" customHeight="1">
      <c r="A321"/>
      <c r="AC321"/>
      <c r="AD321"/>
    </row>
    <row r="322" spans="1:30" ht="41.45" customHeight="1">
      <c r="A322"/>
      <c r="AC322"/>
      <c r="AD322"/>
    </row>
    <row r="323" spans="1:30" ht="41.45" customHeight="1">
      <c r="A323"/>
      <c r="AC323"/>
      <c r="AD323"/>
    </row>
    <row r="324" spans="1:30" ht="41.45" customHeight="1">
      <c r="A324"/>
      <c r="AC324"/>
      <c r="AD324"/>
    </row>
    <row r="325" spans="1:30" ht="41.45" customHeight="1">
      <c r="A325"/>
      <c r="AC325"/>
      <c r="AD325"/>
    </row>
    <row r="326" spans="1:30" ht="41.45" customHeight="1">
      <c r="A326"/>
      <c r="AC326"/>
      <c r="AD326"/>
    </row>
    <row r="327" spans="1:30" ht="41.45" customHeight="1">
      <c r="A327"/>
      <c r="AC327"/>
      <c r="AD327"/>
    </row>
    <row r="328" spans="1:30" ht="41.45" customHeight="1">
      <c r="A328"/>
      <c r="AC328"/>
      <c r="AD328"/>
    </row>
    <row r="329" spans="1:30" ht="41.45" customHeight="1">
      <c r="A329"/>
      <c r="AC329"/>
      <c r="AD329"/>
    </row>
    <row r="330" spans="1:30" ht="41.45" customHeight="1">
      <c r="A330"/>
      <c r="AC330"/>
      <c r="AD330"/>
    </row>
    <row r="331" spans="1:30" ht="41.45" customHeight="1">
      <c r="A331"/>
      <c r="AC331"/>
      <c r="AD331"/>
    </row>
    <row r="332" spans="1:30" ht="41.45" customHeight="1">
      <c r="A332"/>
      <c r="AC332"/>
      <c r="AD332"/>
    </row>
    <row r="333" spans="1:30" ht="41.45" customHeight="1">
      <c r="A333"/>
      <c r="AC333"/>
      <c r="AD333"/>
    </row>
    <row r="334" spans="1:30" ht="41.45" customHeight="1">
      <c r="A334"/>
      <c r="AC334"/>
      <c r="AD334"/>
    </row>
    <row r="335" spans="1:30" ht="41.45" customHeight="1">
      <c r="A335"/>
      <c r="AC335"/>
      <c r="AD335"/>
    </row>
    <row r="336" spans="1:30" ht="41.45" customHeight="1">
      <c r="A336"/>
      <c r="AC336"/>
      <c r="AD336"/>
    </row>
    <row r="337" spans="1:30" ht="41.45" customHeight="1">
      <c r="A337"/>
      <c r="AC337"/>
      <c r="AD337"/>
    </row>
    <row r="338" spans="1:30" ht="41.45" customHeight="1">
      <c r="A338"/>
      <c r="AC338"/>
      <c r="AD338"/>
    </row>
    <row r="339" spans="1:30" ht="41.45" customHeight="1">
      <c r="A339"/>
      <c r="AC339"/>
      <c r="AD339"/>
    </row>
    <row r="340" spans="1:30" ht="41.45" customHeight="1">
      <c r="A340"/>
      <c r="AC340"/>
      <c r="AD340"/>
    </row>
    <row r="341" spans="1:30" ht="41.45" customHeight="1">
      <c r="A341"/>
      <c r="AC341"/>
      <c r="AD341"/>
    </row>
    <row r="342" spans="1:30" ht="41.45" customHeight="1">
      <c r="A342"/>
      <c r="AC342"/>
      <c r="AD342"/>
    </row>
    <row r="343" spans="1:30" ht="41.45" customHeight="1">
      <c r="A343"/>
      <c r="AC343"/>
      <c r="AD343"/>
    </row>
    <row r="344" spans="1:30" ht="41.45" customHeight="1">
      <c r="A344"/>
      <c r="AC344"/>
      <c r="AD344"/>
    </row>
    <row r="345" spans="1:30" ht="41.45" customHeight="1">
      <c r="A345"/>
      <c r="AC345"/>
      <c r="AD345"/>
    </row>
    <row r="346" spans="1:30" ht="41.45" customHeight="1">
      <c r="A346"/>
      <c r="AC346"/>
      <c r="AD346"/>
    </row>
    <row r="347" spans="1:30" ht="41.45" customHeight="1">
      <c r="A347"/>
      <c r="AC347"/>
      <c r="AD347"/>
    </row>
    <row r="348" spans="1:30" ht="41.45" customHeight="1">
      <c r="A348"/>
      <c r="AC348"/>
      <c r="AD348"/>
    </row>
    <row r="349" spans="1:30" ht="41.45" customHeight="1">
      <c r="A349"/>
      <c r="AC349"/>
      <c r="AD349"/>
    </row>
    <row r="350" spans="1:30" ht="41.45" customHeight="1">
      <c r="A350"/>
      <c r="AC350"/>
      <c r="AD350"/>
    </row>
    <row r="351" spans="1:30" ht="41.45" customHeight="1">
      <c r="A351"/>
      <c r="AC351"/>
      <c r="AD351"/>
    </row>
    <row r="352" spans="1:30" ht="41.45" customHeight="1">
      <c r="A352"/>
      <c r="AC352"/>
      <c r="AD352"/>
    </row>
    <row r="353" spans="1:30" ht="41.45" customHeight="1">
      <c r="A353"/>
      <c r="AC353"/>
      <c r="AD353"/>
    </row>
    <row r="354" spans="1:30" ht="41.45" customHeight="1">
      <c r="A354"/>
      <c r="AC354"/>
      <c r="AD354"/>
    </row>
    <row r="355" spans="1:30" ht="41.45" customHeight="1">
      <c r="A355"/>
      <c r="AC355"/>
      <c r="AD355"/>
    </row>
    <row r="356" spans="1:30" ht="41.45" customHeight="1">
      <c r="A356"/>
      <c r="AC356"/>
      <c r="AD356"/>
    </row>
    <row r="357" spans="1:30" ht="41.45" customHeight="1">
      <c r="A357"/>
      <c r="AC357"/>
      <c r="AD357"/>
    </row>
    <row r="358" spans="1:30" ht="41.45" customHeight="1">
      <c r="A358"/>
      <c r="AC358"/>
      <c r="AD358"/>
    </row>
    <row r="359" spans="1:30" ht="41.45" customHeight="1">
      <c r="A359"/>
      <c r="AC359"/>
      <c r="AD359"/>
    </row>
    <row r="360" spans="1:30" ht="41.45" customHeight="1">
      <c r="A360"/>
      <c r="AC360"/>
      <c r="AD360"/>
    </row>
    <row r="361" spans="1:30" ht="41.45" customHeight="1">
      <c r="A361"/>
      <c r="AC361"/>
      <c r="AD361"/>
    </row>
    <row r="362" spans="1:30" ht="41.45" customHeight="1">
      <c r="A362"/>
      <c r="AC362"/>
      <c r="AD362"/>
    </row>
    <row r="363" spans="1:30" ht="41.45" customHeight="1">
      <c r="A363"/>
      <c r="AC363"/>
      <c r="AD363"/>
    </row>
    <row r="364" spans="1:30" ht="41.45" customHeight="1">
      <c r="A364"/>
      <c r="AC364"/>
      <c r="AD364"/>
    </row>
    <row r="365" spans="1:30" ht="41.45" customHeight="1">
      <c r="A365"/>
      <c r="AC365"/>
      <c r="AD365"/>
    </row>
    <row r="366" spans="1:30" ht="41.45" customHeight="1">
      <c r="A366"/>
      <c r="AC366"/>
      <c r="AD366"/>
    </row>
    <row r="367" spans="1:30" ht="41.45" customHeight="1">
      <c r="A367"/>
      <c r="AC367"/>
      <c r="AD367"/>
    </row>
    <row r="368" spans="1:30" ht="41.45" customHeight="1">
      <c r="A368"/>
      <c r="AC368"/>
      <c r="AD368"/>
    </row>
    <row r="369" spans="1:30" ht="41.45" customHeight="1">
      <c r="A369"/>
      <c r="AC369"/>
      <c r="AD369"/>
    </row>
    <row r="370" spans="1:30" ht="41.45" customHeight="1">
      <c r="A370"/>
      <c r="AC370"/>
      <c r="AD370"/>
    </row>
    <row r="371" spans="1:30" ht="41.45" customHeight="1">
      <c r="A371"/>
      <c r="AC371"/>
      <c r="AD371"/>
    </row>
    <row r="372" spans="1:30" ht="41.45" customHeight="1">
      <c r="A372"/>
      <c r="AC372"/>
      <c r="AD372"/>
    </row>
    <row r="373" spans="1:30" ht="41.45" customHeight="1">
      <c r="A373"/>
      <c r="AC373"/>
      <c r="AD373"/>
    </row>
    <row r="374" spans="1:30" ht="41.45" customHeight="1">
      <c r="A374"/>
      <c r="AC374"/>
      <c r="AD374"/>
    </row>
    <row r="375" spans="1:30" ht="41.45" customHeight="1">
      <c r="A375"/>
      <c r="AC375"/>
      <c r="AD375"/>
    </row>
    <row r="376" spans="1:30" ht="41.45" customHeight="1">
      <c r="A376"/>
      <c r="AC376"/>
      <c r="AD376"/>
    </row>
    <row r="377" spans="1:30" ht="41.45" customHeight="1">
      <c r="A377"/>
      <c r="AC377"/>
      <c r="AD377"/>
    </row>
    <row r="378" spans="1:30" ht="41.45" customHeight="1">
      <c r="A378"/>
      <c r="AC378"/>
      <c r="AD378"/>
    </row>
    <row r="379" spans="1:30" ht="41.45" customHeight="1">
      <c r="A379"/>
      <c r="AC379"/>
      <c r="AD379"/>
    </row>
    <row r="380" spans="1:30" ht="41.45" customHeight="1">
      <c r="A380"/>
      <c r="AC380"/>
      <c r="AD380"/>
    </row>
    <row r="381" spans="1:30" ht="41.45" customHeight="1">
      <c r="A381"/>
      <c r="AC381"/>
      <c r="AD381"/>
    </row>
    <row r="382" spans="1:30" ht="41.45" customHeight="1">
      <c r="A382"/>
      <c r="AC382"/>
      <c r="AD382"/>
    </row>
    <row r="383" spans="1:30" ht="41.45" customHeight="1">
      <c r="A383"/>
      <c r="AC383"/>
      <c r="AD383"/>
    </row>
    <row r="384" spans="1:30" ht="41.45" customHeight="1">
      <c r="A384"/>
      <c r="AC384"/>
      <c r="AD384"/>
    </row>
    <row r="385" spans="1:30" ht="41.45" customHeight="1">
      <c r="A385"/>
      <c r="AC385"/>
      <c r="AD385"/>
    </row>
    <row r="386" spans="1:30" ht="41.45" customHeight="1">
      <c r="A386"/>
      <c r="AC386"/>
      <c r="AD386"/>
    </row>
    <row r="387" spans="1:30" ht="41.45" customHeight="1">
      <c r="A387"/>
      <c r="AC387"/>
      <c r="AD387"/>
    </row>
    <row r="388" spans="1:30" ht="41.45" customHeight="1">
      <c r="A388"/>
      <c r="AC388"/>
      <c r="AD388"/>
    </row>
    <row r="389" spans="1:30" ht="41.45" customHeight="1">
      <c r="A389"/>
      <c r="AC389"/>
      <c r="AD389"/>
    </row>
    <row r="390" spans="1:30" ht="41.45" customHeight="1">
      <c r="A390"/>
      <c r="AC390"/>
      <c r="AD390"/>
    </row>
    <row r="391" spans="1:30" ht="41.45" customHeight="1">
      <c r="A391"/>
      <c r="AC391"/>
      <c r="AD391"/>
    </row>
    <row r="392" spans="1:30" ht="41.45" customHeight="1">
      <c r="A392"/>
      <c r="AC392"/>
      <c r="AD392"/>
    </row>
    <row r="393" spans="1:30" ht="41.45" customHeight="1">
      <c r="A393"/>
      <c r="AC393"/>
      <c r="AD393"/>
    </row>
    <row r="394" spans="1:30" ht="41.45" customHeight="1">
      <c r="A394"/>
      <c r="AC394"/>
      <c r="AD394"/>
    </row>
    <row r="395" spans="1:30" ht="41.45" customHeight="1">
      <c r="A395"/>
      <c r="AC395"/>
      <c r="AD395"/>
    </row>
    <row r="396" spans="1:30" ht="41.45" customHeight="1">
      <c r="A396"/>
      <c r="AC396"/>
      <c r="AD396"/>
    </row>
    <row r="397" spans="1:30" ht="41.45" customHeight="1">
      <c r="A397"/>
      <c r="AC397"/>
      <c r="AD397"/>
    </row>
    <row r="398" spans="1:30" ht="41.45" customHeight="1">
      <c r="A398"/>
      <c r="AC398"/>
      <c r="AD398"/>
    </row>
    <row r="399" spans="1:30" ht="41.45" customHeight="1">
      <c r="A399"/>
      <c r="AC399"/>
      <c r="AD399"/>
    </row>
    <row r="400" spans="1:30" ht="41.45" customHeight="1">
      <c r="A400"/>
      <c r="AC400"/>
      <c r="AD400"/>
    </row>
    <row r="401" spans="1:30" ht="41.45" customHeight="1">
      <c r="A401"/>
      <c r="AC401"/>
      <c r="AD401"/>
    </row>
    <row r="402" spans="1:30" ht="41.45" customHeight="1">
      <c r="A402"/>
      <c r="AC402"/>
      <c r="AD402"/>
    </row>
    <row r="403" spans="1:30" ht="41.45" customHeight="1">
      <c r="A403"/>
      <c r="AC403"/>
      <c r="AD403"/>
    </row>
    <row r="404" spans="1:30" ht="41.45" customHeight="1">
      <c r="A404"/>
      <c r="AC404"/>
      <c r="AD404"/>
    </row>
    <row r="405" spans="1:30" ht="41.45" customHeight="1">
      <c r="A405"/>
      <c r="AC405"/>
      <c r="AD405"/>
    </row>
    <row r="406" spans="1:30" ht="41.45" customHeight="1">
      <c r="A406"/>
      <c r="AC406"/>
      <c r="AD406"/>
    </row>
    <row r="407" spans="1:30" ht="41.45" customHeight="1">
      <c r="A407"/>
      <c r="AC407"/>
      <c r="AD407"/>
    </row>
    <row r="408" spans="1:30" ht="41.45" customHeight="1">
      <c r="A408"/>
      <c r="AC408"/>
      <c r="AD408"/>
    </row>
    <row r="409" spans="1:30" ht="41.45" customHeight="1">
      <c r="A409"/>
      <c r="AC409"/>
      <c r="AD409"/>
    </row>
    <row r="410" spans="1:30" ht="41.45" customHeight="1">
      <c r="A410"/>
      <c r="AC410"/>
      <c r="AD410"/>
    </row>
    <row r="411" spans="1:30" ht="41.45" customHeight="1">
      <c r="A411"/>
      <c r="AC411"/>
      <c r="AD411"/>
    </row>
    <row r="412" spans="1:30" ht="41.45" customHeight="1">
      <c r="A412"/>
      <c r="AC412"/>
      <c r="AD412"/>
    </row>
    <row r="413" spans="1:30" ht="41.45" customHeight="1">
      <c r="A413"/>
      <c r="AC413"/>
      <c r="AD413"/>
    </row>
    <row r="414" spans="1:30" ht="41.45" customHeight="1">
      <c r="A414"/>
      <c r="AC414"/>
      <c r="AD414"/>
    </row>
    <row r="415" spans="1:30" ht="41.45" customHeight="1">
      <c r="A415"/>
      <c r="AC415"/>
      <c r="AD415"/>
    </row>
    <row r="416" spans="1:30" ht="41.45" customHeight="1">
      <c r="A416"/>
      <c r="AC416"/>
      <c r="AD416"/>
    </row>
    <row r="417" spans="1:30" ht="41.45" customHeight="1">
      <c r="A417"/>
      <c r="AC417"/>
      <c r="AD417"/>
    </row>
    <row r="418" spans="1:30" ht="41.45" customHeight="1">
      <c r="A418"/>
      <c r="AC418"/>
      <c r="AD418"/>
    </row>
    <row r="419" spans="1:30" ht="41.45" customHeight="1">
      <c r="A419"/>
      <c r="AC419"/>
      <c r="AD419"/>
    </row>
    <row r="420" spans="1:30" ht="41.45" customHeight="1">
      <c r="A420"/>
      <c r="AC420"/>
      <c r="AD420"/>
    </row>
    <row r="421" spans="1:30" ht="41.45" customHeight="1">
      <c r="A421"/>
      <c r="AC421"/>
      <c r="AD421"/>
    </row>
    <row r="422" spans="1:30" ht="41.45" customHeight="1">
      <c r="A422"/>
      <c r="AC422"/>
      <c r="AD422"/>
    </row>
    <row r="423" spans="1:30" ht="41.45" customHeight="1">
      <c r="A423"/>
      <c r="AC423"/>
      <c r="AD423"/>
    </row>
    <row r="424" spans="1:30" ht="41.45" customHeight="1">
      <c r="A424"/>
      <c r="AC424"/>
      <c r="AD424"/>
    </row>
    <row r="425" spans="1:30" ht="41.45" customHeight="1">
      <c r="A425"/>
      <c r="AC425"/>
      <c r="AD425"/>
    </row>
    <row r="426" spans="1:30" ht="41.45" customHeight="1">
      <c r="A426"/>
      <c r="AC426"/>
      <c r="AD426"/>
    </row>
    <row r="427" spans="1:30" ht="41.45" customHeight="1">
      <c r="A427"/>
      <c r="AC427"/>
      <c r="AD427"/>
    </row>
    <row r="428" spans="1:30" ht="41.45" customHeight="1">
      <c r="A428"/>
      <c r="AC428"/>
      <c r="AD428"/>
    </row>
    <row r="429" spans="1:30" ht="41.45" customHeight="1">
      <c r="A429"/>
      <c r="AC429"/>
      <c r="AD429"/>
    </row>
    <row r="430" spans="1:30" ht="41.45" customHeight="1">
      <c r="A430"/>
      <c r="AC430"/>
      <c r="AD430"/>
    </row>
    <row r="431" spans="1:30" ht="41.45" customHeight="1">
      <c r="A431"/>
      <c r="AC431"/>
      <c r="AD431"/>
    </row>
    <row r="432" spans="1:30" ht="41.45" customHeight="1">
      <c r="A432"/>
      <c r="AC432"/>
      <c r="AD432"/>
    </row>
    <row r="433" spans="1:30" ht="41.45" customHeight="1">
      <c r="A433"/>
      <c r="AC433"/>
      <c r="AD433"/>
    </row>
    <row r="434" spans="1:30" ht="41.45" customHeight="1">
      <c r="A434"/>
      <c r="AC434"/>
      <c r="AD434"/>
    </row>
    <row r="435" spans="1:30" ht="41.45" customHeight="1">
      <c r="A435"/>
      <c r="AC435"/>
      <c r="AD435"/>
    </row>
    <row r="436" spans="1:30" ht="41.45" customHeight="1">
      <c r="A436"/>
      <c r="AC436"/>
      <c r="AD436"/>
    </row>
    <row r="437" spans="1:30" ht="41.45" customHeight="1">
      <c r="A437"/>
      <c r="AC437"/>
      <c r="AD437"/>
    </row>
    <row r="438" spans="1:30" ht="41.45" customHeight="1">
      <c r="A438"/>
      <c r="AC438"/>
      <c r="AD438"/>
    </row>
    <row r="439" spans="1:30" ht="41.45" customHeight="1">
      <c r="A439"/>
      <c r="AC439"/>
      <c r="AD439"/>
    </row>
    <row r="440" spans="1:30" ht="41.45" customHeight="1">
      <c r="A440"/>
      <c r="AC440"/>
      <c r="AD440"/>
    </row>
    <row r="441" spans="1:30" ht="41.45" customHeight="1">
      <c r="A441"/>
      <c r="AC441"/>
      <c r="AD441"/>
    </row>
    <row r="442" spans="1:30" ht="41.45" customHeight="1">
      <c r="A442"/>
      <c r="AC442"/>
      <c r="AD442"/>
    </row>
    <row r="443" spans="1:30" ht="41.45" customHeight="1">
      <c r="A443"/>
      <c r="AC443"/>
      <c r="AD443"/>
    </row>
    <row r="444" spans="1:30" ht="41.45" customHeight="1">
      <c r="A444"/>
      <c r="AC444"/>
      <c r="AD444"/>
    </row>
    <row r="445" spans="1:30" ht="41.45" customHeight="1">
      <c r="A445"/>
      <c r="AC445"/>
      <c r="AD445"/>
    </row>
    <row r="446" spans="1:30" ht="41.45" customHeight="1">
      <c r="A446"/>
      <c r="AC446"/>
      <c r="AD446"/>
    </row>
    <row r="447" spans="1:30" ht="41.45" customHeight="1">
      <c r="A447"/>
      <c r="AC447"/>
      <c r="AD447"/>
    </row>
    <row r="448" spans="1:30" ht="41.45" customHeight="1">
      <c r="A448"/>
      <c r="AC448"/>
      <c r="AD448"/>
    </row>
    <row r="449" spans="1:30" ht="41.45" customHeight="1">
      <c r="A449"/>
      <c r="AC449"/>
      <c r="AD449"/>
    </row>
    <row r="450" spans="1:30" ht="41.45" customHeight="1">
      <c r="A450"/>
      <c r="AC450"/>
      <c r="AD450"/>
    </row>
    <row r="451" spans="1:30" ht="41.45" customHeight="1">
      <c r="A451"/>
      <c r="AC451"/>
      <c r="AD451"/>
    </row>
    <row r="452" spans="1:30" ht="41.45" customHeight="1">
      <c r="A452"/>
      <c r="AC452"/>
      <c r="AD452"/>
    </row>
    <row r="453" spans="1:30" ht="41.45" customHeight="1">
      <c r="A453"/>
      <c r="AC453"/>
      <c r="AD453"/>
    </row>
    <row r="454" spans="1:30" ht="41.45" customHeight="1">
      <c r="A454"/>
      <c r="AC454"/>
      <c r="AD454"/>
    </row>
    <row r="455" spans="1:30" ht="41.45" customHeight="1">
      <c r="A455"/>
      <c r="AC455"/>
      <c r="AD455"/>
    </row>
    <row r="456" spans="1:30" ht="41.45" customHeight="1">
      <c r="A456"/>
      <c r="AC456"/>
      <c r="AD456"/>
    </row>
    <row r="457" spans="1:30" ht="41.45" customHeight="1">
      <c r="A457"/>
      <c r="AC457"/>
      <c r="AD457"/>
    </row>
    <row r="458" spans="1:30" ht="41.45" customHeight="1">
      <c r="A458"/>
      <c r="AC458"/>
      <c r="AD458"/>
    </row>
    <row r="459" spans="1:30" ht="41.45" customHeight="1">
      <c r="A459"/>
      <c r="AC459"/>
      <c r="AD459"/>
    </row>
    <row r="460" spans="1:30" ht="41.45" customHeight="1">
      <c r="A460"/>
      <c r="AC460"/>
      <c r="AD460"/>
    </row>
    <row r="461" spans="1:30" ht="41.45" customHeight="1">
      <c r="A461"/>
      <c r="AC461"/>
      <c r="AD461"/>
    </row>
    <row r="462" spans="1:30" ht="41.45" customHeight="1">
      <c r="A462"/>
      <c r="AC462"/>
      <c r="AD462"/>
    </row>
    <row r="463" spans="1:30" ht="41.45" customHeight="1">
      <c r="A463"/>
      <c r="AC463"/>
      <c r="AD463"/>
    </row>
    <row r="464" spans="1:30" ht="41.45" customHeight="1">
      <c r="A464"/>
      <c r="AC464"/>
      <c r="AD464"/>
    </row>
    <row r="465" spans="1:30" ht="41.45" customHeight="1">
      <c r="A465"/>
      <c r="AC465"/>
      <c r="AD465"/>
    </row>
    <row r="466" spans="1:30" ht="41.45" customHeight="1">
      <c r="A466"/>
      <c r="AC466"/>
      <c r="AD466"/>
    </row>
    <row r="467" spans="1:30" ht="41.45" customHeight="1">
      <c r="A467"/>
      <c r="AC467"/>
      <c r="AD467"/>
    </row>
    <row r="468" spans="1:30" ht="41.45" customHeight="1">
      <c r="A468"/>
      <c r="AC468"/>
      <c r="AD468"/>
    </row>
    <row r="469" spans="1:30" ht="41.45" customHeight="1">
      <c r="A469"/>
      <c r="AC469"/>
      <c r="AD469"/>
    </row>
    <row r="470" spans="1:30" ht="41.45" customHeight="1">
      <c r="A470"/>
      <c r="AC470"/>
      <c r="AD470"/>
    </row>
    <row r="471" spans="1:30" ht="41.45" customHeight="1">
      <c r="A471"/>
      <c r="AC471"/>
      <c r="AD471"/>
    </row>
    <row r="472" spans="1:30" ht="41.45" customHeight="1">
      <c r="A472"/>
      <c r="AC472"/>
      <c r="AD472"/>
    </row>
    <row r="473" spans="1:30" ht="41.45" customHeight="1">
      <c r="A473"/>
      <c r="AC473"/>
      <c r="AD473"/>
    </row>
    <row r="474" spans="1:30" ht="41.45" customHeight="1">
      <c r="A474"/>
      <c r="AC474"/>
      <c r="AD474"/>
    </row>
    <row r="475" spans="1:30" ht="41.45" customHeight="1">
      <c r="A475"/>
      <c r="AC475"/>
      <c r="AD475"/>
    </row>
    <row r="476" spans="1:30" ht="41.45" customHeight="1">
      <c r="A476"/>
      <c r="AC476"/>
      <c r="AD476"/>
    </row>
    <row r="477" spans="1:30" ht="41.45" customHeight="1">
      <c r="A477"/>
      <c r="AC477"/>
      <c r="AD477"/>
    </row>
    <row r="478" spans="1:30" ht="41.45" customHeight="1">
      <c r="A478"/>
      <c r="AC478"/>
      <c r="AD478"/>
    </row>
    <row r="479" spans="1:30" ht="41.45" customHeight="1">
      <c r="A479"/>
      <c r="AC479"/>
      <c r="AD479"/>
    </row>
    <row r="480" spans="1:30" ht="41.45" customHeight="1">
      <c r="A480"/>
      <c r="AC480"/>
      <c r="AD480"/>
    </row>
    <row r="481" spans="1:30" ht="41.45" customHeight="1">
      <c r="A481"/>
      <c r="AC481"/>
      <c r="AD481"/>
    </row>
    <row r="482" spans="1:30" ht="41.45" customHeight="1">
      <c r="A482"/>
      <c r="AC482"/>
      <c r="AD482"/>
    </row>
    <row r="483" spans="1:30" ht="41.45" customHeight="1">
      <c r="A483"/>
      <c r="AC483"/>
      <c r="AD483"/>
    </row>
    <row r="484" spans="1:30" ht="41.45" customHeight="1">
      <c r="A484"/>
      <c r="AC484"/>
      <c r="AD484"/>
    </row>
    <row r="485" spans="1:30" ht="41.45" customHeight="1">
      <c r="A485"/>
      <c r="AC485"/>
      <c r="AD485"/>
    </row>
    <row r="486" spans="1:30" ht="41.45" customHeight="1">
      <c r="A486"/>
      <c r="AC486"/>
      <c r="AD486"/>
    </row>
    <row r="487" spans="1:30" ht="41.45" customHeight="1">
      <c r="A487"/>
      <c r="AC487"/>
      <c r="AD487"/>
    </row>
    <row r="488" spans="1:30" ht="41.45" customHeight="1">
      <c r="A488"/>
      <c r="AC488"/>
      <c r="AD488"/>
    </row>
    <row r="489" spans="1:30" ht="41.45" customHeight="1">
      <c r="A489"/>
      <c r="AC489"/>
      <c r="AD489"/>
    </row>
    <row r="490" spans="1:30" ht="41.45" customHeight="1">
      <c r="A490"/>
      <c r="AC490"/>
      <c r="AD490"/>
    </row>
    <row r="491" spans="1:30" ht="41.45" customHeight="1">
      <c r="A491"/>
      <c r="AC491"/>
      <c r="AD491"/>
    </row>
    <row r="492" spans="1:30" ht="41.45" customHeight="1">
      <c r="A492"/>
      <c r="AC492"/>
      <c r="AD492"/>
    </row>
    <row r="493" spans="1:30" ht="41.45" customHeight="1">
      <c r="A493"/>
      <c r="AC493"/>
      <c r="AD493"/>
    </row>
    <row r="494" spans="1:30" ht="41.45" customHeight="1">
      <c r="A494"/>
      <c r="AC494"/>
      <c r="AD494"/>
    </row>
    <row r="495" spans="1:30" ht="41.45" customHeight="1">
      <c r="A495"/>
      <c r="AC495"/>
      <c r="AD495"/>
    </row>
    <row r="496" spans="1:30" ht="41.45" customHeight="1">
      <c r="A496"/>
      <c r="AC496"/>
      <c r="AD496"/>
    </row>
    <row r="497" spans="1:30" ht="41.45" customHeight="1">
      <c r="A497"/>
      <c r="AC497"/>
      <c r="AD497"/>
    </row>
    <row r="498" spans="1:30" ht="41.45" customHeight="1">
      <c r="A498"/>
      <c r="AC498"/>
      <c r="AD498"/>
    </row>
    <row r="499" spans="1:30" ht="41.45" customHeight="1">
      <c r="A499"/>
      <c r="AC499"/>
      <c r="AD499"/>
    </row>
    <row r="500" spans="1:30" ht="41.45" customHeight="1">
      <c r="A500"/>
      <c r="AC500"/>
      <c r="AD500"/>
    </row>
    <row r="501" spans="1:30" ht="41.45" customHeight="1">
      <c r="A501"/>
      <c r="AC501"/>
      <c r="AD501"/>
    </row>
    <row r="502" spans="1:30" ht="41.45" customHeight="1">
      <c r="A502"/>
      <c r="AC502"/>
      <c r="AD502"/>
    </row>
    <row r="503" spans="1:30" ht="41.45" customHeight="1">
      <c r="A503"/>
      <c r="AC503"/>
      <c r="AD503"/>
    </row>
    <row r="504" spans="1:30" ht="41.45" customHeight="1">
      <c r="A504"/>
      <c r="AC504"/>
      <c r="AD504"/>
    </row>
    <row r="505" spans="1:30" ht="41.45" customHeight="1">
      <c r="A505"/>
      <c r="AC505"/>
      <c r="AD505"/>
    </row>
    <row r="506" spans="1:30" ht="41.45" customHeight="1">
      <c r="A506"/>
      <c r="AC506"/>
      <c r="AD506"/>
    </row>
    <row r="507" spans="1:30" ht="41.45" customHeight="1">
      <c r="A507"/>
      <c r="AC507"/>
      <c r="AD507"/>
    </row>
    <row r="508" spans="1:30" ht="41.45" customHeight="1">
      <c r="A508"/>
      <c r="AC508"/>
      <c r="AD508"/>
    </row>
    <row r="509" spans="1:30" ht="41.45" customHeight="1">
      <c r="A509"/>
      <c r="AC509"/>
      <c r="AD509"/>
    </row>
    <row r="510" spans="1:30" ht="41.45" customHeight="1">
      <c r="A510"/>
      <c r="AC510"/>
      <c r="AD510"/>
    </row>
    <row r="511" spans="1:30" ht="41.45" customHeight="1">
      <c r="A511"/>
      <c r="AC511"/>
      <c r="AD511"/>
    </row>
    <row r="512" spans="1:30" ht="41.45" customHeight="1">
      <c r="A512"/>
      <c r="AC512"/>
      <c r="AD512"/>
    </row>
    <row r="513" spans="1:30" ht="41.45" customHeight="1">
      <c r="A513"/>
      <c r="AC513"/>
      <c r="AD513"/>
    </row>
    <row r="514" spans="1:30" ht="41.45" customHeight="1">
      <c r="A514"/>
      <c r="AC514"/>
      <c r="AD514"/>
    </row>
    <row r="515" spans="1:30" ht="41.45" customHeight="1">
      <c r="A515"/>
      <c r="AC515"/>
      <c r="AD515"/>
    </row>
    <row r="516" spans="1:30" ht="41.45" customHeight="1">
      <c r="A516"/>
      <c r="AC516"/>
      <c r="AD516"/>
    </row>
    <row r="517" spans="1:30" ht="41.45" customHeight="1">
      <c r="A517"/>
      <c r="AC517"/>
      <c r="AD517"/>
    </row>
    <row r="518" spans="1:30" ht="41.45" customHeight="1">
      <c r="A518"/>
      <c r="AC518"/>
      <c r="AD518"/>
    </row>
    <row r="519" spans="1:30" ht="41.45" customHeight="1">
      <c r="A519"/>
      <c r="AC519"/>
      <c r="AD519"/>
    </row>
    <row r="520" spans="1:30" ht="41.45" customHeight="1">
      <c r="A520"/>
      <c r="AC520"/>
      <c r="AD520"/>
    </row>
    <row r="521" spans="1:30" ht="41.45" customHeight="1">
      <c r="A521"/>
      <c r="AC521"/>
      <c r="AD521"/>
    </row>
    <row r="522" spans="1:30" ht="41.45" customHeight="1">
      <c r="A522"/>
      <c r="AC522"/>
      <c r="AD522"/>
    </row>
    <row r="523" spans="1:30" ht="41.45" customHeight="1">
      <c r="A523"/>
      <c r="AC523"/>
      <c r="AD523"/>
    </row>
    <row r="524" spans="1:30" ht="41.45" customHeight="1">
      <c r="A524"/>
      <c r="AC524"/>
      <c r="AD524"/>
    </row>
    <row r="525" spans="1:30" ht="41.45" customHeight="1">
      <c r="A525"/>
      <c r="AC525"/>
      <c r="AD525"/>
    </row>
    <row r="526" spans="1:30" ht="41.45" customHeight="1">
      <c r="A526"/>
      <c r="AC526"/>
      <c r="AD526"/>
    </row>
    <row r="527" spans="1:30" ht="41.45" customHeight="1">
      <c r="A527"/>
      <c r="AC527"/>
      <c r="AD527"/>
    </row>
    <row r="528" spans="1:30" ht="41.45" customHeight="1">
      <c r="A528"/>
      <c r="AC528"/>
      <c r="AD528"/>
    </row>
    <row r="529" spans="1:30" ht="41.45" customHeight="1">
      <c r="A529"/>
      <c r="AC529"/>
      <c r="AD529"/>
    </row>
    <row r="530" spans="1:30" ht="41.45" customHeight="1">
      <c r="A530"/>
      <c r="AC530"/>
      <c r="AD530"/>
    </row>
    <row r="531" spans="1:30" ht="41.45" customHeight="1">
      <c r="A531"/>
      <c r="AC531"/>
      <c r="AD531"/>
    </row>
    <row r="532" spans="1:30" ht="41.45" customHeight="1">
      <c r="A532"/>
      <c r="AC532"/>
      <c r="AD532"/>
    </row>
    <row r="533" spans="1:30" ht="41.45" customHeight="1">
      <c r="A533"/>
      <c r="AC533"/>
      <c r="AD533"/>
    </row>
    <row r="534" spans="1:30" ht="41.45" customHeight="1">
      <c r="A534"/>
      <c r="AC534"/>
      <c r="AD534"/>
    </row>
    <row r="535" spans="1:30" ht="41.45" customHeight="1">
      <c r="A535"/>
      <c r="AC535"/>
      <c r="AD535"/>
    </row>
    <row r="536" spans="1:30" ht="41.45" customHeight="1">
      <c r="A536"/>
      <c r="AC536"/>
      <c r="AD536"/>
    </row>
    <row r="537" spans="1:30" ht="41.45" customHeight="1">
      <c r="A537"/>
      <c r="AC537"/>
      <c r="AD537"/>
    </row>
    <row r="538" spans="1:30" ht="41.45" customHeight="1">
      <c r="A538"/>
      <c r="AC538"/>
      <c r="AD538"/>
    </row>
    <row r="539" spans="1:30" ht="41.45" customHeight="1">
      <c r="A539"/>
      <c r="AC539"/>
      <c r="AD539"/>
    </row>
    <row r="540" spans="1:30" ht="41.45" customHeight="1">
      <c r="A540"/>
      <c r="AC540"/>
      <c r="AD540"/>
    </row>
    <row r="541" spans="1:30" ht="41.45" customHeight="1">
      <c r="A541"/>
      <c r="AC541"/>
      <c r="AD541"/>
    </row>
    <row r="542" spans="1:30" ht="41.45" customHeight="1">
      <c r="A542"/>
      <c r="AC542"/>
      <c r="AD542"/>
    </row>
    <row r="543" spans="1:30" ht="41.45" customHeight="1">
      <c r="A543"/>
      <c r="AC543"/>
      <c r="AD543"/>
    </row>
    <row r="544" spans="1:30" ht="41.45" customHeight="1">
      <c r="A544"/>
      <c r="AC544"/>
      <c r="AD544"/>
    </row>
    <row r="545" spans="1:30" ht="41.45" customHeight="1">
      <c r="A545"/>
      <c r="AC545"/>
      <c r="AD545"/>
    </row>
    <row r="546" spans="1:30" ht="41.45" customHeight="1">
      <c r="A546"/>
      <c r="AC546"/>
      <c r="AD546"/>
    </row>
    <row r="547" spans="1:30" ht="41.45" customHeight="1">
      <c r="A547"/>
      <c r="AC547"/>
      <c r="AD547"/>
    </row>
    <row r="548" spans="1:30" ht="41.45" customHeight="1">
      <c r="A548"/>
      <c r="AC548"/>
      <c r="AD548"/>
    </row>
    <row r="549" spans="1:30" ht="41.45" customHeight="1">
      <c r="A549"/>
      <c r="AC549"/>
      <c r="AD549"/>
    </row>
    <row r="550" spans="1:30" ht="41.45" customHeight="1">
      <c r="A550"/>
      <c r="AC550"/>
      <c r="AD550"/>
    </row>
    <row r="551" spans="1:30" ht="41.45" customHeight="1">
      <c r="A551"/>
      <c r="AC551"/>
      <c r="AD551"/>
    </row>
    <row r="552" spans="1:30" ht="41.45" customHeight="1">
      <c r="A552"/>
      <c r="AC552"/>
      <c r="AD552"/>
    </row>
    <row r="553" spans="1:30" ht="41.45" customHeight="1">
      <c r="A553"/>
      <c r="AC553"/>
      <c r="AD553"/>
    </row>
    <row r="554" spans="1:30" ht="41.45" customHeight="1">
      <c r="A554"/>
      <c r="AC554"/>
      <c r="AD554"/>
    </row>
    <row r="555" spans="1:30" ht="41.45" customHeight="1">
      <c r="A555"/>
      <c r="AC555"/>
      <c r="AD555"/>
    </row>
    <row r="556" spans="1:30" ht="41.45" customHeight="1">
      <c r="A556"/>
      <c r="AC556"/>
      <c r="AD556"/>
    </row>
    <row r="557" spans="1:30" ht="41.45" customHeight="1">
      <c r="A557"/>
      <c r="AC557"/>
      <c r="AD557"/>
    </row>
    <row r="558" spans="1:30" ht="41.45" customHeight="1">
      <c r="A558"/>
      <c r="AC558"/>
      <c r="AD558"/>
    </row>
    <row r="559" spans="1:30" ht="41.45" customHeight="1">
      <c r="A559"/>
      <c r="AC559"/>
      <c r="AD559"/>
    </row>
    <row r="560" spans="1:30" ht="41.45" customHeight="1">
      <c r="A560"/>
      <c r="AC560"/>
      <c r="AD560"/>
    </row>
    <row r="561" spans="1:30" ht="41.45" customHeight="1">
      <c r="A561"/>
      <c r="AC561"/>
      <c r="AD561"/>
    </row>
    <row r="562" spans="1:30" ht="41.45" customHeight="1">
      <c r="A562"/>
      <c r="AC562"/>
      <c r="AD562"/>
    </row>
    <row r="563" spans="1:30" ht="41.45" customHeight="1">
      <c r="A563"/>
      <c r="AC563"/>
      <c r="AD563"/>
    </row>
    <row r="564" spans="1:30" ht="41.45" customHeight="1">
      <c r="A564"/>
      <c r="AC564"/>
      <c r="AD564"/>
    </row>
    <row r="565" spans="1:30" ht="41.45" customHeight="1">
      <c r="A565"/>
      <c r="AC565"/>
      <c r="AD565"/>
    </row>
    <row r="566" spans="1:30" ht="41.45" customHeight="1">
      <c r="A566"/>
      <c r="AC566"/>
      <c r="AD566"/>
    </row>
    <row r="567" spans="1:30" ht="41.45" customHeight="1">
      <c r="A567"/>
      <c r="AC567"/>
      <c r="AD567"/>
    </row>
    <row r="568" spans="1:30" ht="41.45" customHeight="1">
      <c r="A568"/>
      <c r="AC568"/>
      <c r="AD568"/>
    </row>
    <row r="569" spans="1:30" ht="41.45" customHeight="1">
      <c r="A569"/>
      <c r="AC569"/>
      <c r="AD569"/>
    </row>
    <row r="570" spans="1:30" ht="41.45" customHeight="1">
      <c r="A570"/>
      <c r="AC570"/>
      <c r="AD570"/>
    </row>
    <row r="571" spans="1:30" ht="41.45" customHeight="1">
      <c r="A571"/>
      <c r="AC571"/>
      <c r="AD571"/>
    </row>
    <row r="572" spans="1:30" ht="41.45" customHeight="1">
      <c r="A572"/>
      <c r="AC572"/>
      <c r="AD572"/>
    </row>
    <row r="573" spans="1:30" ht="41.45" customHeight="1">
      <c r="A573"/>
      <c r="AC573"/>
      <c r="AD573"/>
    </row>
    <row r="574" spans="1:30" ht="41.45" customHeight="1">
      <c r="A574"/>
      <c r="AC574"/>
      <c r="AD574"/>
    </row>
    <row r="575" spans="1:30" ht="41.45" customHeight="1">
      <c r="A575"/>
      <c r="AC575"/>
      <c r="AD575"/>
    </row>
    <row r="576" spans="1:30" ht="41.45" customHeight="1">
      <c r="A576"/>
      <c r="AC576"/>
      <c r="AD576"/>
    </row>
    <row r="577" spans="1:30" ht="41.45" customHeight="1">
      <c r="A577"/>
      <c r="AC577"/>
      <c r="AD577"/>
    </row>
    <row r="578" spans="1:30" ht="41.45" customHeight="1">
      <c r="A578"/>
      <c r="AC578"/>
      <c r="AD578"/>
    </row>
    <row r="579" spans="1:30" ht="41.45" customHeight="1">
      <c r="A579"/>
      <c r="AC579"/>
      <c r="AD579"/>
    </row>
    <row r="580" spans="1:30" ht="41.45" customHeight="1">
      <c r="A580"/>
      <c r="AC580"/>
      <c r="AD580"/>
    </row>
    <row r="581" spans="1:30" ht="41.45" customHeight="1">
      <c r="A581"/>
      <c r="AC581"/>
      <c r="AD581"/>
    </row>
    <row r="582" spans="1:30" ht="41.45" customHeight="1">
      <c r="A582"/>
      <c r="AC582"/>
      <c r="AD582"/>
    </row>
    <row r="583" spans="1:30" ht="41.45" customHeight="1">
      <c r="A583"/>
      <c r="AC583"/>
      <c r="AD583"/>
    </row>
    <row r="584" spans="1:30" ht="41.45" customHeight="1">
      <c r="A584"/>
      <c r="AC584"/>
      <c r="AD584"/>
    </row>
    <row r="585" spans="1:30" ht="41.45" customHeight="1">
      <c r="A585"/>
      <c r="AC585"/>
      <c r="AD585"/>
    </row>
    <row r="586" spans="1:30" ht="41.45" customHeight="1">
      <c r="A586"/>
      <c r="AC586"/>
      <c r="AD586"/>
    </row>
    <row r="587" spans="1:30" ht="41.45" customHeight="1">
      <c r="A587"/>
      <c r="AC587"/>
      <c r="AD587"/>
    </row>
    <row r="588" spans="1:30" ht="41.45" customHeight="1">
      <c r="A588"/>
      <c r="AC588"/>
      <c r="AD588"/>
    </row>
    <row r="589" spans="1:30" ht="41.45" customHeight="1">
      <c r="A589"/>
      <c r="AC589"/>
      <c r="AD589"/>
    </row>
    <row r="590" spans="1:30" ht="41.45" customHeight="1">
      <c r="A590"/>
      <c r="AC590"/>
      <c r="AD590"/>
    </row>
    <row r="591" spans="1:30" ht="41.45" customHeight="1">
      <c r="A591"/>
      <c r="AC591"/>
      <c r="AD591"/>
    </row>
    <row r="592" spans="1:30" ht="41.45" customHeight="1">
      <c r="A592"/>
      <c r="AC592"/>
      <c r="AD592"/>
    </row>
    <row r="593" spans="1:30" ht="41.45" customHeight="1">
      <c r="A593"/>
      <c r="AC593"/>
      <c r="AD593"/>
    </row>
    <row r="594" spans="1:30" ht="41.45" customHeight="1">
      <c r="A594"/>
      <c r="AC594"/>
      <c r="AD594"/>
    </row>
    <row r="595" spans="1:30" ht="41.45" customHeight="1">
      <c r="A595"/>
      <c r="AC595"/>
      <c r="AD595"/>
    </row>
    <row r="596" spans="1:30" ht="41.45" customHeight="1">
      <c r="A596"/>
      <c r="AC596"/>
      <c r="AD596"/>
    </row>
    <row r="597" spans="1:30" ht="41.45" customHeight="1">
      <c r="A597"/>
      <c r="AC597"/>
      <c r="AD597"/>
    </row>
    <row r="598" spans="1:30" ht="41.45" customHeight="1">
      <c r="A598"/>
      <c r="AC598"/>
      <c r="AD598"/>
    </row>
    <row r="599" spans="1:30" ht="41.45" customHeight="1">
      <c r="A599"/>
      <c r="AC599"/>
      <c r="AD599"/>
    </row>
    <row r="600" spans="1:30" ht="41.45" customHeight="1">
      <c r="A600"/>
      <c r="AC600"/>
      <c r="AD600"/>
    </row>
    <row r="601" spans="1:30" ht="41.45" customHeight="1">
      <c r="A601"/>
      <c r="AC601"/>
      <c r="AD601"/>
    </row>
    <row r="602" spans="1:30" ht="41.45" customHeight="1">
      <c r="A602"/>
      <c r="AC602"/>
      <c r="AD602"/>
    </row>
    <row r="603" spans="1:30" ht="41.45" customHeight="1">
      <c r="A603"/>
      <c r="AC603"/>
      <c r="AD603"/>
    </row>
    <row r="604" spans="1:30" ht="41.45" customHeight="1">
      <c r="A604"/>
      <c r="AC604"/>
      <c r="AD604"/>
    </row>
    <row r="605" spans="1:30" ht="41.45" customHeight="1">
      <c r="A605"/>
      <c r="AC605"/>
      <c r="AD605"/>
    </row>
    <row r="606" spans="1:30" ht="41.45" customHeight="1">
      <c r="A606"/>
      <c r="AC606"/>
      <c r="AD606"/>
    </row>
    <row r="607" spans="1:30" ht="41.45" customHeight="1">
      <c r="A607"/>
      <c r="AC607"/>
      <c r="AD607"/>
    </row>
    <row r="608" spans="1:30" ht="41.45" customHeight="1">
      <c r="A608"/>
      <c r="AC608"/>
      <c r="AD608"/>
    </row>
    <row r="609" spans="1:30" ht="41.45" customHeight="1">
      <c r="A609"/>
      <c r="AC609"/>
      <c r="AD609"/>
    </row>
    <row r="610" spans="1:30" ht="41.45" customHeight="1">
      <c r="A610"/>
      <c r="AC610"/>
      <c r="AD610"/>
    </row>
    <row r="611" spans="1:30" ht="41.45" customHeight="1">
      <c r="A611"/>
      <c r="AC611"/>
      <c r="AD611"/>
    </row>
    <row r="612" spans="1:30" ht="41.45" customHeight="1">
      <c r="A612"/>
      <c r="AC612"/>
      <c r="AD612"/>
    </row>
    <row r="613" spans="1:30" ht="41.45" customHeight="1">
      <c r="A613"/>
      <c r="AC613"/>
      <c r="AD613"/>
    </row>
    <row r="614" spans="1:30" ht="41.45" customHeight="1">
      <c r="A614"/>
      <c r="AC614"/>
      <c r="AD614"/>
    </row>
    <row r="615" spans="1:30" ht="41.45" customHeight="1">
      <c r="A615"/>
      <c r="AC615"/>
      <c r="AD615"/>
    </row>
    <row r="616" spans="1:30" ht="41.45" customHeight="1">
      <c r="A616"/>
      <c r="AC616"/>
      <c r="AD616"/>
    </row>
    <row r="617" spans="1:30" ht="41.45" customHeight="1">
      <c r="A617"/>
      <c r="AC617"/>
      <c r="AD617"/>
    </row>
    <row r="618" spans="1:30" ht="41.45" customHeight="1">
      <c r="A618"/>
      <c r="AC618"/>
      <c r="AD618"/>
    </row>
    <row r="619" spans="1:30" ht="41.45" customHeight="1">
      <c r="A619"/>
      <c r="AC619"/>
      <c r="AD619"/>
    </row>
    <row r="620" spans="1:30" ht="41.45" customHeight="1">
      <c r="A620"/>
      <c r="AC620"/>
      <c r="AD620"/>
    </row>
    <row r="621" spans="1:30" ht="41.45" customHeight="1">
      <c r="A621"/>
      <c r="AC621"/>
      <c r="AD621"/>
    </row>
    <row r="622" spans="1:30" ht="41.45" customHeight="1">
      <c r="A622"/>
      <c r="AC622"/>
      <c r="AD622"/>
    </row>
    <row r="623" spans="1:30" ht="41.45" customHeight="1">
      <c r="A623"/>
      <c r="AC623"/>
      <c r="AD623"/>
    </row>
    <row r="624" spans="1:30" ht="41.45" customHeight="1">
      <c r="A624"/>
      <c r="AC624"/>
      <c r="AD624"/>
    </row>
    <row r="625" spans="1:30" ht="41.45" customHeight="1">
      <c r="A625"/>
      <c r="AC625"/>
      <c r="AD625"/>
    </row>
    <row r="626" spans="1:30" ht="41.45" customHeight="1">
      <c r="A626"/>
      <c r="AC626"/>
      <c r="AD626"/>
    </row>
    <row r="627" spans="1:30" ht="41.45" customHeight="1">
      <c r="A627"/>
      <c r="AC627"/>
      <c r="AD627"/>
    </row>
    <row r="628" spans="1:30" ht="41.45" customHeight="1">
      <c r="A628"/>
      <c r="AC628"/>
      <c r="AD628"/>
    </row>
    <row r="629" spans="1:30" ht="41.45" customHeight="1">
      <c r="A629"/>
      <c r="AC629"/>
      <c r="AD629"/>
    </row>
    <row r="630" spans="1:30" ht="41.45" customHeight="1">
      <c r="A630"/>
      <c r="AC630"/>
      <c r="AD630"/>
    </row>
    <row r="631" spans="1:30" ht="41.45" customHeight="1">
      <c r="A631"/>
      <c r="AC631"/>
      <c r="AD631"/>
    </row>
    <row r="632" spans="1:30" ht="41.45" customHeight="1">
      <c r="A632"/>
      <c r="AC632"/>
      <c r="AD632"/>
    </row>
    <row r="633" spans="1:30" ht="41.45" customHeight="1">
      <c r="A633"/>
      <c r="AC633"/>
      <c r="AD633"/>
    </row>
    <row r="634" spans="1:30" ht="41.45" customHeight="1">
      <c r="A634"/>
      <c r="AC634"/>
      <c r="AD634"/>
    </row>
    <row r="635" spans="1:30" ht="41.45" customHeight="1">
      <c r="A635"/>
      <c r="AC635"/>
      <c r="AD635"/>
    </row>
    <row r="636" spans="1:30" ht="41.45" customHeight="1">
      <c r="A636"/>
      <c r="AC636"/>
      <c r="AD636"/>
    </row>
    <row r="637" spans="1:30" ht="41.45" customHeight="1">
      <c r="A637"/>
      <c r="AC637"/>
      <c r="AD637"/>
    </row>
    <row r="638" spans="1:30" ht="41.45" customHeight="1">
      <c r="A638"/>
      <c r="AC638"/>
      <c r="AD638"/>
    </row>
    <row r="639" spans="1:30" ht="41.45" customHeight="1">
      <c r="A639"/>
      <c r="AC639"/>
      <c r="AD639"/>
    </row>
    <row r="640" spans="1:30" ht="41.45" customHeight="1">
      <c r="A640"/>
      <c r="AC640"/>
      <c r="AD640"/>
    </row>
    <row r="641" spans="1:30" ht="41.45" customHeight="1">
      <c r="A641"/>
      <c r="AC641"/>
      <c r="AD641"/>
    </row>
    <row r="642" spans="1:30" ht="41.45" customHeight="1">
      <c r="A642"/>
      <c r="AC642"/>
      <c r="AD642"/>
    </row>
    <row r="643" spans="1:30" ht="41.45" customHeight="1">
      <c r="A643"/>
      <c r="AC643"/>
      <c r="AD643"/>
    </row>
    <row r="644" spans="1:30" ht="41.45" customHeight="1">
      <c r="A644"/>
      <c r="AC644"/>
      <c r="AD644"/>
    </row>
    <row r="645" spans="1:30" ht="41.45" customHeight="1">
      <c r="A645"/>
      <c r="AC645"/>
      <c r="AD645"/>
    </row>
    <row r="646" spans="1:30" ht="41.45" customHeight="1">
      <c r="A646"/>
      <c r="AC646"/>
      <c r="AD646"/>
    </row>
    <row r="647" spans="1:30" ht="41.45" customHeight="1">
      <c r="A647"/>
      <c r="AC647"/>
      <c r="AD647"/>
    </row>
    <row r="648" spans="1:30" ht="41.45" customHeight="1">
      <c r="A648"/>
      <c r="AC648"/>
      <c r="AD648"/>
    </row>
    <row r="649" spans="1:30" ht="41.45" customHeight="1">
      <c r="A649"/>
      <c r="AC649"/>
      <c r="AD649"/>
    </row>
    <row r="650" spans="1:30" ht="41.45" customHeight="1">
      <c r="A650"/>
      <c r="AC650"/>
      <c r="AD650"/>
    </row>
    <row r="651" spans="1:30" ht="41.45" customHeight="1">
      <c r="A651"/>
      <c r="AC651"/>
      <c r="AD651"/>
    </row>
    <row r="652" spans="1:30" ht="41.45" customHeight="1">
      <c r="A652"/>
      <c r="AC652"/>
      <c r="AD652"/>
    </row>
    <row r="653" spans="1:30" ht="41.45" customHeight="1">
      <c r="A653"/>
      <c r="AC653"/>
      <c r="AD653"/>
    </row>
    <row r="654" spans="1:30" ht="41.45" customHeight="1">
      <c r="A654"/>
      <c r="AC654"/>
      <c r="AD654"/>
    </row>
    <row r="655" spans="1:30" ht="41.45" customHeight="1">
      <c r="A655"/>
      <c r="AC655"/>
      <c r="AD655"/>
    </row>
    <row r="656" spans="1:30" ht="41.45" customHeight="1">
      <c r="A656"/>
      <c r="AC656"/>
      <c r="AD656"/>
    </row>
    <row r="657" spans="1:30" ht="41.45" customHeight="1">
      <c r="A657"/>
      <c r="AC657"/>
      <c r="AD657"/>
    </row>
    <row r="658" spans="1:30" ht="41.45" customHeight="1">
      <c r="A658"/>
      <c r="AC658"/>
      <c r="AD658"/>
    </row>
    <row r="659" spans="1:30" ht="41.45" customHeight="1">
      <c r="A659"/>
      <c r="AC659"/>
      <c r="AD659"/>
    </row>
    <row r="660" spans="1:30" ht="41.45" customHeight="1">
      <c r="A660"/>
      <c r="AC660"/>
      <c r="AD660"/>
    </row>
    <row r="661" spans="1:30" ht="41.45" customHeight="1">
      <c r="A661"/>
      <c r="AC661"/>
      <c r="AD661"/>
    </row>
    <row r="662" spans="1:30" ht="41.45" customHeight="1">
      <c r="A662"/>
      <c r="AC662"/>
      <c r="AD662"/>
    </row>
    <row r="663" spans="1:30" ht="41.45" customHeight="1">
      <c r="A663"/>
      <c r="AC663"/>
      <c r="AD663"/>
    </row>
    <row r="664" spans="1:30" ht="41.45" customHeight="1">
      <c r="A664"/>
      <c r="AC664"/>
      <c r="AD664"/>
    </row>
    <row r="665" spans="1:30" ht="41.45" customHeight="1">
      <c r="A665"/>
      <c r="AC665"/>
      <c r="AD665"/>
    </row>
    <row r="666" spans="1:30" ht="41.45" customHeight="1">
      <c r="A666"/>
      <c r="AC666"/>
      <c r="AD666"/>
    </row>
    <row r="667" spans="1:30" ht="41.45" customHeight="1">
      <c r="A667"/>
      <c r="AC667"/>
      <c r="AD667"/>
    </row>
    <row r="668" spans="1:30" ht="41.45" customHeight="1">
      <c r="A668"/>
      <c r="AC668"/>
      <c r="AD668"/>
    </row>
    <row r="669" spans="1:30" ht="41.45" customHeight="1">
      <c r="A669"/>
      <c r="AC669"/>
      <c r="AD669"/>
    </row>
    <row r="670" spans="1:30" ht="41.45" customHeight="1">
      <c r="A670"/>
      <c r="AC670"/>
      <c r="AD670"/>
    </row>
    <row r="671" spans="1:30" ht="41.45" customHeight="1">
      <c r="A671"/>
      <c r="AC671"/>
      <c r="AD671"/>
    </row>
    <row r="672" spans="1:30" ht="41.45" customHeight="1">
      <c r="A672"/>
      <c r="AC672"/>
      <c r="AD672"/>
    </row>
    <row r="673" spans="1:30" ht="41.45" customHeight="1">
      <c r="A673"/>
      <c r="AC673"/>
      <c r="AD673"/>
    </row>
    <row r="674" spans="1:30" ht="41.45" customHeight="1">
      <c r="A674"/>
      <c r="AC674"/>
      <c r="AD674"/>
    </row>
    <row r="675" spans="1:30" ht="41.45" customHeight="1">
      <c r="A675"/>
      <c r="AC675"/>
      <c r="AD675"/>
    </row>
    <row r="676" spans="1:30" ht="41.45" customHeight="1">
      <c r="A676"/>
      <c r="AC676"/>
      <c r="AD676"/>
    </row>
    <row r="677" spans="1:30" ht="41.45" customHeight="1">
      <c r="A677"/>
      <c r="AC677"/>
      <c r="AD677"/>
    </row>
    <row r="678" spans="1:30" ht="41.45" customHeight="1">
      <c r="A678"/>
      <c r="AC678"/>
      <c r="AD678"/>
    </row>
    <row r="679" spans="1:30" ht="41.45" customHeight="1">
      <c r="A679"/>
      <c r="AC679"/>
      <c r="AD679"/>
    </row>
    <row r="680" spans="1:30" ht="41.45" customHeight="1">
      <c r="A680"/>
      <c r="AC680"/>
      <c r="AD680"/>
    </row>
    <row r="681" spans="1:30" ht="41.45" customHeight="1">
      <c r="A681"/>
      <c r="AC681"/>
      <c r="AD681"/>
    </row>
    <row r="682" spans="1:30" ht="41.45" customHeight="1">
      <c r="A682"/>
      <c r="AC682"/>
      <c r="AD682"/>
    </row>
    <row r="683" spans="1:30" ht="41.45" customHeight="1">
      <c r="A683"/>
      <c r="AC683"/>
      <c r="AD683"/>
    </row>
    <row r="684" spans="1:30" ht="41.45" customHeight="1">
      <c r="A684"/>
      <c r="AC684"/>
      <c r="AD684"/>
    </row>
    <row r="685" spans="1:30" ht="41.45" customHeight="1">
      <c r="A685"/>
      <c r="AC685"/>
      <c r="AD685"/>
    </row>
    <row r="686" spans="1:30" ht="41.45" customHeight="1">
      <c r="A686"/>
      <c r="AC686"/>
      <c r="AD686"/>
    </row>
    <row r="687" spans="1:30" ht="41.45" customHeight="1">
      <c r="A687"/>
      <c r="AC687"/>
      <c r="AD687"/>
    </row>
    <row r="688" spans="1:30" ht="41.45" customHeight="1">
      <c r="A688"/>
      <c r="AC688"/>
      <c r="AD688"/>
    </row>
    <row r="689" spans="1:30" ht="41.45" customHeight="1">
      <c r="A689"/>
      <c r="AC689"/>
      <c r="AD689"/>
    </row>
    <row r="690" spans="1:30" ht="41.45" customHeight="1">
      <c r="A690"/>
      <c r="AC690"/>
      <c r="AD690"/>
    </row>
    <row r="691" spans="1:30" ht="41.45" customHeight="1">
      <c r="A691"/>
      <c r="AC691"/>
      <c r="AD691"/>
    </row>
    <row r="692" spans="1:30" ht="41.45" customHeight="1">
      <c r="A692"/>
      <c r="AC692"/>
      <c r="AD692"/>
    </row>
    <row r="693" spans="1:30" ht="41.45" customHeight="1">
      <c r="A693"/>
      <c r="AC693"/>
      <c r="AD693"/>
    </row>
    <row r="694" spans="1:30" ht="41.45" customHeight="1">
      <c r="A694"/>
      <c r="AC694"/>
      <c r="AD694"/>
    </row>
    <row r="695" spans="1:30" ht="41.45" customHeight="1">
      <c r="A695"/>
      <c r="AC695"/>
      <c r="AD695"/>
    </row>
    <row r="696" spans="1:30" ht="41.45" customHeight="1">
      <c r="A696"/>
      <c r="AC696"/>
      <c r="AD696"/>
    </row>
    <row r="697" spans="1:30" ht="41.45" customHeight="1">
      <c r="A697"/>
      <c r="AC697"/>
      <c r="AD697"/>
    </row>
    <row r="698" spans="1:30" ht="41.45" customHeight="1">
      <c r="A698"/>
      <c r="AC698"/>
      <c r="AD698"/>
    </row>
    <row r="699" spans="1:30" ht="41.45" customHeight="1">
      <c r="A699"/>
      <c r="AC699"/>
      <c r="AD699"/>
    </row>
    <row r="700" spans="1:30" ht="41.45" customHeight="1">
      <c r="A700"/>
      <c r="AC700"/>
      <c r="AD700"/>
    </row>
    <row r="701" spans="1:30" ht="41.45" customHeight="1">
      <c r="A701"/>
      <c r="AC701"/>
      <c r="AD701"/>
    </row>
    <row r="702" spans="1:30" ht="41.45" customHeight="1">
      <c r="A702"/>
      <c r="AC702"/>
      <c r="AD702"/>
    </row>
    <row r="703" spans="1:30" ht="41.45" customHeight="1">
      <c r="A703"/>
      <c r="AC703"/>
      <c r="AD703"/>
    </row>
    <row r="704" spans="1:30" ht="41.45" customHeight="1">
      <c r="A704"/>
      <c r="AC704"/>
      <c r="AD704"/>
    </row>
    <row r="705" spans="1:30" ht="41.45" customHeight="1">
      <c r="A705"/>
      <c r="AC705"/>
      <c r="AD705"/>
    </row>
    <row r="706" spans="1:30" ht="41.45" customHeight="1">
      <c r="A706"/>
      <c r="AC706"/>
      <c r="AD706"/>
    </row>
    <row r="707" spans="1:30" ht="41.45" customHeight="1">
      <c r="A707"/>
      <c r="AC707"/>
      <c r="AD707"/>
    </row>
    <row r="708" spans="1:30" ht="41.45" customHeight="1">
      <c r="A708"/>
      <c r="AC708"/>
      <c r="AD708"/>
    </row>
    <row r="709" spans="1:30" ht="41.45" customHeight="1">
      <c r="A709"/>
      <c r="AC709"/>
      <c r="AD709"/>
    </row>
    <row r="710" spans="1:30" ht="41.45" customHeight="1">
      <c r="A710"/>
      <c r="AC710"/>
      <c r="AD710"/>
    </row>
    <row r="711" spans="1:30" ht="41.45" customHeight="1">
      <c r="A711"/>
      <c r="AC711"/>
      <c r="AD711"/>
    </row>
    <row r="712" spans="1:30" ht="41.45" customHeight="1">
      <c r="A712"/>
      <c r="AC712"/>
      <c r="AD712"/>
    </row>
    <row r="713" spans="1:30" ht="41.45" customHeight="1">
      <c r="A713"/>
      <c r="AC713"/>
      <c r="AD713"/>
    </row>
    <row r="714" spans="1:30" ht="41.45" customHeight="1">
      <c r="A714"/>
      <c r="AC714"/>
      <c r="AD714"/>
    </row>
    <row r="715" spans="1:30" ht="41.45" customHeight="1">
      <c r="A715"/>
      <c r="AC715"/>
      <c r="AD715"/>
    </row>
    <row r="716" spans="1:30" ht="41.45" customHeight="1">
      <c r="A716"/>
      <c r="AC716"/>
      <c r="AD716"/>
    </row>
    <row r="717" spans="1:30" ht="41.45" customHeight="1">
      <c r="A717"/>
      <c r="AC717"/>
      <c r="AD717"/>
    </row>
    <row r="718" spans="1:30" ht="41.45" customHeight="1">
      <c r="A718"/>
      <c r="AC718"/>
      <c r="AD718"/>
    </row>
    <row r="719" spans="1:30" ht="41.45" customHeight="1">
      <c r="A719"/>
      <c r="AC719"/>
      <c r="AD719"/>
    </row>
    <row r="720" spans="1:30" ht="41.45" customHeight="1">
      <c r="A720"/>
      <c r="AC720"/>
      <c r="AD720"/>
    </row>
    <row r="721" spans="1:30" ht="41.45" customHeight="1">
      <c r="A721"/>
      <c r="AC721"/>
      <c r="AD721"/>
    </row>
    <row r="722" spans="1:30" ht="41.45" customHeight="1">
      <c r="A722"/>
      <c r="AC722"/>
      <c r="AD722"/>
    </row>
    <row r="723" spans="1:30" ht="41.45" customHeight="1">
      <c r="A723"/>
      <c r="AC723"/>
      <c r="AD723"/>
    </row>
    <row r="724" spans="1:30" ht="41.45" customHeight="1">
      <c r="A724"/>
      <c r="AC724"/>
      <c r="AD724"/>
    </row>
    <row r="725" spans="1:30" ht="41.45" customHeight="1">
      <c r="A725"/>
      <c r="AC725"/>
      <c r="AD725"/>
    </row>
    <row r="726" spans="1:30" ht="41.45" customHeight="1">
      <c r="A726"/>
      <c r="AC726"/>
      <c r="AD726"/>
    </row>
    <row r="727" spans="1:30" ht="41.45" customHeight="1">
      <c r="A727"/>
      <c r="AC727"/>
      <c r="AD727"/>
    </row>
    <row r="728" spans="1:30" ht="41.45" customHeight="1">
      <c r="A728"/>
      <c r="AC728"/>
      <c r="AD728"/>
    </row>
    <row r="729" spans="1:30" ht="41.45" customHeight="1">
      <c r="A729"/>
      <c r="AC729"/>
      <c r="AD729"/>
    </row>
    <row r="730" spans="1:30" ht="41.45" customHeight="1">
      <c r="A730"/>
      <c r="AC730"/>
      <c r="AD730"/>
    </row>
    <row r="731" spans="1:30" ht="41.45" customHeight="1">
      <c r="A731"/>
      <c r="AC731"/>
      <c r="AD731"/>
    </row>
    <row r="732" spans="1:30" ht="41.45" customHeight="1">
      <c r="A732"/>
      <c r="AC732"/>
      <c r="AD732"/>
    </row>
    <row r="733" spans="1:30" ht="41.45" customHeight="1">
      <c r="A733"/>
      <c r="AC733"/>
      <c r="AD733"/>
    </row>
    <row r="734" spans="1:30" ht="41.45" customHeight="1">
      <c r="A734"/>
      <c r="AC734"/>
      <c r="AD734"/>
    </row>
    <row r="735" spans="1:30" ht="41.45" customHeight="1">
      <c r="A735"/>
      <c r="AC735"/>
      <c r="AD735"/>
    </row>
    <row r="736" spans="1:30" ht="41.45" customHeight="1">
      <c r="A736"/>
      <c r="AC736"/>
      <c r="AD736"/>
    </row>
    <row r="737" spans="1:30" ht="41.45" customHeight="1">
      <c r="A737"/>
      <c r="AC737"/>
      <c r="AD737"/>
    </row>
    <row r="738" spans="1:30" ht="41.45" customHeight="1">
      <c r="A738"/>
      <c r="AC738"/>
      <c r="AD738"/>
    </row>
    <row r="739" spans="1:30" ht="41.45" customHeight="1">
      <c r="A739"/>
      <c r="AC739"/>
      <c r="AD739"/>
    </row>
    <row r="740" spans="1:30" ht="41.45" customHeight="1">
      <c r="A740"/>
      <c r="AC740"/>
      <c r="AD740"/>
    </row>
    <row r="741" spans="1:30" ht="41.45" customHeight="1">
      <c r="A741"/>
      <c r="AC741"/>
      <c r="AD741"/>
    </row>
    <row r="742" spans="1:30" ht="41.45" customHeight="1">
      <c r="A742"/>
      <c r="AC742"/>
      <c r="AD742"/>
    </row>
    <row r="743" spans="1:30" ht="41.45" customHeight="1">
      <c r="A743"/>
      <c r="AC743"/>
      <c r="AD743"/>
    </row>
    <row r="744" spans="1:30" ht="41.45" customHeight="1">
      <c r="A744"/>
      <c r="AC744"/>
      <c r="AD744"/>
    </row>
    <row r="745" spans="1:30" ht="41.45" customHeight="1">
      <c r="A745"/>
      <c r="AC745"/>
      <c r="AD745"/>
    </row>
    <row r="746" spans="1:30" ht="41.45" customHeight="1">
      <c r="A746"/>
      <c r="AC746"/>
      <c r="AD746"/>
    </row>
    <row r="747" spans="1:30" ht="41.45" customHeight="1">
      <c r="A747"/>
      <c r="AC747"/>
      <c r="AD747"/>
    </row>
    <row r="748" spans="1:30" ht="41.45" customHeight="1">
      <c r="A748"/>
      <c r="AC748"/>
      <c r="AD748"/>
    </row>
    <row r="749" spans="1:30" ht="41.45" customHeight="1">
      <c r="A749"/>
      <c r="AC749"/>
      <c r="AD749"/>
    </row>
    <row r="750" spans="1:30" ht="41.45" customHeight="1">
      <c r="A750"/>
      <c r="AC750"/>
      <c r="AD750"/>
    </row>
    <row r="751" spans="1:30" ht="41.45" customHeight="1">
      <c r="A751"/>
      <c r="AC751"/>
      <c r="AD751"/>
    </row>
    <row r="752" spans="1:30" ht="41.45" customHeight="1">
      <c r="A752"/>
      <c r="AC752"/>
      <c r="AD752"/>
    </row>
    <row r="753" spans="1:30" ht="41.45" customHeight="1">
      <c r="A753"/>
      <c r="AC753"/>
      <c r="AD753"/>
    </row>
    <row r="754" spans="1:30" ht="41.45" customHeight="1">
      <c r="A754"/>
      <c r="AC754"/>
      <c r="AD754"/>
    </row>
    <row r="755" spans="1:30" ht="41.45" customHeight="1">
      <c r="A755"/>
      <c r="AC755"/>
      <c r="AD755"/>
    </row>
    <row r="756" spans="1:30" ht="41.45" customHeight="1">
      <c r="A756"/>
      <c r="AC756"/>
      <c r="AD756"/>
    </row>
    <row r="757" spans="1:30" ht="41.45" customHeight="1">
      <c r="A757"/>
      <c r="AC757"/>
      <c r="AD757"/>
    </row>
    <row r="758" spans="1:30" ht="41.45" customHeight="1">
      <c r="A758"/>
      <c r="AC758"/>
      <c r="AD758"/>
    </row>
    <row r="759" spans="1:30" ht="41.45" customHeight="1">
      <c r="A759"/>
      <c r="AC759"/>
      <c r="AD759"/>
    </row>
    <row r="760" spans="1:30" ht="41.45" customHeight="1">
      <c r="A760"/>
      <c r="AC760"/>
      <c r="AD760"/>
    </row>
    <row r="761" spans="1:30" ht="41.45" customHeight="1">
      <c r="A761"/>
      <c r="AC761"/>
      <c r="AD761"/>
    </row>
    <row r="762" spans="1:30" ht="41.45" customHeight="1">
      <c r="A762"/>
      <c r="AC762"/>
      <c r="AD762"/>
    </row>
    <row r="763" spans="1:30" ht="41.45" customHeight="1">
      <c r="A763"/>
      <c r="AC763"/>
      <c r="AD763"/>
    </row>
    <row r="764" spans="1:30" ht="41.45" customHeight="1">
      <c r="A764"/>
      <c r="AC764"/>
      <c r="AD764"/>
    </row>
    <row r="765" spans="1:30" ht="41.45" customHeight="1">
      <c r="A765"/>
      <c r="AC765"/>
      <c r="AD765"/>
    </row>
    <row r="766" spans="1:30" ht="41.45" customHeight="1">
      <c r="A766"/>
      <c r="AC766"/>
      <c r="AD766"/>
    </row>
    <row r="767" spans="1:30" ht="41.45" customHeight="1">
      <c r="A767"/>
      <c r="AC767"/>
      <c r="AD767"/>
    </row>
    <row r="768" spans="1:30" ht="41.45" customHeight="1">
      <c r="A768"/>
      <c r="AC768"/>
      <c r="AD768"/>
    </row>
    <row r="769" spans="1:30" ht="41.45" customHeight="1">
      <c r="A769"/>
      <c r="AC769"/>
      <c r="AD769"/>
    </row>
    <row r="770" spans="1:30" ht="41.45" customHeight="1">
      <c r="A770"/>
      <c r="AC770"/>
      <c r="AD770"/>
    </row>
    <row r="771" spans="1:30" ht="41.45" customHeight="1">
      <c r="A771"/>
      <c r="AC771"/>
      <c r="AD771"/>
    </row>
    <row r="772" spans="1:30" ht="41.45" customHeight="1">
      <c r="A772"/>
      <c r="AC772"/>
      <c r="AD772"/>
    </row>
    <row r="773" spans="1:30" ht="41.45" customHeight="1">
      <c r="A773"/>
      <c r="AC773"/>
      <c r="AD773"/>
    </row>
    <row r="774" spans="1:30" ht="41.45" customHeight="1">
      <c r="A774"/>
      <c r="AC774"/>
      <c r="AD774"/>
    </row>
    <row r="775" spans="1:30" ht="41.45" customHeight="1">
      <c r="A775"/>
      <c r="AC775"/>
      <c r="AD775"/>
    </row>
    <row r="776" spans="1:30" ht="41.45" customHeight="1">
      <c r="A776"/>
      <c r="AC776"/>
      <c r="AD776"/>
    </row>
    <row r="777" spans="1:30" ht="41.45" customHeight="1">
      <c r="A777"/>
      <c r="AC777"/>
      <c r="AD777"/>
    </row>
    <row r="778" spans="1:30" ht="41.45" customHeight="1">
      <c r="A778"/>
      <c r="AC778"/>
      <c r="AD778"/>
    </row>
    <row r="779" spans="1:30" ht="41.45" customHeight="1">
      <c r="A779"/>
      <c r="AC779"/>
      <c r="AD779"/>
    </row>
    <row r="780" spans="1:30" ht="41.45" customHeight="1">
      <c r="A780"/>
      <c r="AC780"/>
      <c r="AD780"/>
    </row>
    <row r="781" spans="1:30" ht="41.45" customHeight="1">
      <c r="A781"/>
      <c r="AC781"/>
      <c r="AD781"/>
    </row>
    <row r="782" spans="1:30" ht="41.45" customHeight="1">
      <c r="A782"/>
      <c r="AC782"/>
      <c r="AD782"/>
    </row>
    <row r="783" spans="1:30" ht="41.45" customHeight="1">
      <c r="A783"/>
      <c r="AC783"/>
      <c r="AD783"/>
    </row>
    <row r="784" spans="1:30" ht="41.45" customHeight="1">
      <c r="A784"/>
      <c r="AC784"/>
      <c r="AD784"/>
    </row>
    <row r="785" spans="1:30" ht="41.45" customHeight="1">
      <c r="A785"/>
      <c r="AC785"/>
      <c r="AD785"/>
    </row>
    <row r="786" spans="1:30" ht="41.45" customHeight="1">
      <c r="A786"/>
      <c r="AC786"/>
      <c r="AD786"/>
    </row>
    <row r="787" spans="1:30" ht="41.45" customHeight="1">
      <c r="A787"/>
      <c r="AC787"/>
      <c r="AD787"/>
    </row>
    <row r="788" spans="1:30" ht="41.45" customHeight="1">
      <c r="A788"/>
      <c r="AC788"/>
      <c r="AD788"/>
    </row>
    <row r="789" spans="1:30" ht="41.45" customHeight="1">
      <c r="A789"/>
      <c r="AC789"/>
      <c r="AD789"/>
    </row>
    <row r="790" spans="1:30" ht="41.45" customHeight="1">
      <c r="A790"/>
      <c r="AC790"/>
      <c r="AD790"/>
    </row>
    <row r="791" spans="1:30" ht="41.45" customHeight="1">
      <c r="A791"/>
      <c r="AC791"/>
      <c r="AD791"/>
    </row>
    <row r="792" spans="1:30" ht="41.45" customHeight="1">
      <c r="A792"/>
      <c r="AC792"/>
      <c r="AD792"/>
    </row>
    <row r="793" spans="1:30" ht="41.45" customHeight="1">
      <c r="A793"/>
      <c r="AC793"/>
      <c r="AD793"/>
    </row>
    <row r="794" spans="1:30" ht="41.45" customHeight="1">
      <c r="A794"/>
      <c r="AC794"/>
      <c r="AD794"/>
    </row>
    <row r="795" spans="1:30" ht="41.45" customHeight="1">
      <c r="A795"/>
      <c r="AC795"/>
      <c r="AD795"/>
    </row>
    <row r="796" spans="1:30" ht="41.45" customHeight="1">
      <c r="A796"/>
      <c r="AC796"/>
      <c r="AD796"/>
    </row>
    <row r="797" spans="1:30" ht="41.45" customHeight="1">
      <c r="A797"/>
      <c r="AC797"/>
      <c r="AD797"/>
    </row>
    <row r="798" spans="1:30" ht="41.45" customHeight="1">
      <c r="A798"/>
      <c r="AC798"/>
      <c r="AD798"/>
    </row>
    <row r="799" spans="1:30" ht="41.45" customHeight="1">
      <c r="A799"/>
      <c r="AC799"/>
      <c r="AD799"/>
    </row>
    <row r="800" spans="1:30" ht="41.45" customHeight="1">
      <c r="A800"/>
      <c r="AC800"/>
      <c r="AD800"/>
    </row>
    <row r="801" spans="1:30" ht="41.45" customHeight="1">
      <c r="A801"/>
      <c r="AC801"/>
      <c r="AD801"/>
    </row>
    <row r="802" spans="1:30" ht="41.45" customHeight="1">
      <c r="A802"/>
      <c r="AC802"/>
      <c r="AD802"/>
    </row>
    <row r="803" spans="1:30" ht="41.45" customHeight="1">
      <c r="A803"/>
      <c r="AC803"/>
      <c r="AD803"/>
    </row>
    <row r="804" spans="1:30" ht="41.45" customHeight="1">
      <c r="A804"/>
      <c r="AC804"/>
      <c r="AD804"/>
    </row>
    <row r="805" spans="1:30" ht="41.45" customHeight="1">
      <c r="A805"/>
      <c r="AC805"/>
      <c r="AD805"/>
    </row>
    <row r="806" spans="1:30" ht="41.45" customHeight="1">
      <c r="A806"/>
      <c r="AC806"/>
      <c r="AD806"/>
    </row>
    <row r="807" spans="1:30" ht="41.45" customHeight="1">
      <c r="A807"/>
      <c r="AC807"/>
      <c r="AD807"/>
    </row>
    <row r="808" spans="1:30" ht="41.45" customHeight="1">
      <c r="A808"/>
      <c r="AC808"/>
      <c r="AD808"/>
    </row>
    <row r="809" spans="1:30" ht="41.45" customHeight="1">
      <c r="A809"/>
      <c r="AC809"/>
      <c r="AD809"/>
    </row>
    <row r="810" spans="1:30" ht="41.45" customHeight="1">
      <c r="A810"/>
      <c r="AC810"/>
      <c r="AD810"/>
    </row>
    <row r="811" spans="1:30" ht="41.45" customHeight="1">
      <c r="A811"/>
      <c r="AC811"/>
      <c r="AD811"/>
    </row>
    <row r="812" spans="1:30" ht="41.45" customHeight="1">
      <c r="A812"/>
      <c r="AC812"/>
      <c r="AD812"/>
    </row>
    <row r="813" spans="1:30" ht="41.45" customHeight="1">
      <c r="A813"/>
      <c r="AC813"/>
      <c r="AD813"/>
    </row>
    <row r="814" spans="1:30" ht="41.45" customHeight="1">
      <c r="A814"/>
      <c r="AC814"/>
      <c r="AD814"/>
    </row>
    <row r="815" spans="1:30" ht="41.45" customHeight="1">
      <c r="A815"/>
      <c r="AC815"/>
      <c r="AD815"/>
    </row>
    <row r="816" spans="1:30" ht="41.45" customHeight="1">
      <c r="A816"/>
      <c r="AC816"/>
      <c r="AD816"/>
    </row>
    <row r="817" spans="1:30" ht="41.45" customHeight="1">
      <c r="A817"/>
      <c r="AC817"/>
      <c r="AD817"/>
    </row>
    <row r="818" spans="1:30" ht="41.45" customHeight="1">
      <c r="A818"/>
      <c r="AC818"/>
      <c r="AD818"/>
    </row>
    <row r="819" spans="1:30" ht="41.45" customHeight="1">
      <c r="A819"/>
      <c r="AC819"/>
      <c r="AD819"/>
    </row>
    <row r="820" spans="1:30" ht="41.45" customHeight="1">
      <c r="A820"/>
      <c r="AC820"/>
      <c r="AD820"/>
    </row>
    <row r="821" spans="1:30" ht="41.45" customHeight="1">
      <c r="A821"/>
      <c r="AC821"/>
      <c r="AD821"/>
    </row>
    <row r="822" spans="1:30" ht="41.45" customHeight="1">
      <c r="A822"/>
      <c r="AC822"/>
      <c r="AD822"/>
    </row>
    <row r="823" spans="1:30" ht="41.45" customHeight="1">
      <c r="A823"/>
      <c r="AC823"/>
      <c r="AD823"/>
    </row>
    <row r="824" spans="1:30" ht="41.45" customHeight="1">
      <c r="A824"/>
      <c r="AC824"/>
      <c r="AD824"/>
    </row>
    <row r="825" spans="1:30" ht="41.45" customHeight="1">
      <c r="A825"/>
      <c r="AC825"/>
      <c r="AD825"/>
    </row>
    <row r="826" spans="1:30" ht="41.45" customHeight="1">
      <c r="A826"/>
      <c r="AC826"/>
      <c r="AD826"/>
    </row>
    <row r="827" spans="1:30" ht="41.45" customHeight="1">
      <c r="A827"/>
      <c r="AC827"/>
      <c r="AD827"/>
    </row>
    <row r="828" spans="1:30" ht="41.45" customHeight="1">
      <c r="A828"/>
      <c r="AC828"/>
      <c r="AD828"/>
    </row>
    <row r="829" spans="1:30" ht="41.45" customHeight="1">
      <c r="A829"/>
      <c r="AC829"/>
      <c r="AD829"/>
    </row>
    <row r="830" spans="1:30" ht="41.45" customHeight="1">
      <c r="A830"/>
      <c r="AC830"/>
      <c r="AD830"/>
    </row>
    <row r="831" spans="1:30" ht="41.45" customHeight="1">
      <c r="A831"/>
      <c r="AC831"/>
      <c r="AD831"/>
    </row>
    <row r="832" spans="1:30" ht="41.45" customHeight="1">
      <c r="A832"/>
      <c r="AC832"/>
      <c r="AD832"/>
    </row>
    <row r="833" spans="1:30" ht="41.45" customHeight="1">
      <c r="A833"/>
      <c r="AC833"/>
      <c r="AD833"/>
    </row>
    <row r="834" spans="1:30" ht="41.45" customHeight="1">
      <c r="A834"/>
      <c r="AC834"/>
      <c r="AD834"/>
    </row>
    <row r="835" spans="1:30" ht="41.45" customHeight="1">
      <c r="A835"/>
      <c r="AC835"/>
      <c r="AD835"/>
    </row>
    <row r="836" spans="1:30" ht="41.45" customHeight="1">
      <c r="A836"/>
      <c r="AC836"/>
      <c r="AD836"/>
    </row>
    <row r="837" spans="1:30" ht="41.45" customHeight="1">
      <c r="A837"/>
      <c r="AC837"/>
      <c r="AD837"/>
    </row>
    <row r="838" spans="1:30" ht="41.45" customHeight="1">
      <c r="A838"/>
      <c r="AC838"/>
      <c r="AD838"/>
    </row>
    <row r="839" spans="1:30" ht="41.45" customHeight="1">
      <c r="A839"/>
      <c r="AC839"/>
      <c r="AD839"/>
    </row>
    <row r="840" spans="1:30" ht="41.45" customHeight="1">
      <c r="A840"/>
      <c r="AC840"/>
      <c r="AD840"/>
    </row>
    <row r="841" spans="1:30" ht="41.45" customHeight="1">
      <c r="A841"/>
      <c r="AC841"/>
      <c r="AD841"/>
    </row>
    <row r="842" spans="1:30" ht="41.45" customHeight="1">
      <c r="A842"/>
      <c r="AC842"/>
      <c r="AD842"/>
    </row>
    <row r="843" spans="1:30" ht="41.45" customHeight="1">
      <c r="A843"/>
      <c r="AC843"/>
      <c r="AD843"/>
    </row>
    <row r="844" spans="1:30" ht="41.45" customHeight="1">
      <c r="A844"/>
      <c r="AC844"/>
      <c r="AD844"/>
    </row>
    <row r="845" spans="1:30" ht="41.45" customHeight="1">
      <c r="A845"/>
      <c r="AC845"/>
      <c r="AD845"/>
    </row>
    <row r="846" spans="1:30" ht="41.45" customHeight="1">
      <c r="A846"/>
      <c r="AC846"/>
      <c r="AD846"/>
    </row>
    <row r="847" spans="1:30" ht="41.45" customHeight="1">
      <c r="A847"/>
      <c r="AC847"/>
      <c r="AD847"/>
    </row>
    <row r="848" spans="1:30" ht="41.45" customHeight="1">
      <c r="A848"/>
      <c r="AC848"/>
      <c r="AD848"/>
    </row>
    <row r="849" spans="1:30" ht="41.45" customHeight="1">
      <c r="A849"/>
      <c r="AC849"/>
      <c r="AD849"/>
    </row>
    <row r="850" spans="1:30" ht="41.45" customHeight="1">
      <c r="A850"/>
      <c r="AC850"/>
      <c r="AD850"/>
    </row>
    <row r="851" spans="1:30" ht="41.45" customHeight="1">
      <c r="A851"/>
      <c r="AC851"/>
      <c r="AD851"/>
    </row>
    <row r="852" spans="1:30" ht="41.45" customHeight="1">
      <c r="A852"/>
      <c r="AC852"/>
      <c r="AD852"/>
    </row>
    <row r="853" spans="1:30" ht="41.45" customHeight="1">
      <c r="A853"/>
      <c r="AC853"/>
      <c r="AD853"/>
    </row>
    <row r="854" spans="1:30" ht="41.45" customHeight="1">
      <c r="A854"/>
      <c r="AC854"/>
      <c r="AD854"/>
    </row>
    <row r="855" spans="1:30" ht="41.45" customHeight="1">
      <c r="A855"/>
      <c r="AC855"/>
      <c r="AD855"/>
    </row>
    <row r="856" spans="1:30" ht="41.45" customHeight="1">
      <c r="A856"/>
      <c r="AC856"/>
      <c r="AD856"/>
    </row>
    <row r="857" spans="1:30" ht="41.45" customHeight="1">
      <c r="A857"/>
      <c r="AC857"/>
      <c r="AD857"/>
    </row>
    <row r="858" spans="1:30" ht="41.45" customHeight="1">
      <c r="A858"/>
      <c r="AC858"/>
      <c r="AD858"/>
    </row>
    <row r="859" spans="1:30" ht="41.45" customHeight="1">
      <c r="A859"/>
      <c r="AC859"/>
      <c r="AD859"/>
    </row>
    <row r="860" spans="1:30" ht="41.45" customHeight="1">
      <c r="A860"/>
      <c r="AC860"/>
      <c r="AD860"/>
    </row>
    <row r="861" spans="1:30" ht="41.45" customHeight="1">
      <c r="A861"/>
      <c r="AC861"/>
      <c r="AD861"/>
    </row>
    <row r="862" spans="1:30" ht="41.45" customHeight="1">
      <c r="A862"/>
      <c r="AC862"/>
      <c r="AD862"/>
    </row>
    <row r="863" spans="1:30" ht="41.45" customHeight="1">
      <c r="A863"/>
      <c r="AC863"/>
      <c r="AD863"/>
    </row>
    <row r="864" spans="1:30" ht="41.45" customHeight="1">
      <c r="A864"/>
      <c r="AC864"/>
      <c r="AD864"/>
    </row>
    <row r="865" spans="1:30" ht="41.45" customHeight="1">
      <c r="A865"/>
      <c r="AC865"/>
      <c r="AD865"/>
    </row>
    <row r="866" spans="1:30" ht="41.45" customHeight="1">
      <c r="A866"/>
      <c r="AC866"/>
      <c r="AD866"/>
    </row>
    <row r="867" spans="1:30" ht="41.45" customHeight="1">
      <c r="A867"/>
      <c r="AC867"/>
      <c r="AD867"/>
    </row>
    <row r="868" spans="1:30" ht="41.45" customHeight="1">
      <c r="A868"/>
      <c r="AC868"/>
      <c r="AD868"/>
    </row>
    <row r="869" spans="1:30" ht="41.45" customHeight="1">
      <c r="A869"/>
      <c r="AC869"/>
      <c r="AD869"/>
    </row>
    <row r="870" spans="1:30" ht="41.45" customHeight="1">
      <c r="A870"/>
      <c r="AC870"/>
      <c r="AD870"/>
    </row>
    <row r="871" spans="1:30" ht="41.45" customHeight="1">
      <c r="A871"/>
      <c r="AC871"/>
      <c r="AD871"/>
    </row>
    <row r="872" spans="1:30" ht="41.45" customHeight="1">
      <c r="A872"/>
      <c r="AC872"/>
      <c r="AD872"/>
    </row>
    <row r="873" spans="1:30" ht="41.45" customHeight="1">
      <c r="A873"/>
      <c r="AC873"/>
      <c r="AD873"/>
    </row>
    <row r="874" spans="1:30" ht="41.45" customHeight="1">
      <c r="A874"/>
      <c r="AC874"/>
      <c r="AD874"/>
    </row>
    <row r="875" spans="1:30" ht="41.45" customHeight="1">
      <c r="A875"/>
      <c r="AC875"/>
      <c r="AD875"/>
    </row>
    <row r="876" spans="1:30" ht="41.45" customHeight="1">
      <c r="A876"/>
      <c r="AC876"/>
      <c r="AD876"/>
    </row>
    <row r="877" spans="1:30" ht="41.45" customHeight="1">
      <c r="A877"/>
      <c r="AC877"/>
      <c r="AD877"/>
    </row>
    <row r="878" spans="1:30" ht="41.45" customHeight="1">
      <c r="A878"/>
      <c r="AC878"/>
      <c r="AD878"/>
    </row>
    <row r="879" spans="1:30" ht="41.45" customHeight="1">
      <c r="A879"/>
      <c r="AC879"/>
      <c r="AD879"/>
    </row>
    <row r="880" spans="1:30" ht="41.45" customHeight="1">
      <c r="A880"/>
      <c r="AC880"/>
      <c r="AD880"/>
    </row>
    <row r="881" spans="1:30" ht="41.45" customHeight="1">
      <c r="A881"/>
      <c r="AC881"/>
      <c r="AD881"/>
    </row>
    <row r="882" spans="1:30" ht="41.45" customHeight="1">
      <c r="A882"/>
      <c r="AC882"/>
      <c r="AD882"/>
    </row>
    <row r="883" spans="1:30" ht="41.45" customHeight="1">
      <c r="A883"/>
      <c r="AC883"/>
      <c r="AD883"/>
    </row>
    <row r="884" spans="1:30" ht="41.45" customHeight="1">
      <c r="A884"/>
      <c r="AC884"/>
      <c r="AD884"/>
    </row>
    <row r="885" spans="1:30" ht="41.45" customHeight="1">
      <c r="A885"/>
      <c r="AC885"/>
      <c r="AD885"/>
    </row>
    <row r="886" spans="1:30" ht="41.45" customHeight="1">
      <c r="A886"/>
      <c r="AC886"/>
      <c r="AD886"/>
    </row>
    <row r="887" spans="1:30" ht="41.45" customHeight="1">
      <c r="A887"/>
      <c r="AC887"/>
      <c r="AD887"/>
    </row>
    <row r="888" spans="1:30" ht="41.45" customHeight="1">
      <c r="A888"/>
      <c r="AC888"/>
      <c r="AD888"/>
    </row>
    <row r="889" spans="1:30" ht="41.45" customHeight="1">
      <c r="A889"/>
      <c r="AC889"/>
      <c r="AD889"/>
    </row>
    <row r="890" spans="1:30" ht="41.45" customHeight="1">
      <c r="A890"/>
      <c r="AC890"/>
      <c r="AD890"/>
    </row>
    <row r="891" spans="1:30" ht="41.45" customHeight="1">
      <c r="A891"/>
      <c r="AC891"/>
      <c r="AD891"/>
    </row>
    <row r="892" spans="1:30" ht="41.45" customHeight="1">
      <c r="A892"/>
      <c r="AC892"/>
      <c r="AD892"/>
    </row>
    <row r="893" spans="1:30" ht="41.45" customHeight="1">
      <c r="A893"/>
      <c r="AC893"/>
      <c r="AD893"/>
    </row>
    <row r="894" spans="1:30" ht="41.45" customHeight="1">
      <c r="A894"/>
      <c r="AC894"/>
      <c r="AD894"/>
    </row>
    <row r="895" spans="1:30" ht="41.45" customHeight="1">
      <c r="A895"/>
      <c r="AC895"/>
      <c r="AD895"/>
    </row>
    <row r="896" spans="1:30" ht="41.45" customHeight="1">
      <c r="A896"/>
      <c r="AC896"/>
      <c r="AD896"/>
    </row>
    <row r="897" spans="1:30" ht="41.45" customHeight="1">
      <c r="A897"/>
      <c r="AC897"/>
      <c r="AD897"/>
    </row>
    <row r="898" spans="1:30" ht="41.45" customHeight="1">
      <c r="A898"/>
      <c r="AC898"/>
      <c r="AD898"/>
    </row>
    <row r="899" spans="1:30" ht="41.45" customHeight="1">
      <c r="A899"/>
      <c r="AC899"/>
      <c r="AD899"/>
    </row>
    <row r="900" spans="1:30" ht="41.45" customHeight="1">
      <c r="A900"/>
      <c r="AC900"/>
      <c r="AD900"/>
    </row>
    <row r="901" spans="1:30" ht="41.45" customHeight="1">
      <c r="A901"/>
      <c r="AC901"/>
      <c r="AD901"/>
    </row>
    <row r="902" spans="1:30" ht="41.45" customHeight="1">
      <c r="A902"/>
      <c r="AC902"/>
      <c r="AD902"/>
    </row>
    <row r="903" spans="1:30" ht="41.45" customHeight="1">
      <c r="A903"/>
      <c r="AC903"/>
      <c r="AD903"/>
    </row>
    <row r="904" spans="1:30" ht="41.45" customHeight="1">
      <c r="A904"/>
      <c r="AC904"/>
      <c r="AD904"/>
    </row>
    <row r="905" spans="1:30" ht="41.45" customHeight="1">
      <c r="A905"/>
      <c r="AC905"/>
      <c r="AD905"/>
    </row>
    <row r="906" spans="1:30" ht="41.45" customHeight="1">
      <c r="A906"/>
      <c r="AC906"/>
      <c r="AD906"/>
    </row>
    <row r="907" spans="1:30" ht="41.45" customHeight="1">
      <c r="A907"/>
      <c r="AC907"/>
      <c r="AD907"/>
    </row>
    <row r="908" spans="1:30" ht="41.45" customHeight="1">
      <c r="A908"/>
      <c r="AC908"/>
      <c r="AD908"/>
    </row>
    <row r="909" spans="1:30" ht="41.45" customHeight="1">
      <c r="A909"/>
      <c r="AC909"/>
      <c r="AD909"/>
    </row>
    <row r="910" spans="1:30" ht="41.45" customHeight="1">
      <c r="A910"/>
      <c r="AC910"/>
      <c r="AD910"/>
    </row>
    <row r="911" spans="1:30" ht="41.45" customHeight="1">
      <c r="A911"/>
      <c r="AC911"/>
      <c r="AD911"/>
    </row>
    <row r="912" spans="1:30" ht="41.45" customHeight="1">
      <c r="A912"/>
      <c r="AC912"/>
      <c r="AD912"/>
    </row>
    <row r="913" spans="1:30" ht="41.45" customHeight="1">
      <c r="A913"/>
      <c r="AC913"/>
      <c r="AD913"/>
    </row>
    <row r="914" spans="1:30" ht="41.45" customHeight="1">
      <c r="A914"/>
      <c r="AC914"/>
      <c r="AD914"/>
    </row>
    <row r="915" spans="1:30" ht="41.45" customHeight="1">
      <c r="A915"/>
      <c r="AC915"/>
      <c r="AD915"/>
    </row>
    <row r="916" spans="1:30" ht="41.45" customHeight="1">
      <c r="A916"/>
      <c r="AC916"/>
      <c r="AD916"/>
    </row>
    <row r="917" spans="1:30" ht="41.45" customHeight="1">
      <c r="A917"/>
      <c r="AC917"/>
      <c r="AD917"/>
    </row>
    <row r="918" spans="1:30" ht="41.45" customHeight="1">
      <c r="A918"/>
      <c r="AC918"/>
      <c r="AD918"/>
    </row>
    <row r="919" spans="1:30" ht="41.45" customHeight="1">
      <c r="A919"/>
      <c r="AC919"/>
      <c r="AD919"/>
    </row>
    <row r="920" spans="1:30" ht="41.45" customHeight="1">
      <c r="A920"/>
      <c r="AC920"/>
      <c r="AD920"/>
    </row>
    <row r="921" spans="1:30" ht="41.45" customHeight="1">
      <c r="A921"/>
      <c r="AC921"/>
      <c r="AD921"/>
    </row>
    <row r="922" spans="1:30" ht="41.45" customHeight="1">
      <c r="A922"/>
      <c r="AC922"/>
      <c r="AD922"/>
    </row>
    <row r="923" spans="1:30" ht="41.45" customHeight="1">
      <c r="A923"/>
      <c r="AC923"/>
      <c r="AD923"/>
    </row>
    <row r="924" spans="1:30" ht="41.45" customHeight="1">
      <c r="A924"/>
      <c r="AC924"/>
      <c r="AD924"/>
    </row>
    <row r="925" spans="1:30" ht="41.45" customHeight="1">
      <c r="A925"/>
      <c r="AC925"/>
      <c r="AD925"/>
    </row>
    <row r="926" spans="1:30" ht="41.45" customHeight="1">
      <c r="A926"/>
      <c r="AC926"/>
      <c r="AD926"/>
    </row>
    <row r="927" spans="1:30" ht="41.45" customHeight="1">
      <c r="A927"/>
      <c r="AC927"/>
      <c r="AD927"/>
    </row>
    <row r="928" spans="1:30" ht="41.45" customHeight="1">
      <c r="A928"/>
      <c r="AC928"/>
      <c r="AD928"/>
    </row>
    <row r="929" spans="1:30" ht="41.45" customHeight="1">
      <c r="A929"/>
      <c r="AC929"/>
      <c r="AD929"/>
    </row>
    <row r="930" spans="1:30" ht="41.45" customHeight="1">
      <c r="A930"/>
      <c r="AC930"/>
      <c r="AD930"/>
    </row>
    <row r="931" spans="1:30" ht="41.45" customHeight="1">
      <c r="A931"/>
      <c r="AC931"/>
      <c r="AD931"/>
    </row>
    <row r="932" spans="1:30" ht="41.45" customHeight="1">
      <c r="A932"/>
      <c r="AC932"/>
      <c r="AD932"/>
    </row>
    <row r="933" spans="1:30" ht="41.45" customHeight="1">
      <c r="A933"/>
      <c r="AC933"/>
      <c r="AD933"/>
    </row>
    <row r="934" spans="1:30" ht="41.45" customHeight="1">
      <c r="A934"/>
      <c r="AC934"/>
      <c r="AD934"/>
    </row>
    <row r="935" spans="1:30" ht="41.45" customHeight="1">
      <c r="A935"/>
      <c r="AC935"/>
      <c r="AD935"/>
    </row>
    <row r="936" spans="1:30" ht="41.45" customHeight="1">
      <c r="A936"/>
      <c r="AC936"/>
      <c r="AD936"/>
    </row>
    <row r="937" spans="1:30" ht="41.45" customHeight="1">
      <c r="A937"/>
      <c r="AC937"/>
      <c r="AD937"/>
    </row>
    <row r="938" spans="1:30" ht="41.45" customHeight="1">
      <c r="A938"/>
      <c r="AC938"/>
      <c r="AD938"/>
    </row>
    <row r="939" spans="1:30" ht="41.45" customHeight="1">
      <c r="A939"/>
      <c r="AC939"/>
      <c r="AD939"/>
    </row>
    <row r="940" spans="1:30" ht="41.45" customHeight="1">
      <c r="A940"/>
      <c r="AC940"/>
      <c r="AD940"/>
    </row>
    <row r="941" spans="1:30" ht="41.45" customHeight="1">
      <c r="A941"/>
      <c r="AC941"/>
      <c r="AD941"/>
    </row>
    <row r="942" spans="1:30" ht="41.45" customHeight="1">
      <c r="A942"/>
      <c r="AC942"/>
      <c r="AD942"/>
    </row>
    <row r="943" spans="1:30" ht="41.45" customHeight="1">
      <c r="A943"/>
      <c r="AC943"/>
      <c r="AD943"/>
    </row>
    <row r="944" spans="1:30" ht="41.45" customHeight="1">
      <c r="A944"/>
      <c r="AC944"/>
      <c r="AD944"/>
    </row>
    <row r="945" spans="1:30" ht="41.45" customHeight="1">
      <c r="A945"/>
      <c r="AC945"/>
      <c r="AD945"/>
    </row>
    <row r="946" spans="1:30" ht="41.45" customHeight="1">
      <c r="A946"/>
      <c r="AC946"/>
      <c r="AD946"/>
    </row>
    <row r="947" spans="1:30" ht="41.45" customHeight="1">
      <c r="A947"/>
      <c r="AC947"/>
      <c r="AD947"/>
    </row>
    <row r="948" spans="1:30" ht="41.45" customHeight="1">
      <c r="A948"/>
      <c r="AC948"/>
      <c r="AD948"/>
    </row>
    <row r="949" spans="1:30" ht="41.45" customHeight="1">
      <c r="A949"/>
      <c r="AC949"/>
      <c r="AD949"/>
    </row>
    <row r="950" spans="1:30" ht="41.45" customHeight="1">
      <c r="A950"/>
      <c r="AC950"/>
      <c r="AD950"/>
    </row>
    <row r="951" spans="1:30" ht="41.45" customHeight="1">
      <c r="A951"/>
      <c r="AC951"/>
      <c r="AD951"/>
    </row>
    <row r="952" spans="1:30" ht="41.45" customHeight="1">
      <c r="A952"/>
      <c r="AC952"/>
      <c r="AD952"/>
    </row>
    <row r="953" spans="1:30" ht="41.45" customHeight="1">
      <c r="A953"/>
      <c r="AC953"/>
      <c r="AD953"/>
    </row>
    <row r="954" spans="1:30" ht="41.45" customHeight="1">
      <c r="A954"/>
      <c r="AC954"/>
      <c r="AD954"/>
    </row>
    <row r="955" spans="1:30" ht="41.45" customHeight="1">
      <c r="A955"/>
      <c r="AC955"/>
      <c r="AD955"/>
    </row>
    <row r="956" spans="1:30" ht="41.45" customHeight="1">
      <c r="A956"/>
      <c r="AC956"/>
      <c r="AD956"/>
    </row>
    <row r="957" spans="1:30" ht="41.45" customHeight="1">
      <c r="A957"/>
      <c r="AC957"/>
      <c r="AD957"/>
    </row>
    <row r="958" spans="1:30" ht="41.45" customHeight="1">
      <c r="A958"/>
      <c r="AC958"/>
      <c r="AD958"/>
    </row>
    <row r="959" spans="1:30" ht="41.45" customHeight="1">
      <c r="A959"/>
      <c r="AC959"/>
      <c r="AD959"/>
    </row>
    <row r="960" spans="1:30" ht="41.45" customHeight="1">
      <c r="A960"/>
      <c r="AC960"/>
      <c r="AD960"/>
    </row>
    <row r="961" spans="1:30" ht="41.45" customHeight="1">
      <c r="A961"/>
      <c r="AC961"/>
      <c r="AD961"/>
    </row>
    <row r="962" spans="1:30" ht="41.45" customHeight="1">
      <c r="A962"/>
      <c r="AC962"/>
      <c r="AD962"/>
    </row>
    <row r="963" spans="1:30" ht="41.45" customHeight="1">
      <c r="A963"/>
      <c r="AC963"/>
      <c r="AD963"/>
    </row>
    <row r="964" spans="1:30" ht="41.45" customHeight="1">
      <c r="A964"/>
      <c r="AC964"/>
      <c r="AD964"/>
    </row>
    <row r="965" spans="1:30" ht="41.45" customHeight="1">
      <c r="A965"/>
      <c r="AC965"/>
      <c r="AD965"/>
    </row>
    <row r="966" spans="1:30" ht="41.45" customHeight="1">
      <c r="A966"/>
      <c r="AC966"/>
      <c r="AD966"/>
    </row>
    <row r="967" spans="1:30" ht="41.45" customHeight="1">
      <c r="A967"/>
      <c r="AC967"/>
      <c r="AD967"/>
    </row>
    <row r="968" spans="1:30" ht="41.45" customHeight="1">
      <c r="A968"/>
      <c r="AC968"/>
      <c r="AD968"/>
    </row>
    <row r="969" spans="1:30" ht="41.45" customHeight="1">
      <c r="A969"/>
      <c r="AC969"/>
      <c r="AD969"/>
    </row>
    <row r="970" spans="1:30" ht="41.45" customHeight="1">
      <c r="A970"/>
      <c r="AC970"/>
      <c r="AD970"/>
    </row>
    <row r="971" spans="1:30" ht="41.45" customHeight="1">
      <c r="A971"/>
      <c r="AC971"/>
      <c r="AD971"/>
    </row>
    <row r="972" spans="1:30" ht="41.45" customHeight="1">
      <c r="A972"/>
      <c r="AC972"/>
      <c r="AD972"/>
    </row>
    <row r="973" spans="1:30" ht="41.45" customHeight="1">
      <c r="A973"/>
      <c r="AC973"/>
      <c r="AD973"/>
    </row>
    <row r="974" spans="1:30" ht="41.45" customHeight="1">
      <c r="A974"/>
      <c r="AC974"/>
      <c r="AD974"/>
    </row>
    <row r="975" spans="1:30" ht="41.45" customHeight="1">
      <c r="A975"/>
      <c r="AC975"/>
      <c r="AD975"/>
    </row>
    <row r="976" spans="1:30" ht="41.45" customHeight="1">
      <c r="A976"/>
      <c r="AC976"/>
      <c r="AD976"/>
    </row>
    <row r="977" spans="1:30" ht="41.45" customHeight="1">
      <c r="A977"/>
      <c r="AC977"/>
      <c r="AD977"/>
    </row>
    <row r="978" spans="1:30" ht="41.45" customHeight="1">
      <c r="A978"/>
      <c r="AC978"/>
      <c r="AD978"/>
    </row>
    <row r="979" spans="1:30" ht="41.45" customHeight="1">
      <c r="A979"/>
      <c r="AC979"/>
      <c r="AD979"/>
    </row>
    <row r="980" spans="1:30" ht="41.45" customHeight="1">
      <c r="A980"/>
      <c r="AC980"/>
      <c r="AD980"/>
    </row>
    <row r="981" spans="1:30" ht="41.45" customHeight="1">
      <c r="A981"/>
      <c r="AC981"/>
      <c r="AD981"/>
    </row>
    <row r="982" spans="1:30" ht="41.45" customHeight="1">
      <c r="A982"/>
      <c r="AC982"/>
      <c r="AD982"/>
    </row>
    <row r="983" spans="1:30" ht="41.45" customHeight="1">
      <c r="A983"/>
      <c r="AC983"/>
      <c r="AD983"/>
    </row>
    <row r="984" spans="1:30" ht="41.45" customHeight="1">
      <c r="A984"/>
      <c r="AC984"/>
      <c r="AD984"/>
    </row>
    <row r="985" spans="1:30" ht="41.45" customHeight="1">
      <c r="A985"/>
      <c r="AC985"/>
      <c r="AD985"/>
    </row>
    <row r="986" spans="1:30" ht="41.45" customHeight="1">
      <c r="A986"/>
      <c r="AC986"/>
      <c r="AD986"/>
    </row>
    <row r="987" spans="1:30" ht="41.45" customHeight="1">
      <c r="A987"/>
      <c r="AC987"/>
      <c r="AD987"/>
    </row>
    <row r="988" spans="1:30" ht="41.45" customHeight="1">
      <c r="A988"/>
      <c r="AC988"/>
      <c r="AD988"/>
    </row>
    <row r="989" spans="1:30" ht="41.45" customHeight="1">
      <c r="A989"/>
      <c r="AC989"/>
      <c r="AD989"/>
    </row>
    <row r="990" spans="1:30" ht="41.45" customHeight="1">
      <c r="A990"/>
      <c r="AC990"/>
      <c r="AD990"/>
    </row>
    <row r="991" spans="1:30" ht="41.45" customHeight="1">
      <c r="A991"/>
      <c r="AC991"/>
      <c r="AD991"/>
    </row>
    <row r="992" spans="1:30" ht="41.45" customHeight="1">
      <c r="A992"/>
      <c r="AC992"/>
      <c r="AD992"/>
    </row>
    <row r="993" spans="1:30" ht="41.45" customHeight="1">
      <c r="A993"/>
      <c r="AC993"/>
      <c r="AD993"/>
    </row>
    <row r="994" spans="1:30" ht="41.45" customHeight="1">
      <c r="A994"/>
      <c r="AC994"/>
      <c r="AD994"/>
    </row>
    <row r="995" spans="1:30" ht="41.45" customHeight="1">
      <c r="A995"/>
      <c r="AC995"/>
      <c r="AD995"/>
    </row>
    <row r="996" spans="1:30" ht="41.45" customHeight="1">
      <c r="A996"/>
      <c r="AC996"/>
      <c r="AD996"/>
    </row>
    <row r="997" spans="1:30" ht="41.45" customHeight="1">
      <c r="A997"/>
      <c r="AC997"/>
      <c r="AD997"/>
    </row>
    <row r="998" spans="1:30" ht="41.45" customHeight="1">
      <c r="A998"/>
      <c r="AC998"/>
      <c r="AD998"/>
    </row>
    <row r="999" spans="1:30" ht="41.45" customHeight="1">
      <c r="A999"/>
      <c r="AC999"/>
      <c r="AD999"/>
    </row>
    <row r="1000" spans="1:30" ht="41.45" customHeight="1">
      <c r="A1000"/>
      <c r="AC1000"/>
      <c r="AD1000"/>
    </row>
    <row r="1001" spans="1:30" ht="41.45" customHeight="1">
      <c r="A1001"/>
      <c r="AC1001"/>
      <c r="AD1001"/>
    </row>
    <row r="1002" spans="1:30" ht="41.45" customHeight="1">
      <c r="A1002"/>
      <c r="AC1002"/>
      <c r="AD1002"/>
    </row>
    <row r="1003" spans="1:30" ht="41.45" customHeight="1">
      <c r="A1003"/>
      <c r="AC1003"/>
      <c r="AD1003"/>
    </row>
    <row r="1004" spans="1:30" ht="41.45" customHeight="1">
      <c r="A1004"/>
      <c r="AC1004"/>
      <c r="AD1004"/>
    </row>
    <row r="1005" spans="1:30" ht="41.45" customHeight="1">
      <c r="A1005"/>
      <c r="AC1005"/>
      <c r="AD1005"/>
    </row>
    <row r="1006" spans="1:30" ht="41.45" customHeight="1">
      <c r="A1006"/>
      <c r="AC1006"/>
      <c r="AD1006"/>
    </row>
    <row r="1007" spans="1:30" ht="41.45" customHeight="1">
      <c r="A1007"/>
      <c r="AC1007"/>
      <c r="AD1007"/>
    </row>
    <row r="1008" spans="1:30" ht="41.45" customHeight="1">
      <c r="A1008"/>
      <c r="AC1008"/>
      <c r="AD1008"/>
    </row>
    <row r="1009" spans="1:30" ht="41.45" customHeight="1">
      <c r="A1009"/>
      <c r="AC1009"/>
      <c r="AD1009"/>
    </row>
    <row r="1010" spans="1:30" ht="41.45" customHeight="1">
      <c r="A1010"/>
      <c r="AC1010"/>
      <c r="AD1010"/>
    </row>
    <row r="1011" spans="1:30" ht="41.45" customHeight="1">
      <c r="A1011"/>
      <c r="AC1011"/>
      <c r="AD1011"/>
    </row>
    <row r="1012" spans="1:30" ht="41.45" customHeight="1">
      <c r="A1012"/>
      <c r="AC1012"/>
      <c r="AD1012"/>
    </row>
    <row r="1013" spans="1:30" ht="41.45" customHeight="1">
      <c r="A1013"/>
      <c r="AC1013"/>
      <c r="AD1013"/>
    </row>
    <row r="1014" spans="1:30" ht="41.45" customHeight="1">
      <c r="A1014"/>
      <c r="AC1014"/>
      <c r="AD1014"/>
    </row>
    <row r="1015" spans="1:30" ht="41.45" customHeight="1">
      <c r="A1015"/>
      <c r="AC1015"/>
      <c r="AD1015"/>
    </row>
    <row r="1016" spans="1:30" ht="41.45" customHeight="1">
      <c r="A1016"/>
      <c r="AC1016"/>
      <c r="AD1016"/>
    </row>
    <row r="1017" spans="1:30" ht="41.45" customHeight="1">
      <c r="A1017"/>
      <c r="AC1017"/>
      <c r="AD1017"/>
    </row>
    <row r="1018" spans="1:30" ht="41.45" customHeight="1">
      <c r="A1018"/>
      <c r="AC1018"/>
      <c r="AD1018"/>
    </row>
    <row r="1019" spans="1:30" ht="41.45" customHeight="1">
      <c r="A1019"/>
      <c r="AC1019"/>
      <c r="AD1019"/>
    </row>
    <row r="1020" spans="1:30" ht="41.45" customHeight="1">
      <c r="A1020"/>
      <c r="AC1020"/>
      <c r="AD1020"/>
    </row>
    <row r="1021" spans="1:30" ht="41.45" customHeight="1">
      <c r="A1021"/>
      <c r="AC1021"/>
      <c r="AD1021"/>
    </row>
    <row r="1022" spans="1:30" ht="41.45" customHeight="1">
      <c r="A1022"/>
      <c r="AC1022"/>
      <c r="AD1022"/>
    </row>
    <row r="1023" spans="1:30" ht="41.45" customHeight="1">
      <c r="A1023"/>
      <c r="AC1023"/>
      <c r="AD1023"/>
    </row>
    <row r="1024" spans="1:30" ht="41.45" customHeight="1">
      <c r="A1024"/>
      <c r="AC1024"/>
      <c r="AD1024"/>
    </row>
    <row r="1025" spans="1:30" ht="41.45" customHeight="1">
      <c r="A1025"/>
      <c r="AC1025"/>
      <c r="AD1025"/>
    </row>
    <row r="1026" spans="1:30" ht="41.45" customHeight="1">
      <c r="A1026"/>
      <c r="AC1026"/>
      <c r="AD1026"/>
    </row>
    <row r="1027" spans="1:30" ht="41.45" customHeight="1">
      <c r="A1027"/>
      <c r="AC1027"/>
      <c r="AD1027"/>
    </row>
    <row r="1028" spans="1:30" ht="41.45" customHeight="1">
      <c r="A1028"/>
      <c r="AC1028"/>
      <c r="AD1028"/>
    </row>
    <row r="1029" spans="1:30" ht="41.45" customHeight="1">
      <c r="A1029"/>
      <c r="AC1029"/>
      <c r="AD1029"/>
    </row>
    <row r="1030" spans="1:30" ht="41.45" customHeight="1">
      <c r="A1030"/>
      <c r="AC1030"/>
      <c r="AD1030"/>
    </row>
    <row r="1031" spans="1:30" ht="41.45" customHeight="1">
      <c r="A1031"/>
      <c r="AC1031"/>
      <c r="AD1031"/>
    </row>
    <row r="1032" spans="1:30" ht="41.45" customHeight="1">
      <c r="A1032"/>
      <c r="AC1032"/>
      <c r="AD1032"/>
    </row>
    <row r="1033" spans="1:30" ht="41.45" customHeight="1">
      <c r="A1033"/>
      <c r="AC1033"/>
      <c r="AD1033"/>
    </row>
    <row r="1034" spans="1:30" ht="41.45" customHeight="1">
      <c r="A1034"/>
      <c r="AC1034"/>
      <c r="AD1034"/>
    </row>
    <row r="1035" spans="1:30" ht="41.45" customHeight="1">
      <c r="A1035"/>
      <c r="AC1035"/>
      <c r="AD1035"/>
    </row>
    <row r="1036" spans="1:30" ht="41.45" customHeight="1">
      <c r="A1036"/>
      <c r="AC1036"/>
      <c r="AD1036"/>
    </row>
    <row r="1037" spans="1:30" ht="41.45" customHeight="1">
      <c r="A1037"/>
      <c r="AC1037"/>
      <c r="AD1037"/>
    </row>
    <row r="1038" spans="1:30" ht="41.45" customHeight="1">
      <c r="A1038"/>
      <c r="AC1038"/>
      <c r="AD1038"/>
    </row>
    <row r="1039" spans="1:30" ht="41.45" customHeight="1">
      <c r="A1039"/>
      <c r="AC1039"/>
      <c r="AD1039"/>
    </row>
    <row r="1040" spans="1:30" ht="41.45" customHeight="1">
      <c r="A1040"/>
      <c r="AC1040"/>
      <c r="AD1040"/>
    </row>
    <row r="1041" spans="1:30" ht="41.45" customHeight="1">
      <c r="A1041"/>
      <c r="AC1041"/>
      <c r="AD1041"/>
    </row>
    <row r="1042" spans="1:30" ht="41.45" customHeight="1">
      <c r="A1042"/>
      <c r="AC1042"/>
      <c r="AD1042"/>
    </row>
    <row r="1043" spans="1:30" ht="41.45" customHeight="1">
      <c r="A1043"/>
      <c r="AC1043"/>
      <c r="AD1043"/>
    </row>
    <row r="1044" spans="1:30" ht="41.45" customHeight="1">
      <c r="A1044"/>
      <c r="AC1044"/>
      <c r="AD1044"/>
    </row>
    <row r="1045" spans="1:30" ht="41.45" customHeight="1">
      <c r="A1045"/>
      <c r="AC1045"/>
      <c r="AD1045"/>
    </row>
    <row r="1046" spans="1:30" ht="41.45" customHeight="1">
      <c r="A1046"/>
      <c r="AC1046"/>
      <c r="AD1046"/>
    </row>
    <row r="1047" spans="1:30" ht="41.45" customHeight="1">
      <c r="A1047"/>
      <c r="AC1047"/>
      <c r="AD1047"/>
    </row>
    <row r="1048" spans="1:30" ht="41.45" customHeight="1">
      <c r="A1048"/>
      <c r="AC1048"/>
      <c r="AD1048"/>
    </row>
    <row r="1049" spans="1:30" ht="41.45" customHeight="1">
      <c r="A1049"/>
      <c r="AC1049"/>
      <c r="AD1049"/>
    </row>
    <row r="1050" spans="1:30" ht="41.45" customHeight="1">
      <c r="A1050"/>
      <c r="AC1050"/>
      <c r="AD1050"/>
    </row>
    <row r="1051" spans="1:30" ht="41.45" customHeight="1">
      <c r="A1051"/>
      <c r="AC1051"/>
      <c r="AD1051"/>
    </row>
    <row r="1052" spans="1:30" ht="41.45" customHeight="1">
      <c r="A1052"/>
      <c r="AC1052"/>
      <c r="AD1052"/>
    </row>
    <row r="1053" spans="1:30" ht="41.45" customHeight="1">
      <c r="A1053"/>
      <c r="AC1053"/>
      <c r="AD1053"/>
    </row>
    <row r="1054" spans="1:30" ht="41.45" customHeight="1">
      <c r="A1054"/>
      <c r="AC1054"/>
      <c r="AD1054"/>
    </row>
    <row r="1055" spans="1:30" ht="41.45" customHeight="1">
      <c r="A1055"/>
      <c r="AC1055"/>
      <c r="AD1055"/>
    </row>
    <row r="1056" spans="1:30" ht="41.45" customHeight="1">
      <c r="A1056"/>
      <c r="AC1056"/>
      <c r="AD1056"/>
    </row>
    <row r="1057" spans="1:30" ht="41.45" customHeight="1">
      <c r="A1057"/>
      <c r="AC1057"/>
      <c r="AD1057"/>
    </row>
    <row r="1058" spans="1:30" ht="41.45" customHeight="1">
      <c r="A1058"/>
      <c r="AC1058"/>
      <c r="AD1058"/>
    </row>
    <row r="1059" spans="1:30" ht="41.45" customHeight="1">
      <c r="A1059"/>
      <c r="AC1059"/>
      <c r="AD1059"/>
    </row>
    <row r="1060" spans="1:30" ht="41.45" customHeight="1">
      <c r="A1060"/>
      <c r="AC1060"/>
      <c r="AD1060"/>
    </row>
    <row r="1061" spans="1:30" ht="41.45" customHeight="1">
      <c r="A1061"/>
      <c r="AC1061"/>
      <c r="AD1061"/>
    </row>
    <row r="1062" spans="1:30" ht="41.45" customHeight="1">
      <c r="A1062"/>
      <c r="AC1062"/>
      <c r="AD1062"/>
    </row>
    <row r="1063" spans="1:30" ht="41.45" customHeight="1">
      <c r="A1063"/>
      <c r="AC1063"/>
      <c r="AD1063"/>
    </row>
    <row r="1064" spans="1:30" ht="41.45" customHeight="1">
      <c r="A1064"/>
      <c r="AC1064"/>
      <c r="AD1064"/>
    </row>
    <row r="1065" spans="1:30" ht="41.45" customHeight="1">
      <c r="A1065"/>
      <c r="AC1065"/>
      <c r="AD1065"/>
    </row>
    <row r="1066" spans="1:30" ht="41.45" customHeight="1">
      <c r="A1066"/>
      <c r="AC1066"/>
      <c r="AD1066"/>
    </row>
    <row r="1067" spans="1:30" ht="41.45" customHeight="1">
      <c r="A1067"/>
      <c r="AC1067"/>
      <c r="AD1067"/>
    </row>
    <row r="1068" spans="1:30" ht="41.45" customHeight="1">
      <c r="A1068"/>
      <c r="AC1068"/>
      <c r="AD1068"/>
    </row>
    <row r="1069" spans="1:30" ht="41.45" customHeight="1">
      <c r="A1069"/>
      <c r="AC1069"/>
      <c r="AD1069"/>
    </row>
    <row r="1070" spans="1:30" ht="41.45" customHeight="1">
      <c r="A1070"/>
      <c r="AC1070"/>
      <c r="AD1070"/>
    </row>
    <row r="1071" spans="1:30" ht="41.45" customHeight="1">
      <c r="A1071"/>
      <c r="AC1071"/>
      <c r="AD1071"/>
    </row>
    <row r="1072" spans="1:30" ht="41.45" customHeight="1">
      <c r="A1072"/>
      <c r="AC1072"/>
      <c r="AD1072"/>
    </row>
    <row r="1073" spans="1:30" ht="41.45" customHeight="1">
      <c r="A1073"/>
      <c r="AC1073"/>
      <c r="AD1073"/>
    </row>
    <row r="1074" spans="1:30" ht="41.45" customHeight="1">
      <c r="A1074"/>
      <c r="AC1074"/>
      <c r="AD1074"/>
    </row>
    <row r="1075" spans="1:30" ht="41.45" customHeight="1">
      <c r="A1075"/>
      <c r="AC1075"/>
      <c r="AD1075"/>
    </row>
    <row r="1076" spans="1:30" ht="41.45" customHeight="1">
      <c r="A1076"/>
      <c r="AC1076"/>
      <c r="AD1076"/>
    </row>
    <row r="1077" spans="1:30" ht="41.45" customHeight="1">
      <c r="A1077"/>
      <c r="AC1077"/>
      <c r="AD1077"/>
    </row>
    <row r="1078" spans="1:30" ht="41.45" customHeight="1">
      <c r="A1078"/>
      <c r="AC1078"/>
      <c r="AD1078"/>
    </row>
    <row r="1079" spans="1:30" ht="41.45" customHeight="1">
      <c r="A1079"/>
      <c r="AC1079"/>
      <c r="AD1079"/>
    </row>
    <row r="1080" spans="1:30" ht="41.45" customHeight="1">
      <c r="A1080"/>
      <c r="AC1080"/>
      <c r="AD1080"/>
    </row>
    <row r="1081" spans="1:30" ht="41.45" customHeight="1">
      <c r="A1081"/>
      <c r="AC1081"/>
      <c r="AD1081"/>
    </row>
    <row r="1082" spans="1:30" ht="41.45" customHeight="1">
      <c r="A1082"/>
      <c r="AC1082"/>
      <c r="AD1082"/>
    </row>
    <row r="1083" spans="1:30" ht="41.45" customHeight="1">
      <c r="A1083"/>
      <c r="AC1083"/>
      <c r="AD1083"/>
    </row>
    <row r="1084" spans="1:30" ht="41.45" customHeight="1">
      <c r="A1084"/>
      <c r="AC1084"/>
      <c r="AD1084"/>
    </row>
    <row r="1085" spans="1:30" ht="41.45" customHeight="1">
      <c r="A1085"/>
      <c r="AC1085"/>
      <c r="AD1085"/>
    </row>
    <row r="1086" spans="1:30" ht="41.45" customHeight="1">
      <c r="A1086"/>
      <c r="AC1086"/>
      <c r="AD1086"/>
    </row>
    <row r="1087" spans="1:30" ht="41.45" customHeight="1">
      <c r="A1087"/>
      <c r="AC1087"/>
      <c r="AD1087"/>
    </row>
    <row r="1088" spans="1:30" ht="41.45" customHeight="1">
      <c r="A1088"/>
      <c r="AC1088"/>
      <c r="AD1088"/>
    </row>
    <row r="1089" spans="1:30" ht="41.45" customHeight="1">
      <c r="A1089"/>
      <c r="AC1089"/>
      <c r="AD1089"/>
    </row>
    <row r="1090" spans="1:30" ht="41.45" customHeight="1">
      <c r="A1090"/>
      <c r="AC1090"/>
      <c r="AD1090"/>
    </row>
    <row r="1091" spans="1:30" ht="41.45" customHeight="1">
      <c r="A1091"/>
      <c r="AC1091"/>
      <c r="AD1091"/>
    </row>
    <row r="1092" spans="1:30" ht="41.45" customHeight="1">
      <c r="A1092"/>
      <c r="AC1092"/>
      <c r="AD1092"/>
    </row>
    <row r="1093" spans="1:30" ht="41.45" customHeight="1">
      <c r="A1093"/>
      <c r="AC1093"/>
      <c r="AD1093"/>
    </row>
    <row r="1094" spans="1:30" ht="41.45" customHeight="1">
      <c r="A1094"/>
      <c r="AC1094"/>
      <c r="AD1094"/>
    </row>
    <row r="1095" spans="1:30" ht="41.45" customHeight="1">
      <c r="A1095"/>
      <c r="AC1095"/>
      <c r="AD1095"/>
    </row>
    <row r="1096" spans="1:30" ht="41.45" customHeight="1">
      <c r="A1096"/>
      <c r="AC1096"/>
      <c r="AD1096"/>
    </row>
    <row r="1097" spans="1:30" ht="41.45" customHeight="1">
      <c r="A1097"/>
      <c r="AC1097"/>
      <c r="AD1097"/>
    </row>
    <row r="1098" spans="1:30" ht="41.45" customHeight="1">
      <c r="A1098"/>
      <c r="AC1098"/>
      <c r="AD1098"/>
    </row>
    <row r="1099" spans="1:30" ht="41.45" customHeight="1">
      <c r="A1099"/>
      <c r="AC1099"/>
      <c r="AD1099"/>
    </row>
    <row r="1100" spans="1:30" ht="41.45" customHeight="1">
      <c r="A1100"/>
      <c r="AC1100"/>
      <c r="AD1100"/>
    </row>
    <row r="1101" spans="1:30" ht="41.45" customHeight="1">
      <c r="A1101"/>
      <c r="AC1101"/>
      <c r="AD1101"/>
    </row>
    <row r="1102" spans="1:30" ht="41.45" customHeight="1">
      <c r="A1102"/>
      <c r="AC1102"/>
      <c r="AD1102"/>
    </row>
    <row r="1103" spans="1:30" ht="41.45" customHeight="1">
      <c r="A1103"/>
      <c r="AC1103"/>
      <c r="AD1103"/>
    </row>
    <row r="1104" spans="1:30" ht="41.45" customHeight="1">
      <c r="A1104"/>
      <c r="AC1104"/>
      <c r="AD1104"/>
    </row>
    <row r="1105" spans="1:30" ht="41.45" customHeight="1">
      <c r="A1105"/>
      <c r="AC1105"/>
      <c r="AD1105"/>
    </row>
    <row r="1106" spans="1:30" ht="41.45" customHeight="1">
      <c r="A1106"/>
      <c r="AC1106"/>
      <c r="AD1106"/>
    </row>
    <row r="1107" spans="1:30" ht="41.45" customHeight="1">
      <c r="A1107"/>
      <c r="AC1107"/>
      <c r="AD1107"/>
    </row>
    <row r="1108" spans="1:30" ht="41.45" customHeight="1">
      <c r="A1108"/>
      <c r="AC1108"/>
      <c r="AD1108"/>
    </row>
    <row r="1109" spans="1:30" ht="41.45" customHeight="1">
      <c r="A1109"/>
      <c r="AC1109"/>
      <c r="AD1109"/>
    </row>
    <row r="1110" spans="1:30" ht="41.45" customHeight="1">
      <c r="A1110"/>
      <c r="AC1110"/>
      <c r="AD1110"/>
    </row>
    <row r="1111" spans="1:30" ht="41.45" customHeight="1">
      <c r="A1111"/>
      <c r="AC1111"/>
      <c r="AD1111"/>
    </row>
    <row r="1112" spans="1:30" ht="41.45" customHeight="1">
      <c r="A1112"/>
      <c r="AC1112"/>
      <c r="AD1112"/>
    </row>
    <row r="1113" spans="1:30" ht="41.45" customHeight="1">
      <c r="A1113"/>
      <c r="AC1113"/>
      <c r="AD1113"/>
    </row>
    <row r="1114" spans="1:30" ht="41.45" customHeight="1">
      <c r="A1114"/>
      <c r="AC1114"/>
      <c r="AD1114"/>
    </row>
    <row r="1115" spans="1:30" ht="41.45" customHeight="1">
      <c r="A1115"/>
      <c r="AC1115"/>
      <c r="AD1115"/>
    </row>
    <row r="1116" spans="1:30" ht="41.45" customHeight="1">
      <c r="A1116"/>
      <c r="AC1116"/>
      <c r="AD1116"/>
    </row>
    <row r="1117" spans="1:30" ht="41.45" customHeight="1">
      <c r="A1117"/>
      <c r="AC1117"/>
      <c r="AD1117"/>
    </row>
    <row r="1118" spans="1:30" ht="41.45" customHeight="1">
      <c r="A1118"/>
      <c r="AC1118"/>
      <c r="AD1118"/>
    </row>
    <row r="1119" spans="1:30" ht="41.45" customHeight="1">
      <c r="A1119"/>
      <c r="AC1119"/>
      <c r="AD1119"/>
    </row>
    <row r="1120" spans="1:30" ht="41.45" customHeight="1">
      <c r="A1120"/>
      <c r="AC1120"/>
      <c r="AD1120"/>
    </row>
    <row r="1121" spans="1:30" ht="41.45" customHeight="1">
      <c r="A1121"/>
      <c r="AC1121"/>
      <c r="AD1121"/>
    </row>
    <row r="1122" spans="1:30" ht="41.45" customHeight="1">
      <c r="A1122"/>
      <c r="AC1122"/>
      <c r="AD1122"/>
    </row>
    <row r="1123" spans="1:30" ht="41.45" customHeight="1">
      <c r="A1123"/>
      <c r="AC1123"/>
      <c r="AD1123"/>
    </row>
    <row r="1124" spans="1:30" ht="41.45" customHeight="1">
      <c r="A1124"/>
      <c r="AC1124"/>
      <c r="AD1124"/>
    </row>
    <row r="1125" spans="1:30" ht="41.45" customHeight="1">
      <c r="A1125"/>
      <c r="AC1125"/>
      <c r="AD1125"/>
    </row>
    <row r="1126" spans="1:30" ht="41.45" customHeight="1">
      <c r="A1126"/>
      <c r="AC1126"/>
      <c r="AD1126"/>
    </row>
    <row r="1127" spans="1:30" ht="41.45" customHeight="1">
      <c r="A1127"/>
      <c r="AC1127"/>
      <c r="AD1127"/>
    </row>
    <row r="1128" spans="1:30" ht="41.45" customHeight="1">
      <c r="A1128"/>
      <c r="AC1128"/>
      <c r="AD1128"/>
    </row>
    <row r="1129" spans="1:30" ht="41.45" customHeight="1">
      <c r="A1129"/>
      <c r="AC1129"/>
      <c r="AD1129"/>
    </row>
    <row r="1130" spans="1:30" ht="41.45" customHeight="1">
      <c r="A1130"/>
      <c r="AC1130"/>
      <c r="AD1130"/>
    </row>
    <row r="1131" spans="1:30" ht="41.45" customHeight="1">
      <c r="A1131"/>
      <c r="AC1131"/>
      <c r="AD1131"/>
    </row>
    <row r="1132" spans="1:30" ht="41.45" customHeight="1">
      <c r="A1132"/>
      <c r="AC1132"/>
      <c r="AD1132"/>
    </row>
    <row r="1133" spans="1:30" ht="41.45" customHeight="1">
      <c r="A1133"/>
      <c r="AC1133"/>
      <c r="AD1133"/>
    </row>
    <row r="1134" spans="1:30" ht="41.45" customHeight="1">
      <c r="A1134"/>
      <c r="AC1134"/>
      <c r="AD1134"/>
    </row>
    <row r="1135" spans="1:30" ht="41.45" customHeight="1">
      <c r="A1135"/>
      <c r="AC1135"/>
      <c r="AD1135"/>
    </row>
    <row r="1136" spans="1:30" ht="41.45" customHeight="1">
      <c r="A1136"/>
      <c r="AC1136"/>
      <c r="AD1136"/>
    </row>
    <row r="1137" spans="1:30" ht="41.45" customHeight="1">
      <c r="A1137"/>
      <c r="AC1137"/>
      <c r="AD1137"/>
    </row>
    <row r="1138" spans="1:30" ht="41.45" customHeight="1">
      <c r="A1138"/>
      <c r="AC1138"/>
      <c r="AD1138"/>
    </row>
    <row r="1139" spans="1:30" ht="41.45" customHeight="1">
      <c r="A1139"/>
      <c r="AC1139"/>
      <c r="AD1139"/>
    </row>
    <row r="1140" spans="1:30" ht="41.45" customHeight="1">
      <c r="A1140"/>
      <c r="AC1140"/>
      <c r="AD1140"/>
    </row>
    <row r="1141" spans="1:30" ht="41.45" customHeight="1">
      <c r="A1141"/>
      <c r="AC1141"/>
      <c r="AD1141"/>
    </row>
    <row r="1142" spans="1:30" ht="41.45" customHeight="1">
      <c r="A1142"/>
      <c r="AC1142"/>
      <c r="AD1142"/>
    </row>
    <row r="1143" spans="1:30" ht="41.45" customHeight="1">
      <c r="A1143"/>
      <c r="AC1143"/>
      <c r="AD1143"/>
    </row>
    <row r="1144" spans="1:30" ht="41.45" customHeight="1">
      <c r="A1144"/>
      <c r="AC1144"/>
      <c r="AD1144"/>
    </row>
    <row r="1145" spans="1:30" ht="41.45" customHeight="1">
      <c r="A1145"/>
      <c r="AC1145"/>
      <c r="AD1145"/>
    </row>
    <row r="1146" spans="1:30" ht="41.45" customHeight="1">
      <c r="A1146"/>
      <c r="AC1146"/>
      <c r="AD1146"/>
    </row>
    <row r="1147" spans="1:30" ht="41.45" customHeight="1">
      <c r="A1147"/>
      <c r="AC1147"/>
      <c r="AD1147"/>
    </row>
    <row r="1148" spans="1:30" ht="41.45" customHeight="1">
      <c r="A1148"/>
      <c r="AC1148"/>
      <c r="AD1148"/>
    </row>
    <row r="1149" spans="1:30" ht="41.45" customHeight="1">
      <c r="A1149"/>
      <c r="AC1149"/>
      <c r="AD1149"/>
    </row>
    <row r="1150" spans="1:30" ht="41.45" customHeight="1">
      <c r="A1150"/>
      <c r="AC1150"/>
      <c r="AD1150"/>
    </row>
    <row r="1151" spans="1:30" ht="41.45" customHeight="1">
      <c r="A1151"/>
      <c r="AC1151"/>
      <c r="AD1151"/>
    </row>
    <row r="1152" spans="1:30" ht="41.45" customHeight="1">
      <c r="A1152"/>
      <c r="AC1152"/>
      <c r="AD1152"/>
    </row>
    <row r="1153" spans="1:30" ht="41.45" customHeight="1">
      <c r="A1153"/>
      <c r="AC1153"/>
      <c r="AD1153"/>
    </row>
    <row r="1154" spans="1:30" ht="41.45" customHeight="1">
      <c r="A1154"/>
      <c r="AC1154"/>
      <c r="AD1154"/>
    </row>
    <row r="1155" spans="1:30" ht="41.45" customHeight="1">
      <c r="A1155"/>
      <c r="AC1155"/>
      <c r="AD1155"/>
    </row>
    <row r="1156" spans="1:30" ht="41.45" customHeight="1">
      <c r="A1156"/>
      <c r="AC1156"/>
      <c r="AD1156"/>
    </row>
    <row r="1157" spans="1:30" ht="41.45" customHeight="1">
      <c r="A1157"/>
      <c r="AC1157"/>
      <c r="AD1157"/>
    </row>
    <row r="1158" spans="1:30" ht="41.45" customHeight="1">
      <c r="A1158"/>
      <c r="AC1158"/>
      <c r="AD1158"/>
    </row>
    <row r="1159" spans="1:30" ht="41.45" customHeight="1">
      <c r="A1159"/>
      <c r="AC1159"/>
      <c r="AD1159"/>
    </row>
    <row r="1160" spans="1:30" ht="41.45" customHeight="1">
      <c r="A1160"/>
      <c r="AC1160"/>
      <c r="AD1160"/>
    </row>
    <row r="1161" spans="1:30" ht="41.45" customHeight="1">
      <c r="A1161"/>
      <c r="AC1161"/>
      <c r="AD1161"/>
    </row>
    <row r="1162" spans="1:30" ht="41.45" customHeight="1">
      <c r="A1162"/>
      <c r="AC1162"/>
      <c r="AD1162"/>
    </row>
    <row r="1163" spans="1:30" ht="41.45" customHeight="1">
      <c r="A1163"/>
      <c r="AC1163"/>
      <c r="AD1163"/>
    </row>
    <row r="1164" spans="1:30" ht="41.45" customHeight="1">
      <c r="A1164"/>
      <c r="AC1164"/>
      <c r="AD1164"/>
    </row>
    <row r="1165" spans="1:30" ht="41.45" customHeight="1">
      <c r="A1165"/>
      <c r="AC1165"/>
      <c r="AD1165"/>
    </row>
    <row r="1166" spans="1:30" ht="41.45" customHeight="1">
      <c r="A1166"/>
      <c r="AC1166"/>
      <c r="AD1166"/>
    </row>
    <row r="1167" spans="1:30" ht="41.45" customHeight="1">
      <c r="A1167"/>
      <c r="AC1167"/>
      <c r="AD1167"/>
    </row>
    <row r="1168" spans="1:30" ht="41.45" customHeight="1">
      <c r="A1168"/>
      <c r="AC1168"/>
      <c r="AD1168"/>
    </row>
    <row r="1169" spans="1:30" ht="41.45" customHeight="1">
      <c r="A1169"/>
      <c r="AC1169"/>
      <c r="AD1169"/>
    </row>
    <row r="1170" spans="1:30" ht="41.45" customHeight="1">
      <c r="A1170"/>
      <c r="AC1170"/>
      <c r="AD1170"/>
    </row>
    <row r="1171" spans="1:30" ht="41.45" customHeight="1">
      <c r="A1171"/>
      <c r="AC1171"/>
      <c r="AD1171"/>
    </row>
    <row r="1172" spans="1:30" ht="41.45" customHeight="1">
      <c r="A1172"/>
      <c r="AC1172"/>
      <c r="AD1172"/>
    </row>
    <row r="1173" spans="1:30" ht="41.45" customHeight="1">
      <c r="A1173"/>
      <c r="AC1173"/>
      <c r="AD1173"/>
    </row>
    <row r="1174" spans="1:30" ht="41.45" customHeight="1">
      <c r="A1174"/>
      <c r="AC1174"/>
      <c r="AD1174"/>
    </row>
    <row r="1175" spans="1:30" ht="41.45" customHeight="1">
      <c r="A1175"/>
      <c r="AC1175"/>
      <c r="AD1175"/>
    </row>
    <row r="1176" spans="1:30" ht="41.45" customHeight="1">
      <c r="A1176"/>
      <c r="AC1176"/>
      <c r="AD1176"/>
    </row>
    <row r="1177" spans="1:30" ht="41.45" customHeight="1">
      <c r="A1177"/>
      <c r="AC1177"/>
      <c r="AD1177"/>
    </row>
    <row r="1178" spans="1:30" ht="41.45" customHeight="1">
      <c r="A1178"/>
      <c r="AC1178"/>
      <c r="AD1178"/>
    </row>
    <row r="1179" spans="1:30" ht="41.45" customHeight="1">
      <c r="A1179"/>
      <c r="AC1179"/>
      <c r="AD1179"/>
    </row>
    <row r="1180" spans="1:30" ht="41.45" customHeight="1">
      <c r="A1180"/>
      <c r="AC1180"/>
      <c r="AD1180"/>
    </row>
    <row r="1181" spans="1:30" ht="41.45" customHeight="1">
      <c r="A1181"/>
      <c r="AC1181"/>
      <c r="AD1181"/>
    </row>
    <row r="1182" spans="1:30" ht="41.45" customHeight="1">
      <c r="A1182"/>
      <c r="AC1182"/>
      <c r="AD1182"/>
    </row>
    <row r="1183" spans="1:30" ht="41.45" customHeight="1">
      <c r="A1183"/>
      <c r="AC1183"/>
      <c r="AD1183"/>
    </row>
    <row r="1184" spans="1:30" ht="41.45" customHeight="1">
      <c r="A1184"/>
      <c r="AC1184"/>
      <c r="AD1184"/>
    </row>
    <row r="1185" spans="1:30" ht="41.45" customHeight="1">
      <c r="A1185"/>
      <c r="AC1185"/>
      <c r="AD1185"/>
    </row>
    <row r="1186" spans="1:30" ht="41.45" customHeight="1">
      <c r="A1186"/>
      <c r="AC1186"/>
      <c r="AD1186"/>
    </row>
    <row r="1187" spans="1:30" ht="41.45" customHeight="1">
      <c r="A1187"/>
      <c r="AC1187"/>
      <c r="AD1187"/>
    </row>
    <row r="1188" spans="1:30" ht="41.45" customHeight="1">
      <c r="A1188"/>
      <c r="AC1188"/>
      <c r="AD1188"/>
    </row>
    <row r="1189" spans="1:30" ht="41.45" customHeight="1">
      <c r="A1189"/>
      <c r="AC1189"/>
      <c r="AD1189"/>
    </row>
    <row r="1190" spans="1:30" ht="41.45" customHeight="1">
      <c r="A1190"/>
      <c r="AC1190"/>
      <c r="AD1190"/>
    </row>
    <row r="1191" spans="1:30" ht="41.45" customHeight="1">
      <c r="A1191"/>
      <c r="AC1191"/>
      <c r="AD1191"/>
    </row>
    <row r="1192" spans="1:30" ht="41.45" customHeight="1">
      <c r="A1192"/>
      <c r="AC1192"/>
      <c r="AD1192"/>
    </row>
    <row r="1193" spans="1:30" ht="41.45" customHeight="1">
      <c r="A1193"/>
      <c r="AC1193"/>
      <c r="AD1193"/>
    </row>
    <row r="1194" spans="1:30" ht="41.45" customHeight="1">
      <c r="A1194"/>
      <c r="AC1194"/>
      <c r="AD1194"/>
    </row>
    <row r="1195" spans="1:30" ht="41.45" customHeight="1">
      <c r="A1195"/>
      <c r="AC1195"/>
      <c r="AD1195"/>
    </row>
    <row r="1196" spans="1:30" ht="41.45" customHeight="1">
      <c r="A1196"/>
      <c r="AC1196"/>
      <c r="AD1196"/>
    </row>
    <row r="1197" spans="1:30" ht="41.45" customHeight="1">
      <c r="A1197"/>
      <c r="AC1197"/>
      <c r="AD1197"/>
    </row>
    <row r="1198" spans="1:30" ht="41.45" customHeight="1">
      <c r="A1198"/>
      <c r="AC1198"/>
      <c r="AD1198"/>
    </row>
    <row r="1199" spans="1:30" ht="41.45" customHeight="1">
      <c r="A1199"/>
      <c r="AC1199"/>
      <c r="AD1199"/>
    </row>
    <row r="1200" spans="1:30" ht="41.45" customHeight="1">
      <c r="A1200"/>
      <c r="AC1200"/>
      <c r="AD1200"/>
    </row>
    <row r="1201" spans="1:30" ht="41.45" customHeight="1">
      <c r="A1201"/>
      <c r="AC1201"/>
      <c r="AD1201"/>
    </row>
    <row r="1202" spans="1:30" ht="41.45" customHeight="1">
      <c r="A1202"/>
      <c r="AC1202"/>
      <c r="AD1202"/>
    </row>
    <row r="1203" spans="1:30" ht="41.45" customHeight="1">
      <c r="A1203"/>
      <c r="AC1203"/>
      <c r="AD1203"/>
    </row>
    <row r="1204" spans="1:30" ht="41.45" customHeight="1">
      <c r="A1204"/>
      <c r="AC1204"/>
      <c r="AD1204"/>
    </row>
    <row r="1205" spans="1:30" ht="41.45" customHeight="1">
      <c r="A1205"/>
      <c r="AC1205"/>
      <c r="AD1205"/>
    </row>
    <row r="1206" spans="1:30" ht="41.45" customHeight="1">
      <c r="A1206"/>
      <c r="AC1206"/>
      <c r="AD1206"/>
    </row>
    <row r="1207" spans="1:30" ht="41.45" customHeight="1">
      <c r="A1207"/>
      <c r="AC1207"/>
      <c r="AD1207"/>
    </row>
    <row r="1208" spans="1:30" ht="41.45" customHeight="1">
      <c r="A1208"/>
      <c r="AC1208"/>
      <c r="AD1208"/>
    </row>
    <row r="1209" spans="1:30" ht="41.45" customHeight="1">
      <c r="A1209"/>
      <c r="AC1209"/>
      <c r="AD1209"/>
    </row>
    <row r="1210" spans="1:30" ht="41.45" customHeight="1">
      <c r="A1210"/>
      <c r="AC1210"/>
      <c r="AD1210"/>
    </row>
    <row r="1211" spans="1:30" ht="41.45" customHeight="1">
      <c r="A1211"/>
      <c r="AC1211"/>
      <c r="AD1211"/>
    </row>
    <row r="1212" spans="1:30" ht="41.45" customHeight="1">
      <c r="A1212"/>
      <c r="AC1212"/>
      <c r="AD1212"/>
    </row>
    <row r="1213" spans="1:30" ht="41.45" customHeight="1">
      <c r="A1213"/>
      <c r="AC1213"/>
      <c r="AD1213"/>
    </row>
    <row r="1214" spans="1:30" ht="41.45" customHeight="1">
      <c r="A1214"/>
      <c r="AC1214"/>
      <c r="AD1214"/>
    </row>
    <row r="1215" spans="1:30" ht="41.45" customHeight="1">
      <c r="A1215"/>
      <c r="AC1215"/>
      <c r="AD1215"/>
    </row>
    <row r="1216" spans="1:30" ht="41.45" customHeight="1">
      <c r="A1216"/>
      <c r="AC1216"/>
      <c r="AD1216"/>
    </row>
    <row r="1217" spans="1:30" ht="41.45" customHeight="1">
      <c r="A1217"/>
      <c r="AC1217"/>
      <c r="AD1217"/>
    </row>
    <row r="1218" spans="1:30" ht="41.45" customHeight="1">
      <c r="A1218"/>
      <c r="AC1218"/>
      <c r="AD1218"/>
    </row>
    <row r="1219" spans="1:30" ht="41.45" customHeight="1">
      <c r="A1219"/>
      <c r="AC1219"/>
      <c r="AD1219"/>
    </row>
    <row r="1220" spans="1:30" ht="41.45" customHeight="1">
      <c r="A1220"/>
      <c r="AC1220"/>
      <c r="AD1220"/>
    </row>
    <row r="1221" spans="1:30" ht="41.45" customHeight="1">
      <c r="A1221"/>
      <c r="AC1221"/>
      <c r="AD1221"/>
    </row>
    <row r="1222" spans="1:30" ht="41.45" customHeight="1">
      <c r="A1222"/>
      <c r="AC1222"/>
      <c r="AD1222"/>
    </row>
    <row r="1223" spans="1:30" ht="41.45" customHeight="1">
      <c r="A1223"/>
      <c r="AC1223"/>
      <c r="AD1223"/>
    </row>
    <row r="1224" spans="1:30" ht="41.45" customHeight="1">
      <c r="A1224"/>
      <c r="AC1224"/>
      <c r="AD1224"/>
    </row>
    <row r="1225" spans="1:30" ht="41.45" customHeight="1">
      <c r="A1225"/>
      <c r="AC1225"/>
      <c r="AD1225"/>
    </row>
    <row r="1226" spans="1:30" ht="41.45" customHeight="1">
      <c r="A1226"/>
      <c r="AC1226"/>
      <c r="AD1226"/>
    </row>
    <row r="1227" spans="1:30" ht="41.45" customHeight="1">
      <c r="A1227"/>
      <c r="AC1227"/>
      <c r="AD1227"/>
    </row>
    <row r="1228" spans="1:30" ht="41.45" customHeight="1">
      <c r="A1228"/>
      <c r="AC1228"/>
      <c r="AD1228"/>
    </row>
    <row r="1229" spans="1:30" ht="41.45" customHeight="1">
      <c r="A1229"/>
      <c r="AC1229"/>
      <c r="AD1229"/>
    </row>
    <row r="1230" spans="1:30" ht="41.45" customHeight="1">
      <c r="A1230"/>
      <c r="AC1230"/>
      <c r="AD1230"/>
    </row>
    <row r="1231" spans="1:30" ht="41.45" customHeight="1">
      <c r="A1231"/>
      <c r="AC1231"/>
      <c r="AD1231"/>
    </row>
    <row r="1232" spans="1:30" ht="41.45" customHeight="1">
      <c r="A1232"/>
      <c r="AC1232"/>
      <c r="AD1232"/>
    </row>
    <row r="1233" spans="1:30" ht="41.45" customHeight="1">
      <c r="A1233"/>
      <c r="AC1233"/>
      <c r="AD1233"/>
    </row>
    <row r="1234" spans="1:30" ht="41.45" customHeight="1">
      <c r="A1234"/>
      <c r="AC1234"/>
      <c r="AD1234"/>
    </row>
    <row r="1235" spans="1:30" ht="41.45" customHeight="1">
      <c r="A1235"/>
      <c r="AC1235"/>
      <c r="AD1235"/>
    </row>
    <row r="1236" spans="1:30" ht="41.45" customHeight="1">
      <c r="A1236"/>
      <c r="AC1236"/>
      <c r="AD1236"/>
    </row>
    <row r="1237" spans="1:30" ht="41.45" customHeight="1">
      <c r="A1237"/>
      <c r="AC1237"/>
      <c r="AD1237"/>
    </row>
    <row r="1238" spans="1:30" ht="41.45" customHeight="1">
      <c r="A1238"/>
      <c r="AC1238"/>
      <c r="AD1238"/>
    </row>
    <row r="1239" spans="1:30" ht="41.45" customHeight="1">
      <c r="A1239"/>
      <c r="AC1239"/>
      <c r="AD1239"/>
    </row>
    <row r="1240" spans="1:30" ht="41.45" customHeight="1">
      <c r="A1240"/>
      <c r="AC1240"/>
      <c r="AD1240"/>
    </row>
    <row r="1241" spans="1:30" ht="41.45" customHeight="1">
      <c r="A1241"/>
      <c r="AC1241"/>
      <c r="AD1241"/>
    </row>
    <row r="1242" spans="1:30" ht="41.45" customHeight="1">
      <c r="A1242"/>
      <c r="AC1242"/>
      <c r="AD1242"/>
    </row>
    <row r="1243" spans="1:30" ht="41.45" customHeight="1">
      <c r="A1243"/>
      <c r="AC1243"/>
      <c r="AD1243"/>
    </row>
    <row r="1244" spans="1:30" ht="41.45" customHeight="1">
      <c r="A1244"/>
      <c r="AC1244"/>
      <c r="AD1244"/>
    </row>
    <row r="1245" spans="1:30" ht="41.45" customHeight="1">
      <c r="A1245"/>
      <c r="AC1245"/>
      <c r="AD1245"/>
    </row>
    <row r="1246" spans="1:30" ht="41.45" customHeight="1">
      <c r="A1246"/>
      <c r="AC1246"/>
      <c r="AD1246"/>
    </row>
    <row r="1247" spans="1:30" ht="41.45" customHeight="1">
      <c r="A1247"/>
      <c r="AC1247"/>
      <c r="AD1247"/>
    </row>
    <row r="1248" spans="1:30" ht="41.45" customHeight="1">
      <c r="A1248"/>
      <c r="AC1248"/>
      <c r="AD1248"/>
    </row>
    <row r="1249" spans="1:30" ht="41.45" customHeight="1">
      <c r="A1249"/>
      <c r="AC1249"/>
      <c r="AD1249"/>
    </row>
    <row r="1250" spans="1:30" ht="41.45" customHeight="1">
      <c r="A1250"/>
      <c r="AC1250"/>
      <c r="AD1250"/>
    </row>
    <row r="1251" spans="1:30" ht="41.45" customHeight="1">
      <c r="A1251"/>
      <c r="AC1251"/>
      <c r="AD1251"/>
    </row>
    <row r="1252" spans="1:30" ht="41.45" customHeight="1">
      <c r="A1252"/>
      <c r="AC1252"/>
      <c r="AD1252"/>
    </row>
    <row r="1253" spans="1:30" ht="41.45" customHeight="1">
      <c r="A1253"/>
      <c r="AC1253"/>
      <c r="AD1253"/>
    </row>
    <row r="1254" spans="1:30" ht="41.45" customHeight="1">
      <c r="A1254"/>
      <c r="AC1254"/>
      <c r="AD1254"/>
    </row>
    <row r="1255" spans="1:30" ht="41.45" customHeight="1">
      <c r="A1255"/>
      <c r="AC1255"/>
      <c r="AD1255"/>
    </row>
    <row r="1256" spans="1:30" ht="41.45" customHeight="1">
      <c r="A1256"/>
      <c r="AC1256"/>
      <c r="AD1256"/>
    </row>
    <row r="1257" spans="1:30" ht="41.45" customHeight="1">
      <c r="A1257"/>
      <c r="AC1257"/>
      <c r="AD1257"/>
    </row>
    <row r="1258" spans="1:30" ht="41.45" customHeight="1">
      <c r="A1258"/>
      <c r="AC1258"/>
      <c r="AD1258"/>
    </row>
    <row r="1259" spans="1:30" ht="41.45" customHeight="1">
      <c r="A1259"/>
      <c r="AC1259"/>
      <c r="AD1259"/>
    </row>
    <row r="1260" spans="1:30" ht="41.45" customHeight="1">
      <c r="A1260"/>
      <c r="AC1260"/>
      <c r="AD1260"/>
    </row>
    <row r="1261" spans="1:30" ht="41.45" customHeight="1">
      <c r="A1261"/>
      <c r="AC1261"/>
      <c r="AD1261"/>
    </row>
    <row r="1262" spans="1:30" ht="41.45" customHeight="1">
      <c r="A1262"/>
      <c r="AC1262"/>
      <c r="AD1262"/>
    </row>
    <row r="1263" spans="1:30" ht="41.45" customHeight="1">
      <c r="A1263"/>
      <c r="AC1263"/>
      <c r="AD1263"/>
    </row>
    <row r="1264" spans="1:30" ht="41.45" customHeight="1">
      <c r="A1264"/>
      <c r="AC1264"/>
      <c r="AD1264"/>
    </row>
    <row r="1265" spans="1:30" ht="41.45" customHeight="1">
      <c r="A1265"/>
      <c r="AC1265"/>
      <c r="AD1265"/>
    </row>
    <row r="1266" spans="1:30" ht="41.45" customHeight="1">
      <c r="A1266"/>
      <c r="AC1266"/>
      <c r="AD1266"/>
    </row>
    <row r="1267" spans="1:30" ht="41.45" customHeight="1">
      <c r="A1267"/>
      <c r="AC1267"/>
      <c r="AD1267"/>
    </row>
    <row r="1268" spans="1:30" ht="41.45" customHeight="1">
      <c r="A1268"/>
      <c r="AC1268"/>
      <c r="AD1268"/>
    </row>
    <row r="1269" spans="1:30" ht="41.45" customHeight="1">
      <c r="A1269"/>
      <c r="AC1269"/>
      <c r="AD1269"/>
    </row>
    <row r="1270" spans="1:30" ht="41.45" customHeight="1">
      <c r="A1270"/>
      <c r="AC1270"/>
      <c r="AD1270"/>
    </row>
    <row r="1271" spans="1:30" ht="41.45" customHeight="1">
      <c r="A1271"/>
      <c r="AC1271"/>
      <c r="AD1271"/>
    </row>
    <row r="1272" spans="1:30" ht="41.45" customHeight="1">
      <c r="A1272"/>
      <c r="AC1272"/>
      <c r="AD1272"/>
    </row>
    <row r="1273" spans="1:30" ht="41.45" customHeight="1">
      <c r="A1273"/>
      <c r="AC1273"/>
      <c r="AD1273"/>
    </row>
    <row r="1274" spans="1:30" ht="41.45" customHeight="1">
      <c r="A1274"/>
      <c r="AC1274"/>
      <c r="AD1274"/>
    </row>
    <row r="1275" spans="1:30" ht="41.45" customHeight="1">
      <c r="A1275"/>
      <c r="AC1275"/>
      <c r="AD1275"/>
    </row>
    <row r="1276" spans="1:30" ht="41.45" customHeight="1">
      <c r="A1276"/>
      <c r="AC1276"/>
      <c r="AD1276"/>
    </row>
    <row r="1277" spans="1:30" ht="41.45" customHeight="1">
      <c r="A1277"/>
      <c r="AC1277"/>
      <c r="AD1277"/>
    </row>
    <row r="1278" spans="1:30" ht="41.45" customHeight="1">
      <c r="A1278"/>
      <c r="AC1278"/>
      <c r="AD1278"/>
    </row>
    <row r="1279" spans="1:30" ht="41.45" customHeight="1">
      <c r="A1279"/>
      <c r="AC1279"/>
      <c r="AD1279"/>
    </row>
    <row r="1280" spans="1:30" ht="41.45" customHeight="1">
      <c r="A1280"/>
      <c r="AC1280"/>
      <c r="AD1280"/>
    </row>
    <row r="1281" spans="1:30" ht="41.45" customHeight="1">
      <c r="A1281"/>
      <c r="AC1281"/>
      <c r="AD1281"/>
    </row>
    <row r="1282" spans="1:30" ht="41.45" customHeight="1">
      <c r="A1282"/>
      <c r="AC1282"/>
      <c r="AD1282"/>
    </row>
    <row r="1283" spans="1:30" ht="41.45" customHeight="1">
      <c r="A1283"/>
      <c r="AC1283"/>
      <c r="AD1283"/>
    </row>
    <row r="1284" spans="1:30" ht="41.45" customHeight="1">
      <c r="A1284"/>
      <c r="AC1284"/>
      <c r="AD1284"/>
    </row>
    <row r="1285" spans="1:30" ht="41.45" customHeight="1">
      <c r="A1285"/>
      <c r="AC1285"/>
      <c r="AD1285"/>
    </row>
    <row r="1286" spans="1:30" ht="41.45" customHeight="1">
      <c r="A1286"/>
      <c r="AC1286"/>
      <c r="AD1286"/>
    </row>
    <row r="1287" spans="1:30" ht="41.45" customHeight="1">
      <c r="A1287"/>
      <c r="AC1287"/>
      <c r="AD1287"/>
    </row>
    <row r="1288" spans="1:30" ht="41.45" customHeight="1">
      <c r="A1288"/>
      <c r="AC1288"/>
      <c r="AD1288"/>
    </row>
    <row r="1289" spans="1:30" ht="41.45" customHeight="1">
      <c r="A1289"/>
      <c r="AC1289"/>
      <c r="AD1289"/>
    </row>
    <row r="1290" spans="1:30" ht="41.45" customHeight="1">
      <c r="A1290"/>
      <c r="AC1290"/>
      <c r="AD1290"/>
    </row>
    <row r="1291" spans="1:30" ht="41.45" customHeight="1">
      <c r="A1291"/>
      <c r="AC1291"/>
      <c r="AD1291"/>
    </row>
    <row r="1292" spans="1:30" ht="41.45" customHeight="1">
      <c r="A1292"/>
      <c r="AC1292"/>
      <c r="AD1292"/>
    </row>
    <row r="1293" spans="1:30" ht="41.45" customHeight="1">
      <c r="A1293"/>
      <c r="AC1293"/>
      <c r="AD1293"/>
    </row>
    <row r="1294" spans="1:30" ht="41.45" customHeight="1">
      <c r="A1294"/>
      <c r="AC1294"/>
      <c r="AD1294"/>
    </row>
    <row r="1295" spans="1:30" ht="41.45" customHeight="1">
      <c r="A1295"/>
      <c r="AC1295"/>
      <c r="AD1295"/>
    </row>
    <row r="1296" spans="1:30" ht="41.45" customHeight="1">
      <c r="A1296"/>
      <c r="AC1296"/>
      <c r="AD1296"/>
    </row>
    <row r="1297" spans="1:30" ht="41.45" customHeight="1">
      <c r="A1297"/>
      <c r="AC1297"/>
      <c r="AD1297"/>
    </row>
    <row r="1298" spans="1:30" ht="41.45" customHeight="1">
      <c r="A1298"/>
      <c r="AC1298"/>
      <c r="AD1298"/>
    </row>
    <row r="1299" spans="1:30" ht="41.45" customHeight="1">
      <c r="A1299"/>
      <c r="AC1299"/>
      <c r="AD1299"/>
    </row>
    <row r="1300" spans="1:30" ht="41.45" customHeight="1">
      <c r="A1300"/>
      <c r="AC1300"/>
      <c r="AD1300"/>
    </row>
    <row r="1301" spans="1:30" ht="41.45" customHeight="1">
      <c r="A1301"/>
      <c r="AC1301"/>
      <c r="AD1301"/>
    </row>
    <row r="1302" spans="1:30" ht="41.45" customHeight="1">
      <c r="A1302"/>
      <c r="AC1302"/>
      <c r="AD1302"/>
    </row>
    <row r="1303" spans="1:30" ht="41.45" customHeight="1">
      <c r="A1303"/>
      <c r="AC1303"/>
      <c r="AD1303"/>
    </row>
    <row r="1304" spans="1:30" ht="41.45" customHeight="1">
      <c r="A1304"/>
      <c r="AC1304"/>
      <c r="AD1304"/>
    </row>
    <row r="1305" spans="1:30" ht="41.45" customHeight="1">
      <c r="A1305"/>
      <c r="AC1305"/>
      <c r="AD1305"/>
    </row>
    <row r="1306" spans="1:30" ht="41.45" customHeight="1">
      <c r="A1306"/>
      <c r="AC1306"/>
      <c r="AD1306"/>
    </row>
    <row r="1307" spans="1:30" ht="41.45" customHeight="1">
      <c r="A1307"/>
      <c r="AC1307"/>
      <c r="AD1307"/>
    </row>
    <row r="1308" spans="1:30" ht="41.45" customHeight="1">
      <c r="A1308"/>
      <c r="AC1308"/>
      <c r="AD1308"/>
    </row>
    <row r="1309" spans="1:30" ht="41.45" customHeight="1">
      <c r="A1309"/>
      <c r="AC1309"/>
      <c r="AD1309"/>
    </row>
    <row r="1310" spans="1:30" ht="41.45" customHeight="1">
      <c r="A1310"/>
      <c r="AC1310"/>
      <c r="AD1310"/>
    </row>
    <row r="1311" spans="1:30" ht="41.45" customHeight="1">
      <c r="A1311"/>
      <c r="AC1311"/>
      <c r="AD1311"/>
    </row>
    <row r="1312" spans="1:30" ht="41.45" customHeight="1">
      <c r="A1312"/>
      <c r="AC1312"/>
      <c r="AD1312"/>
    </row>
    <row r="1313" spans="1:30" ht="41.45" customHeight="1">
      <c r="A1313"/>
      <c r="AC1313"/>
      <c r="AD1313"/>
    </row>
    <row r="1314" spans="1:30" ht="41.45" customHeight="1">
      <c r="A1314"/>
      <c r="AC1314"/>
      <c r="AD1314"/>
    </row>
    <row r="1315" spans="1:30" ht="41.45" customHeight="1">
      <c r="A1315"/>
      <c r="AC1315"/>
      <c r="AD1315"/>
    </row>
    <row r="1316" spans="1:30" ht="41.45" customHeight="1">
      <c r="A1316"/>
      <c r="AC1316"/>
      <c r="AD1316"/>
    </row>
    <row r="1317" spans="1:30" ht="41.45" customHeight="1">
      <c r="A1317"/>
      <c r="AC1317"/>
      <c r="AD1317"/>
    </row>
    <row r="1318" spans="1:30" ht="41.45" customHeight="1">
      <c r="A1318"/>
      <c r="AC1318"/>
      <c r="AD1318"/>
    </row>
    <row r="1319" spans="1:30" ht="41.45" customHeight="1">
      <c r="A1319"/>
      <c r="AC1319"/>
      <c r="AD1319"/>
    </row>
    <row r="1320" spans="1:30" ht="41.45" customHeight="1">
      <c r="A1320"/>
      <c r="AC1320"/>
      <c r="AD1320"/>
    </row>
    <row r="1321" spans="1:30" ht="41.45" customHeight="1">
      <c r="A1321"/>
      <c r="AC1321"/>
      <c r="AD1321"/>
    </row>
    <row r="1322" spans="1:30" ht="41.45" customHeight="1">
      <c r="A1322"/>
      <c r="AC1322"/>
      <c r="AD1322"/>
    </row>
    <row r="1323" spans="1:30" ht="41.45" customHeight="1">
      <c r="A1323"/>
      <c r="AC1323"/>
      <c r="AD1323"/>
    </row>
    <row r="1324" spans="1:30" ht="41.45" customHeight="1">
      <c r="A1324"/>
      <c r="AC1324"/>
      <c r="AD1324"/>
    </row>
    <row r="1325" spans="1:30" ht="41.45" customHeight="1">
      <c r="A1325"/>
      <c r="AC1325"/>
      <c r="AD1325"/>
    </row>
    <row r="1326" spans="1:30" ht="41.45" customHeight="1">
      <c r="A1326"/>
      <c r="AC1326"/>
      <c r="AD1326"/>
    </row>
    <row r="1327" spans="1:30" ht="41.45" customHeight="1">
      <c r="A1327"/>
      <c r="AC1327"/>
      <c r="AD1327"/>
    </row>
    <row r="1328" spans="1:30" ht="41.45" customHeight="1">
      <c r="A1328"/>
      <c r="AC1328"/>
      <c r="AD1328"/>
    </row>
    <row r="1329" spans="1:30" ht="41.45" customHeight="1">
      <c r="A1329"/>
      <c r="AC1329"/>
      <c r="AD1329"/>
    </row>
    <row r="1330" spans="1:30" ht="41.45" customHeight="1">
      <c r="A1330"/>
      <c r="AC1330"/>
      <c r="AD1330"/>
    </row>
    <row r="1331" spans="1:30" ht="41.45" customHeight="1">
      <c r="A1331"/>
      <c r="AC1331"/>
      <c r="AD1331"/>
    </row>
    <row r="1332" spans="1:30" ht="41.45" customHeight="1">
      <c r="A1332"/>
      <c r="AC1332"/>
      <c r="AD1332"/>
    </row>
    <row r="1333" spans="1:30" ht="41.45" customHeight="1">
      <c r="A1333"/>
      <c r="AC1333"/>
      <c r="AD1333"/>
    </row>
    <row r="1334" spans="1:30" ht="41.45" customHeight="1">
      <c r="A1334"/>
      <c r="AC1334"/>
      <c r="AD1334"/>
    </row>
    <row r="1335" spans="1:30" ht="41.45" customHeight="1">
      <c r="A1335"/>
      <c r="AC1335"/>
      <c r="AD1335"/>
    </row>
    <row r="1336" spans="1:30" ht="41.45" customHeight="1">
      <c r="A1336"/>
      <c r="AC1336"/>
      <c r="AD1336"/>
    </row>
    <row r="1337" spans="1:30" ht="41.45" customHeight="1">
      <c r="A1337"/>
      <c r="AC1337"/>
      <c r="AD1337"/>
    </row>
    <row r="1338" spans="1:30" ht="41.45" customHeight="1">
      <c r="A1338"/>
      <c r="AC1338"/>
      <c r="AD1338"/>
    </row>
    <row r="1339" spans="1:30" ht="41.45" customHeight="1">
      <c r="A1339"/>
      <c r="AC1339"/>
      <c r="AD1339"/>
    </row>
    <row r="1340" spans="1:30" ht="41.45" customHeight="1">
      <c r="A1340"/>
      <c r="AC1340"/>
      <c r="AD1340"/>
    </row>
    <row r="1341" spans="1:30" ht="41.45" customHeight="1">
      <c r="A1341"/>
      <c r="AC1341"/>
      <c r="AD1341"/>
    </row>
    <row r="1342" spans="1:30" ht="41.45" customHeight="1">
      <c r="A1342"/>
      <c r="AC1342"/>
      <c r="AD1342"/>
    </row>
    <row r="1343" spans="1:30" ht="41.45" customHeight="1">
      <c r="A1343"/>
      <c r="AC1343"/>
      <c r="AD1343"/>
    </row>
    <row r="1344" spans="1:30" ht="41.45" customHeight="1">
      <c r="A1344"/>
      <c r="AC1344"/>
      <c r="AD1344"/>
    </row>
    <row r="1345" spans="1:30" ht="41.45" customHeight="1">
      <c r="A1345"/>
      <c r="AC1345"/>
      <c r="AD1345"/>
    </row>
    <row r="1346" spans="1:30" ht="41.45" customHeight="1">
      <c r="A1346"/>
      <c r="AC1346"/>
      <c r="AD1346"/>
    </row>
    <row r="1347" spans="1:30" ht="41.45" customHeight="1">
      <c r="A1347"/>
      <c r="AC1347"/>
      <c r="AD1347"/>
    </row>
    <row r="1348" spans="1:30" ht="41.45" customHeight="1">
      <c r="A1348"/>
      <c r="AC1348"/>
      <c r="AD1348"/>
    </row>
    <row r="1349" spans="1:30" ht="41.45" customHeight="1">
      <c r="A1349"/>
      <c r="AC1349"/>
      <c r="AD1349"/>
    </row>
    <row r="1350" spans="1:30" ht="41.45" customHeight="1">
      <c r="A1350"/>
      <c r="AC1350"/>
      <c r="AD1350"/>
    </row>
    <row r="1351" spans="1:30" ht="41.45" customHeight="1">
      <c r="A1351"/>
      <c r="AC1351"/>
      <c r="AD1351"/>
    </row>
    <row r="1352" spans="1:30" ht="41.45" customHeight="1">
      <c r="A1352"/>
      <c r="AC1352"/>
      <c r="AD1352"/>
    </row>
    <row r="1353" spans="1:30" ht="41.45" customHeight="1">
      <c r="A1353"/>
      <c r="AC1353"/>
      <c r="AD1353"/>
    </row>
    <row r="1354" spans="1:30" ht="41.45" customHeight="1">
      <c r="A1354"/>
      <c r="AC1354"/>
      <c r="AD1354"/>
    </row>
    <row r="1355" spans="1:30" ht="41.45" customHeight="1">
      <c r="A1355"/>
      <c r="AC1355"/>
      <c r="AD1355"/>
    </row>
    <row r="1356" spans="1:30" ht="41.45" customHeight="1">
      <c r="A1356"/>
      <c r="AC1356"/>
      <c r="AD1356"/>
    </row>
    <row r="1357" spans="1:30" ht="41.45" customHeight="1">
      <c r="A1357"/>
      <c r="AC1357"/>
      <c r="AD1357"/>
    </row>
    <row r="1358" spans="1:30" ht="41.45" customHeight="1">
      <c r="A1358"/>
      <c r="AC1358"/>
      <c r="AD1358"/>
    </row>
    <row r="1359" spans="1:30" ht="41.45" customHeight="1">
      <c r="A1359"/>
      <c r="AC1359"/>
      <c r="AD1359"/>
    </row>
    <row r="1360" spans="1:30" ht="41.45" customHeight="1">
      <c r="A1360"/>
      <c r="AC1360"/>
      <c r="AD1360"/>
    </row>
    <row r="1361" spans="1:30" ht="41.45" customHeight="1">
      <c r="A1361"/>
      <c r="AC1361"/>
      <c r="AD1361"/>
    </row>
    <row r="1362" spans="1:30" ht="41.45" customHeight="1">
      <c r="A1362"/>
      <c r="AC1362"/>
      <c r="AD1362"/>
    </row>
    <row r="1363" spans="1:30" ht="41.45" customHeight="1">
      <c r="A1363"/>
      <c r="AC1363"/>
      <c r="AD1363"/>
    </row>
    <row r="1364" spans="1:30" ht="41.45" customHeight="1">
      <c r="A1364"/>
      <c r="AC1364"/>
      <c r="AD1364"/>
    </row>
    <row r="1365" spans="1:30" ht="41.45" customHeight="1">
      <c r="A1365"/>
      <c r="AC1365"/>
      <c r="AD1365"/>
    </row>
    <row r="1366" spans="1:30" ht="41.45" customHeight="1">
      <c r="A1366"/>
      <c r="AC1366"/>
      <c r="AD1366"/>
    </row>
    <row r="1367" spans="1:30" ht="41.45" customHeight="1">
      <c r="A1367"/>
      <c r="AC1367"/>
      <c r="AD1367"/>
    </row>
    <row r="1368" spans="1:30" ht="41.45" customHeight="1">
      <c r="A1368"/>
      <c r="AC1368"/>
      <c r="AD1368"/>
    </row>
    <row r="1369" spans="1:30" ht="41.45" customHeight="1">
      <c r="A1369"/>
      <c r="AC1369"/>
      <c r="AD1369"/>
    </row>
    <row r="1370" spans="1:30" ht="41.45" customHeight="1">
      <c r="A1370"/>
      <c r="AC1370"/>
      <c r="AD1370"/>
    </row>
    <row r="1371" spans="1:30" ht="41.45" customHeight="1">
      <c r="A1371"/>
      <c r="AC1371"/>
      <c r="AD1371"/>
    </row>
    <row r="1372" spans="1:30" ht="41.45" customHeight="1">
      <c r="A1372"/>
      <c r="AC1372"/>
      <c r="AD1372"/>
    </row>
    <row r="1373" spans="1:30" ht="41.45" customHeight="1">
      <c r="A1373"/>
      <c r="AC1373"/>
      <c r="AD1373"/>
    </row>
    <row r="1374" spans="1:30" ht="41.45" customHeight="1">
      <c r="A1374"/>
      <c r="AC1374"/>
      <c r="AD1374"/>
    </row>
    <row r="1375" spans="1:30" ht="41.45" customHeight="1">
      <c r="A1375"/>
      <c r="AC1375"/>
      <c r="AD1375"/>
    </row>
    <row r="1376" spans="1:30" ht="41.45" customHeight="1">
      <c r="A1376"/>
      <c r="AC1376"/>
      <c r="AD1376"/>
    </row>
    <row r="1377" spans="1:30" ht="41.45" customHeight="1">
      <c r="A1377"/>
      <c r="AC1377"/>
      <c r="AD1377"/>
    </row>
    <row r="1378" spans="1:30" ht="41.45" customHeight="1">
      <c r="A1378"/>
      <c r="AC1378"/>
      <c r="AD1378"/>
    </row>
    <row r="1379" spans="1:30" ht="41.45" customHeight="1">
      <c r="A1379"/>
      <c r="AC1379"/>
      <c r="AD1379"/>
    </row>
    <row r="1380" spans="1:30" ht="41.45" customHeight="1">
      <c r="A1380"/>
      <c r="AC1380"/>
      <c r="AD1380"/>
    </row>
    <row r="1381" spans="1:30" ht="41.45" customHeight="1">
      <c r="A1381"/>
      <c r="AC1381"/>
      <c r="AD1381"/>
    </row>
    <row r="1382" spans="1:30" ht="41.45" customHeight="1">
      <c r="A1382"/>
      <c r="AC1382"/>
      <c r="AD1382"/>
    </row>
    <row r="1383" spans="1:30" ht="41.45" customHeight="1">
      <c r="A1383"/>
      <c r="AC1383"/>
      <c r="AD1383"/>
    </row>
    <row r="1384" spans="1:30" ht="41.45" customHeight="1">
      <c r="A1384"/>
      <c r="AC1384"/>
      <c r="AD1384"/>
    </row>
    <row r="1385" spans="1:30" ht="41.45" customHeight="1">
      <c r="A1385"/>
      <c r="AC1385"/>
      <c r="AD1385"/>
    </row>
    <row r="1386" spans="1:30" ht="41.45" customHeight="1">
      <c r="A1386"/>
      <c r="AC1386"/>
      <c r="AD1386"/>
    </row>
    <row r="1387" spans="1:30" ht="41.45" customHeight="1">
      <c r="A1387"/>
      <c r="AC1387"/>
      <c r="AD1387"/>
    </row>
    <row r="1388" spans="1:30" ht="41.45" customHeight="1">
      <c r="A1388"/>
      <c r="AC1388"/>
      <c r="AD1388"/>
    </row>
    <row r="1389" spans="1:30" ht="41.45" customHeight="1">
      <c r="A1389"/>
      <c r="AC1389"/>
      <c r="AD1389"/>
    </row>
    <row r="1390" spans="1:30" ht="41.45" customHeight="1">
      <c r="A1390"/>
      <c r="AC1390"/>
      <c r="AD1390"/>
    </row>
    <row r="1391" spans="1:30" ht="41.45" customHeight="1">
      <c r="A1391"/>
      <c r="AC1391"/>
      <c r="AD1391"/>
    </row>
    <row r="1392" spans="1:30" ht="41.45" customHeight="1">
      <c r="A1392"/>
      <c r="AC1392"/>
      <c r="AD1392"/>
    </row>
    <row r="1393" spans="1:30" ht="41.45" customHeight="1">
      <c r="A1393"/>
      <c r="AC1393"/>
      <c r="AD1393"/>
    </row>
    <row r="1394" spans="1:30" ht="41.45" customHeight="1">
      <c r="A1394"/>
      <c r="AC1394"/>
      <c r="AD1394"/>
    </row>
    <row r="1395" spans="1:30" ht="41.45" customHeight="1">
      <c r="A1395"/>
      <c r="AC1395"/>
      <c r="AD1395"/>
    </row>
    <row r="1396" spans="1:30" ht="41.45" customHeight="1">
      <c r="A1396"/>
      <c r="AC1396"/>
      <c r="AD1396"/>
    </row>
    <row r="1397" spans="1:30" ht="41.45" customHeight="1">
      <c r="A1397"/>
      <c r="AC1397"/>
      <c r="AD1397"/>
    </row>
    <row r="1398" spans="1:30" ht="41.45" customHeight="1">
      <c r="A1398"/>
      <c r="AC1398"/>
      <c r="AD1398"/>
    </row>
    <row r="1399" spans="1:30" ht="41.45" customHeight="1">
      <c r="A1399"/>
      <c r="AC1399"/>
      <c r="AD1399"/>
    </row>
    <row r="1400" spans="1:30" ht="41.45" customHeight="1">
      <c r="A1400"/>
      <c r="AC1400"/>
      <c r="AD1400"/>
    </row>
    <row r="1401" spans="1:30" ht="41.45" customHeight="1">
      <c r="A1401"/>
      <c r="AC1401"/>
      <c r="AD1401"/>
    </row>
    <row r="1402" spans="1:30" ht="41.45" customHeight="1">
      <c r="A1402"/>
      <c r="AC1402"/>
      <c r="AD1402"/>
    </row>
    <row r="1403" spans="1:30" ht="41.45" customHeight="1">
      <c r="A1403"/>
      <c r="AC1403"/>
      <c r="AD1403"/>
    </row>
    <row r="1404" spans="1:30" ht="41.45" customHeight="1">
      <c r="A1404"/>
      <c r="AC1404"/>
      <c r="AD1404"/>
    </row>
    <row r="1405" spans="1:30" ht="41.45" customHeight="1">
      <c r="A1405"/>
      <c r="AC1405"/>
      <c r="AD1405"/>
    </row>
    <row r="1406" spans="1:30" ht="41.45" customHeight="1">
      <c r="A1406"/>
      <c r="AC1406"/>
      <c r="AD1406"/>
    </row>
    <row r="1407" spans="1:30" ht="41.45" customHeight="1">
      <c r="A1407"/>
      <c r="AC1407"/>
      <c r="AD1407"/>
    </row>
    <row r="1408" spans="1:30" ht="41.45" customHeight="1">
      <c r="A1408"/>
      <c r="AC1408"/>
      <c r="AD1408"/>
    </row>
    <row r="1409" spans="1:30" ht="41.45" customHeight="1">
      <c r="A1409"/>
      <c r="AC1409"/>
      <c r="AD1409"/>
    </row>
    <row r="1410" spans="1:30" ht="41.45" customHeight="1">
      <c r="A1410"/>
      <c r="AC1410"/>
      <c r="AD1410"/>
    </row>
    <row r="1411" spans="1:30" ht="41.45" customHeight="1">
      <c r="A1411"/>
      <c r="AC1411"/>
      <c r="AD1411"/>
    </row>
    <row r="1412" spans="1:30" ht="41.45" customHeight="1">
      <c r="A1412"/>
      <c r="AC1412"/>
      <c r="AD1412"/>
    </row>
    <row r="1413" spans="1:30" ht="41.45" customHeight="1">
      <c r="A1413"/>
      <c r="AC1413"/>
      <c r="AD1413"/>
    </row>
    <row r="1414" spans="1:30" ht="41.45" customHeight="1">
      <c r="A1414"/>
      <c r="AC1414"/>
      <c r="AD1414"/>
    </row>
    <row r="1415" spans="1:30" ht="41.45" customHeight="1">
      <c r="A1415"/>
      <c r="AC1415"/>
      <c r="AD1415"/>
    </row>
    <row r="1416" spans="1:30" ht="41.45" customHeight="1">
      <c r="A1416"/>
      <c r="AC1416"/>
      <c r="AD1416"/>
    </row>
    <row r="1417" spans="1:30" ht="41.45" customHeight="1">
      <c r="A1417"/>
      <c r="AC1417"/>
      <c r="AD1417"/>
    </row>
    <row r="1418" spans="1:30" ht="41.45" customHeight="1">
      <c r="A1418"/>
      <c r="AC1418"/>
      <c r="AD1418"/>
    </row>
    <row r="1419" spans="1:30" ht="41.45" customHeight="1">
      <c r="A1419"/>
      <c r="AC1419"/>
      <c r="AD1419"/>
    </row>
    <row r="1420" spans="1:30" ht="41.45" customHeight="1">
      <c r="A1420"/>
      <c r="AC1420"/>
      <c r="AD1420"/>
    </row>
    <row r="1421" spans="1:30" ht="41.45" customHeight="1">
      <c r="A1421"/>
      <c r="AC1421"/>
      <c r="AD1421"/>
    </row>
    <row r="1422" spans="1:30" ht="41.45" customHeight="1">
      <c r="A1422"/>
      <c r="AC1422"/>
      <c r="AD1422"/>
    </row>
    <row r="1423" spans="1:30" ht="41.45" customHeight="1">
      <c r="A1423"/>
      <c r="AC1423"/>
      <c r="AD1423"/>
    </row>
    <row r="1424" spans="1:30" ht="41.45" customHeight="1">
      <c r="A1424"/>
      <c r="AC1424"/>
      <c r="AD1424"/>
    </row>
    <row r="1425" spans="1:30" ht="41.45" customHeight="1">
      <c r="A1425"/>
      <c r="AC1425"/>
      <c r="AD1425"/>
    </row>
    <row r="1426" spans="1:30" ht="41.45" customHeight="1">
      <c r="A1426"/>
      <c r="AC1426"/>
      <c r="AD1426"/>
    </row>
    <row r="1427" spans="1:30" ht="41.45" customHeight="1">
      <c r="A1427"/>
      <c r="AC1427"/>
      <c r="AD1427"/>
    </row>
    <row r="1428" spans="1:30" ht="41.45" customHeight="1">
      <c r="A1428"/>
      <c r="AC1428"/>
      <c r="AD1428"/>
    </row>
    <row r="1429" spans="1:30" ht="41.45" customHeight="1">
      <c r="A1429"/>
      <c r="AC1429"/>
      <c r="AD1429"/>
    </row>
    <row r="1430" spans="1:30" ht="41.45" customHeight="1">
      <c r="A1430"/>
      <c r="AC1430"/>
      <c r="AD1430"/>
    </row>
    <row r="1431" spans="1:30" ht="41.45" customHeight="1">
      <c r="A1431"/>
      <c r="AC1431"/>
      <c r="AD1431"/>
    </row>
    <row r="1432" spans="1:30" ht="41.45" customHeight="1">
      <c r="A1432"/>
      <c r="AC1432"/>
      <c r="AD1432"/>
    </row>
    <row r="1433" spans="1:30" ht="41.45" customHeight="1">
      <c r="A1433"/>
      <c r="AC1433"/>
      <c r="AD1433"/>
    </row>
    <row r="1434" spans="1:30" ht="41.45" customHeight="1">
      <c r="A1434"/>
      <c r="AC1434"/>
      <c r="AD1434"/>
    </row>
    <row r="1435" spans="1:30" ht="41.45" customHeight="1">
      <c r="A1435"/>
      <c r="AC1435"/>
      <c r="AD1435"/>
    </row>
    <row r="1436" spans="1:30" ht="41.45" customHeight="1">
      <c r="A1436"/>
      <c r="AC1436"/>
      <c r="AD1436"/>
    </row>
    <row r="1437" spans="1:30" ht="41.45" customHeight="1">
      <c r="A1437"/>
      <c r="AC1437"/>
      <c r="AD1437"/>
    </row>
    <row r="1438" spans="1:30" ht="41.45" customHeight="1">
      <c r="A1438"/>
      <c r="AC1438"/>
      <c r="AD1438"/>
    </row>
    <row r="1439" spans="1:30" ht="41.45" customHeight="1">
      <c r="A1439"/>
      <c r="AC1439"/>
      <c r="AD1439"/>
    </row>
    <row r="1440" spans="1:30" ht="41.45" customHeight="1">
      <c r="A1440"/>
      <c r="AC1440"/>
      <c r="AD1440"/>
    </row>
    <row r="1441" spans="1:30" ht="41.45" customHeight="1">
      <c r="A1441"/>
      <c r="AC1441"/>
      <c r="AD1441"/>
    </row>
    <row r="1442" spans="1:30" ht="41.45" customHeight="1">
      <c r="A1442"/>
      <c r="AC1442"/>
      <c r="AD1442"/>
    </row>
    <row r="1443" spans="1:30" ht="41.45" customHeight="1">
      <c r="A1443"/>
      <c r="AC1443"/>
      <c r="AD1443"/>
    </row>
    <row r="1444" spans="1:30" ht="41.45" customHeight="1">
      <c r="A1444"/>
      <c r="AC1444"/>
      <c r="AD1444"/>
    </row>
    <row r="1445" spans="1:30" ht="41.45" customHeight="1">
      <c r="A1445"/>
      <c r="AC1445"/>
      <c r="AD1445"/>
    </row>
    <row r="1446" spans="1:30" ht="41.45" customHeight="1">
      <c r="A1446"/>
      <c r="AC1446"/>
      <c r="AD1446"/>
    </row>
    <row r="1447" spans="1:30" ht="41.45" customHeight="1">
      <c r="A1447"/>
      <c r="AC1447"/>
      <c r="AD1447"/>
    </row>
    <row r="1448" spans="1:30" ht="41.45" customHeight="1">
      <c r="A1448"/>
      <c r="AC1448"/>
      <c r="AD1448"/>
    </row>
    <row r="1449" spans="1:30" ht="41.45" customHeight="1">
      <c r="A1449"/>
      <c r="AC1449"/>
      <c r="AD1449"/>
    </row>
    <row r="1450" spans="1:30" ht="41.45" customHeight="1">
      <c r="A1450"/>
      <c r="AC1450"/>
      <c r="AD1450"/>
    </row>
    <row r="1451" spans="1:30" ht="41.45" customHeight="1">
      <c r="A1451"/>
      <c r="AC1451"/>
      <c r="AD1451"/>
    </row>
    <row r="1452" spans="1:30" ht="41.45" customHeight="1">
      <c r="A1452"/>
      <c r="AC1452"/>
      <c r="AD1452"/>
    </row>
    <row r="1453" spans="1:30" ht="41.45" customHeight="1">
      <c r="A1453"/>
      <c r="AC1453"/>
      <c r="AD1453"/>
    </row>
    <row r="1454" spans="1:30" ht="41.45" customHeight="1">
      <c r="A1454"/>
      <c r="AC1454"/>
      <c r="AD1454"/>
    </row>
    <row r="1455" spans="1:30" ht="41.45" customHeight="1">
      <c r="A1455"/>
      <c r="AC1455"/>
      <c r="AD1455"/>
    </row>
    <row r="1456" spans="1:30" ht="41.45" customHeight="1">
      <c r="A1456"/>
      <c r="AC1456"/>
      <c r="AD1456"/>
    </row>
    <row r="1457" spans="1:30" ht="41.45" customHeight="1">
      <c r="A1457"/>
      <c r="AC1457"/>
      <c r="AD1457"/>
    </row>
    <row r="1458" spans="1:30" ht="41.45" customHeight="1">
      <c r="A1458"/>
      <c r="AC1458"/>
      <c r="AD1458"/>
    </row>
    <row r="1459" spans="1:30" ht="41.45" customHeight="1">
      <c r="A1459"/>
      <c r="AC1459"/>
      <c r="AD1459"/>
    </row>
    <row r="1460" spans="1:30" ht="41.45" customHeight="1">
      <c r="A1460"/>
      <c r="AC1460"/>
      <c r="AD1460"/>
    </row>
    <row r="1461" spans="1:30" ht="41.45" customHeight="1">
      <c r="A1461"/>
      <c r="AC1461"/>
      <c r="AD1461"/>
    </row>
    <row r="1462" spans="1:30" ht="41.45" customHeight="1">
      <c r="A1462"/>
      <c r="AC1462"/>
      <c r="AD1462"/>
    </row>
    <row r="1463" spans="1:30" ht="41.45" customHeight="1">
      <c r="A1463"/>
      <c r="AC1463"/>
      <c r="AD1463"/>
    </row>
    <row r="1464" spans="1:30" ht="41.45" customHeight="1">
      <c r="A1464"/>
      <c r="AC1464"/>
      <c r="AD1464"/>
    </row>
    <row r="1465" spans="1:30" ht="41.45" customHeight="1">
      <c r="A1465"/>
      <c r="AC1465"/>
      <c r="AD1465"/>
    </row>
    <row r="1466" spans="1:30" ht="41.45" customHeight="1">
      <c r="A1466"/>
      <c r="AC1466"/>
      <c r="AD1466"/>
    </row>
    <row r="1467" spans="1:30" ht="41.45" customHeight="1">
      <c r="A1467"/>
      <c r="AC1467"/>
      <c r="AD1467"/>
    </row>
    <row r="1468" spans="1:30" ht="41.45" customHeight="1">
      <c r="A1468"/>
      <c r="AC1468"/>
      <c r="AD1468"/>
    </row>
    <row r="1469" spans="1:30" ht="41.45" customHeight="1">
      <c r="A1469"/>
      <c r="AC1469"/>
      <c r="AD1469"/>
    </row>
    <row r="1470" spans="1:30" ht="41.45" customHeight="1">
      <c r="A1470"/>
      <c r="AC1470"/>
      <c r="AD1470"/>
    </row>
    <row r="1471" spans="1:30" ht="41.45" customHeight="1">
      <c r="A1471"/>
      <c r="AC1471"/>
      <c r="AD1471"/>
    </row>
    <row r="1472" spans="1:30" ht="41.45" customHeight="1">
      <c r="A1472"/>
      <c r="AC1472"/>
      <c r="AD1472"/>
    </row>
    <row r="1473" spans="1:30" ht="41.45" customHeight="1">
      <c r="A1473"/>
      <c r="AC1473"/>
      <c r="AD1473"/>
    </row>
    <row r="1474" spans="1:30" ht="41.45" customHeight="1">
      <c r="A1474"/>
      <c r="AC1474"/>
      <c r="AD1474"/>
    </row>
    <row r="1475" spans="1:30" ht="41.45" customHeight="1">
      <c r="A1475"/>
      <c r="AC1475"/>
      <c r="AD1475"/>
    </row>
    <row r="1476" spans="1:30" ht="41.45" customHeight="1">
      <c r="A1476"/>
      <c r="AC1476"/>
      <c r="AD1476"/>
    </row>
    <row r="1477" spans="1:30" ht="41.45" customHeight="1">
      <c r="A1477"/>
      <c r="AC1477"/>
      <c r="AD1477"/>
    </row>
    <row r="1478" spans="1:30" ht="41.45" customHeight="1">
      <c r="A1478"/>
      <c r="AC1478"/>
      <c r="AD1478"/>
    </row>
    <row r="1479" spans="1:30" ht="41.45" customHeight="1">
      <c r="A1479"/>
      <c r="AC1479"/>
      <c r="AD1479"/>
    </row>
    <row r="1480" spans="1:30" ht="41.45" customHeight="1">
      <c r="A1480"/>
      <c r="AC1480"/>
      <c r="AD1480"/>
    </row>
    <row r="1481" spans="1:30" ht="41.45" customHeight="1">
      <c r="A1481"/>
      <c r="AC1481"/>
      <c r="AD1481"/>
    </row>
    <row r="1482" spans="1:30" ht="41.45" customHeight="1">
      <c r="A1482"/>
      <c r="AC1482"/>
      <c r="AD1482"/>
    </row>
    <row r="1483" spans="1:30" ht="41.45" customHeight="1">
      <c r="A1483"/>
      <c r="AC1483"/>
      <c r="AD1483"/>
    </row>
    <row r="1484" spans="1:30" ht="41.45" customHeight="1">
      <c r="A1484"/>
      <c r="AC1484"/>
      <c r="AD1484"/>
    </row>
    <row r="1485" spans="1:30" ht="41.45" customHeight="1">
      <c r="A1485"/>
      <c r="AC1485"/>
      <c r="AD1485"/>
    </row>
    <row r="1486" spans="1:30" ht="41.45" customHeight="1">
      <c r="A1486"/>
      <c r="AC1486"/>
      <c r="AD1486"/>
    </row>
    <row r="1487" spans="1:30" ht="41.45" customHeight="1">
      <c r="A1487"/>
      <c r="AC1487"/>
      <c r="AD1487"/>
    </row>
    <row r="1488" spans="1:30" ht="41.45" customHeight="1">
      <c r="A1488"/>
      <c r="AC1488"/>
      <c r="AD1488"/>
    </row>
    <row r="1489" spans="1:30" ht="41.45" customHeight="1">
      <c r="A1489"/>
      <c r="AC1489"/>
      <c r="AD1489"/>
    </row>
    <row r="1490" spans="1:30" ht="41.45" customHeight="1">
      <c r="A1490"/>
      <c r="AC1490"/>
      <c r="AD1490"/>
    </row>
    <row r="1491" spans="1:30" ht="41.45" customHeight="1">
      <c r="A1491"/>
      <c r="AC1491"/>
      <c r="AD1491"/>
    </row>
    <row r="1492" spans="1:30" ht="41.45" customHeight="1">
      <c r="A1492"/>
      <c r="AC1492"/>
      <c r="AD1492"/>
    </row>
    <row r="1493" spans="1:30" ht="41.45" customHeight="1">
      <c r="A1493"/>
      <c r="AC1493"/>
      <c r="AD1493"/>
    </row>
    <row r="1494" spans="1:30" ht="41.45" customHeight="1">
      <c r="A1494"/>
      <c r="AC1494"/>
      <c r="AD1494"/>
    </row>
    <row r="1495" spans="1:30" ht="41.45" customHeight="1">
      <c r="A1495"/>
      <c r="AC1495"/>
      <c r="AD1495"/>
    </row>
    <row r="1496" spans="1:30" ht="41.45" customHeight="1">
      <c r="A1496"/>
      <c r="AC1496"/>
      <c r="AD1496"/>
    </row>
    <row r="1497" spans="1:30" ht="41.45" customHeight="1">
      <c r="A1497"/>
      <c r="AC1497"/>
      <c r="AD1497"/>
    </row>
    <row r="1498" spans="1:30" ht="41.45" customHeight="1">
      <c r="A1498"/>
      <c r="AC1498"/>
      <c r="AD1498"/>
    </row>
    <row r="1499" spans="1:30" ht="41.45" customHeight="1">
      <c r="A1499"/>
      <c r="AC1499"/>
      <c r="AD1499"/>
    </row>
    <row r="1500" spans="1:30" ht="41.45" customHeight="1">
      <c r="A1500"/>
      <c r="AC1500"/>
      <c r="AD1500"/>
    </row>
    <row r="1501" spans="1:30" ht="41.45" customHeight="1">
      <c r="A1501"/>
      <c r="AC1501"/>
      <c r="AD1501"/>
    </row>
    <row r="1502" spans="1:30" ht="41.45" customHeight="1">
      <c r="A1502"/>
      <c r="AC1502"/>
      <c r="AD1502"/>
    </row>
    <row r="1503" spans="1:30" ht="41.45" customHeight="1">
      <c r="A1503"/>
      <c r="AC1503"/>
      <c r="AD1503"/>
    </row>
    <row r="1504" spans="1:30" ht="41.45" customHeight="1">
      <c r="A1504"/>
      <c r="AC1504"/>
      <c r="AD1504"/>
    </row>
    <row r="1505" spans="1:30" ht="41.45" customHeight="1">
      <c r="A1505"/>
      <c r="AC1505"/>
      <c r="AD1505"/>
    </row>
    <row r="1506" spans="1:30" ht="41.45" customHeight="1">
      <c r="A1506"/>
      <c r="AC1506"/>
      <c r="AD1506"/>
    </row>
    <row r="1507" spans="1:30" ht="41.45" customHeight="1">
      <c r="A1507"/>
      <c r="AC1507"/>
      <c r="AD1507"/>
    </row>
    <row r="1508" spans="1:30" ht="41.45" customHeight="1">
      <c r="A1508"/>
      <c r="AC1508"/>
      <c r="AD1508"/>
    </row>
    <row r="1509" spans="1:30" ht="41.45" customHeight="1">
      <c r="A1509"/>
      <c r="AC1509"/>
      <c r="AD1509"/>
    </row>
    <row r="1510" spans="1:30" ht="41.45" customHeight="1">
      <c r="A1510"/>
      <c r="AC1510"/>
      <c r="AD1510"/>
    </row>
    <row r="1511" spans="1:30" ht="41.45" customHeight="1">
      <c r="A1511"/>
      <c r="AC1511"/>
      <c r="AD1511"/>
    </row>
    <row r="1512" spans="1:30" ht="41.45" customHeight="1">
      <c r="A1512"/>
      <c r="AC1512"/>
      <c r="AD1512"/>
    </row>
    <row r="1513" spans="1:30" ht="41.45" customHeight="1">
      <c r="A1513"/>
      <c r="AC1513"/>
      <c r="AD1513"/>
    </row>
    <row r="1514" spans="1:30" ht="41.45" customHeight="1">
      <c r="A1514"/>
      <c r="AC1514"/>
      <c r="AD1514"/>
    </row>
    <row r="1515" spans="1:30" ht="41.45" customHeight="1">
      <c r="A1515"/>
      <c r="AC1515"/>
      <c r="AD1515"/>
    </row>
    <row r="1516" spans="1:30" ht="41.45" customHeight="1">
      <c r="A1516"/>
      <c r="AC1516"/>
      <c r="AD1516"/>
    </row>
    <row r="1517" spans="1:30" ht="41.45" customHeight="1">
      <c r="A1517"/>
      <c r="AC1517"/>
      <c r="AD1517"/>
    </row>
    <row r="1518" spans="1:30" ht="41.45" customHeight="1">
      <c r="A1518"/>
      <c r="AC1518"/>
      <c r="AD1518"/>
    </row>
    <row r="1519" spans="1:30" ht="41.45" customHeight="1">
      <c r="A1519"/>
      <c r="AC1519"/>
      <c r="AD1519"/>
    </row>
    <row r="1520" spans="1:30" ht="41.45" customHeight="1">
      <c r="A1520"/>
      <c r="AC1520"/>
      <c r="AD1520"/>
    </row>
    <row r="1521" spans="1:30" ht="41.45" customHeight="1">
      <c r="A1521"/>
      <c r="AC1521"/>
      <c r="AD1521"/>
    </row>
    <row r="1522" spans="1:30" ht="41.45" customHeight="1">
      <c r="A1522"/>
      <c r="AC1522"/>
      <c r="AD1522"/>
    </row>
    <row r="1523" spans="1:30" ht="41.45" customHeight="1">
      <c r="A1523"/>
      <c r="AC1523"/>
      <c r="AD1523"/>
    </row>
    <row r="1524" spans="1:30" ht="41.45" customHeight="1">
      <c r="A1524"/>
      <c r="AC1524"/>
      <c r="AD1524"/>
    </row>
    <row r="1525" spans="1:30" ht="41.45" customHeight="1">
      <c r="A1525"/>
      <c r="AC1525"/>
      <c r="AD1525"/>
    </row>
    <row r="1526" spans="1:30" ht="41.45" customHeight="1">
      <c r="A1526"/>
      <c r="AC1526"/>
      <c r="AD1526"/>
    </row>
    <row r="1527" spans="1:30" ht="41.45" customHeight="1">
      <c r="A1527"/>
      <c r="AC1527"/>
      <c r="AD1527"/>
    </row>
    <row r="1528" spans="1:30" ht="41.45" customHeight="1">
      <c r="A1528"/>
      <c r="AC1528"/>
      <c r="AD1528"/>
    </row>
    <row r="1529" spans="1:30" ht="41.45" customHeight="1">
      <c r="A1529"/>
      <c r="AC1529"/>
      <c r="AD1529"/>
    </row>
    <row r="1530" spans="1:30" ht="41.45" customHeight="1">
      <c r="A1530"/>
      <c r="AC1530"/>
      <c r="AD1530"/>
    </row>
    <row r="1531" spans="1:30" ht="41.45" customHeight="1">
      <c r="A1531"/>
      <c r="AC1531"/>
      <c r="AD1531"/>
    </row>
    <row r="1532" spans="1:30" ht="41.45" customHeight="1">
      <c r="A1532"/>
      <c r="AC1532"/>
      <c r="AD1532"/>
    </row>
    <row r="1533" spans="1:30" ht="41.45" customHeight="1">
      <c r="A1533"/>
      <c r="AC1533"/>
      <c r="AD1533"/>
    </row>
    <row r="1534" spans="1:30" ht="41.45" customHeight="1">
      <c r="A1534"/>
      <c r="AC1534"/>
      <c r="AD1534"/>
    </row>
    <row r="1535" spans="1:30" ht="41.45" customHeight="1">
      <c r="A1535"/>
      <c r="AC1535"/>
      <c r="AD1535"/>
    </row>
    <row r="1536" spans="1:30" ht="41.45" customHeight="1">
      <c r="A1536"/>
      <c r="AC1536"/>
      <c r="AD1536"/>
    </row>
    <row r="1537" spans="1:30" ht="41.45" customHeight="1">
      <c r="A1537"/>
      <c r="AC1537"/>
      <c r="AD1537"/>
    </row>
    <row r="1538" spans="1:30" ht="41.45" customHeight="1">
      <c r="A1538"/>
      <c r="AC1538"/>
      <c r="AD1538"/>
    </row>
    <row r="1539" spans="1:30" ht="41.45" customHeight="1">
      <c r="A1539"/>
      <c r="AC1539"/>
      <c r="AD1539"/>
    </row>
    <row r="1540" spans="1:30" ht="41.45" customHeight="1">
      <c r="A1540"/>
      <c r="AC1540"/>
      <c r="AD1540"/>
    </row>
    <row r="1541" spans="1:30" ht="41.45" customHeight="1">
      <c r="A1541"/>
      <c r="AC1541"/>
      <c r="AD1541"/>
    </row>
    <row r="1542" spans="1:30" ht="41.45" customHeight="1">
      <c r="A1542"/>
      <c r="AC1542"/>
      <c r="AD1542"/>
    </row>
    <row r="1543" spans="1:30" ht="41.45" customHeight="1">
      <c r="A1543"/>
      <c r="AC1543"/>
      <c r="AD1543"/>
    </row>
    <row r="1544" spans="1:30" ht="41.45" customHeight="1">
      <c r="A1544"/>
      <c r="AC1544"/>
      <c r="AD1544"/>
    </row>
    <row r="1545" spans="1:30" ht="41.45" customHeight="1">
      <c r="A1545"/>
      <c r="AC1545"/>
      <c r="AD1545"/>
    </row>
    <row r="1546" spans="1:30" ht="41.45" customHeight="1">
      <c r="A1546"/>
      <c r="AC1546"/>
      <c r="AD1546"/>
    </row>
    <row r="1547" spans="1:30" ht="41.45" customHeight="1">
      <c r="A1547"/>
      <c r="AC1547"/>
      <c r="AD1547"/>
    </row>
    <row r="1548" spans="1:30" ht="41.45" customHeight="1">
      <c r="A1548"/>
      <c r="AC1548"/>
      <c r="AD1548"/>
    </row>
    <row r="1549" spans="1:30" ht="41.45" customHeight="1">
      <c r="A1549"/>
      <c r="AC1549"/>
      <c r="AD1549"/>
    </row>
    <row r="1550" spans="1:30" ht="41.45" customHeight="1">
      <c r="A1550"/>
      <c r="AC1550"/>
      <c r="AD1550"/>
    </row>
    <row r="1551" spans="1:30" ht="41.45" customHeight="1">
      <c r="A1551"/>
      <c r="AC1551"/>
      <c r="AD1551"/>
    </row>
    <row r="1552" spans="1:30" ht="41.45" customHeight="1">
      <c r="A1552"/>
      <c r="AC1552"/>
      <c r="AD1552"/>
    </row>
    <row r="1553" spans="1:30" ht="41.45" customHeight="1">
      <c r="A1553"/>
      <c r="AC1553"/>
      <c r="AD1553"/>
    </row>
    <row r="1554" spans="1:30" ht="41.45" customHeight="1">
      <c r="A1554"/>
      <c r="AC1554"/>
      <c r="AD1554"/>
    </row>
    <row r="1555" spans="1:30" ht="41.45" customHeight="1">
      <c r="A1555"/>
      <c r="AC1555"/>
      <c r="AD1555"/>
    </row>
    <row r="1556" spans="1:30" ht="41.45" customHeight="1">
      <c r="A1556"/>
      <c r="AC1556"/>
      <c r="AD1556"/>
    </row>
    <row r="1557" spans="1:30" ht="41.45" customHeight="1">
      <c r="A1557"/>
      <c r="AC1557"/>
      <c r="AD1557"/>
    </row>
    <row r="1558" spans="1:30" ht="41.45" customHeight="1">
      <c r="A1558"/>
      <c r="AC1558"/>
      <c r="AD1558"/>
    </row>
    <row r="1559" spans="1:30" ht="41.45" customHeight="1">
      <c r="A1559"/>
      <c r="AC1559"/>
      <c r="AD1559"/>
    </row>
    <row r="1560" spans="1:30" ht="41.45" customHeight="1">
      <c r="A1560"/>
      <c r="AC1560"/>
      <c r="AD1560"/>
    </row>
    <row r="1561" spans="1:30" ht="41.45" customHeight="1">
      <c r="A1561"/>
      <c r="AC1561"/>
      <c r="AD1561"/>
    </row>
    <row r="1562" spans="1:30" ht="41.45" customHeight="1">
      <c r="A1562"/>
      <c r="AC1562"/>
      <c r="AD1562"/>
    </row>
    <row r="1563" spans="1:30" ht="41.45" customHeight="1">
      <c r="A1563"/>
      <c r="AC1563"/>
      <c r="AD1563"/>
    </row>
    <row r="1564" spans="1:30" ht="41.45" customHeight="1">
      <c r="A1564"/>
      <c r="AC1564"/>
      <c r="AD1564"/>
    </row>
    <row r="1565" spans="1:30" ht="41.45" customHeight="1">
      <c r="A1565"/>
      <c r="AC1565"/>
      <c r="AD1565"/>
    </row>
    <row r="1566" spans="1:30" ht="41.45" customHeight="1">
      <c r="A1566"/>
      <c r="AC1566"/>
      <c r="AD1566"/>
    </row>
    <row r="1567" spans="1:30" ht="41.45" customHeight="1">
      <c r="A1567"/>
      <c r="AC1567"/>
      <c r="AD1567"/>
    </row>
    <row r="1568" spans="1:30" ht="41.45" customHeight="1">
      <c r="A1568"/>
      <c r="AC1568"/>
      <c r="AD1568"/>
    </row>
    <row r="1569" spans="1:30" ht="41.45" customHeight="1">
      <c r="A1569"/>
      <c r="AC1569"/>
      <c r="AD1569"/>
    </row>
    <row r="1570" spans="1:30" ht="41.45" customHeight="1">
      <c r="A1570"/>
      <c r="AC1570"/>
      <c r="AD1570"/>
    </row>
    <row r="1571" spans="1:30" ht="41.45" customHeight="1">
      <c r="A1571"/>
      <c r="AC1571"/>
      <c r="AD1571"/>
    </row>
    <row r="1572" spans="1:30" ht="41.45" customHeight="1">
      <c r="A1572"/>
      <c r="AC1572"/>
      <c r="AD1572"/>
    </row>
    <row r="1573" spans="1:30" ht="41.45" customHeight="1">
      <c r="A1573"/>
      <c r="AC1573"/>
      <c r="AD1573"/>
    </row>
    <row r="1574" spans="1:30" ht="41.45" customHeight="1">
      <c r="A1574"/>
      <c r="AC1574"/>
      <c r="AD1574"/>
    </row>
    <row r="1575" spans="1:30" ht="41.45" customHeight="1">
      <c r="A1575"/>
      <c r="AC1575"/>
      <c r="AD1575"/>
    </row>
    <row r="1576" spans="1:30" ht="41.45" customHeight="1">
      <c r="A1576"/>
      <c r="AC1576"/>
      <c r="AD1576"/>
    </row>
    <row r="1577" spans="1:30" ht="41.45" customHeight="1">
      <c r="A1577"/>
      <c r="AC1577"/>
      <c r="AD1577"/>
    </row>
    <row r="1578" spans="1:30" ht="41.45" customHeight="1">
      <c r="A1578"/>
      <c r="AC1578"/>
      <c r="AD1578"/>
    </row>
    <row r="1579" spans="1:30" ht="41.45" customHeight="1">
      <c r="A1579"/>
      <c r="AC1579"/>
      <c r="AD1579"/>
    </row>
    <row r="1580" spans="1:30" ht="41.45" customHeight="1">
      <c r="A1580"/>
      <c r="AC1580"/>
      <c r="AD1580"/>
    </row>
    <row r="1581" spans="1:30" ht="41.45" customHeight="1">
      <c r="A1581"/>
      <c r="AC1581"/>
      <c r="AD1581"/>
    </row>
    <row r="1582" spans="1:30" ht="41.45" customHeight="1">
      <c r="A1582"/>
      <c r="AC1582"/>
      <c r="AD1582"/>
    </row>
    <row r="1583" spans="1:30" ht="41.45" customHeight="1">
      <c r="A1583"/>
      <c r="AC1583"/>
      <c r="AD1583"/>
    </row>
    <row r="1584" spans="1:30" ht="41.45" customHeight="1">
      <c r="A1584"/>
      <c r="AC1584"/>
      <c r="AD1584"/>
    </row>
    <row r="1585" spans="1:30" ht="41.45" customHeight="1">
      <c r="A1585"/>
      <c r="AC1585"/>
      <c r="AD1585"/>
    </row>
    <row r="1586" spans="1:30" ht="41.45" customHeight="1">
      <c r="A1586"/>
      <c r="AC1586"/>
      <c r="AD1586"/>
    </row>
    <row r="1587" spans="1:30" ht="41.45" customHeight="1">
      <c r="A1587"/>
      <c r="AC1587"/>
      <c r="AD1587"/>
    </row>
    <row r="1588" spans="1:30" ht="41.45" customHeight="1">
      <c r="A1588"/>
      <c r="AC1588"/>
      <c r="AD1588"/>
    </row>
    <row r="1589" spans="1:30" ht="41.45" customHeight="1">
      <c r="A1589"/>
      <c r="AC1589"/>
      <c r="AD1589"/>
    </row>
    <row r="1590" spans="1:30" ht="41.45" customHeight="1">
      <c r="A1590"/>
      <c r="AC1590"/>
      <c r="AD1590"/>
    </row>
    <row r="1591" spans="1:30" ht="41.45" customHeight="1">
      <c r="A1591"/>
      <c r="AC1591"/>
      <c r="AD1591"/>
    </row>
    <row r="1592" spans="1:30" ht="41.45" customHeight="1">
      <c r="A1592"/>
      <c r="AC1592"/>
      <c r="AD1592"/>
    </row>
    <row r="1593" spans="1:30" ht="41.45" customHeight="1">
      <c r="A1593"/>
      <c r="AC1593"/>
      <c r="AD1593"/>
    </row>
    <row r="1594" spans="1:30" ht="41.45" customHeight="1">
      <c r="A1594"/>
      <c r="AC1594"/>
      <c r="AD1594"/>
    </row>
    <row r="1595" spans="1:30" ht="41.45" customHeight="1">
      <c r="A1595"/>
      <c r="AC1595"/>
      <c r="AD1595"/>
    </row>
    <row r="1596" spans="1:30" ht="41.45" customHeight="1">
      <c r="A1596"/>
      <c r="AC1596"/>
      <c r="AD1596"/>
    </row>
    <row r="1597" spans="1:30" ht="41.45" customHeight="1">
      <c r="A1597"/>
      <c r="AC1597"/>
      <c r="AD1597"/>
    </row>
    <row r="1598" spans="1:30" ht="41.45" customHeight="1">
      <c r="A1598"/>
      <c r="AC1598"/>
      <c r="AD1598"/>
    </row>
    <row r="1599" spans="1:30" ht="41.45" customHeight="1">
      <c r="A1599"/>
      <c r="AC1599"/>
      <c r="AD1599"/>
    </row>
    <row r="1600" spans="1:30" ht="41.45" customHeight="1">
      <c r="A1600"/>
      <c r="AC1600"/>
      <c r="AD1600"/>
    </row>
    <row r="1601" spans="1:30" ht="41.45" customHeight="1">
      <c r="A1601"/>
      <c r="AC1601"/>
      <c r="AD1601"/>
    </row>
    <row r="1602" spans="1:30" ht="41.45" customHeight="1">
      <c r="A1602"/>
      <c r="AC1602"/>
      <c r="AD1602"/>
    </row>
    <row r="1603" spans="1:30" ht="41.45" customHeight="1">
      <c r="A1603"/>
      <c r="AC1603"/>
      <c r="AD1603"/>
    </row>
    <row r="1604" spans="1:30" ht="41.45" customHeight="1">
      <c r="A1604"/>
      <c r="AC1604"/>
      <c r="AD1604"/>
    </row>
    <row r="1605" spans="1:30" ht="41.45" customHeight="1">
      <c r="A1605"/>
      <c r="AC1605"/>
      <c r="AD1605"/>
    </row>
    <row r="1606" spans="1:30" ht="41.45" customHeight="1">
      <c r="A1606"/>
      <c r="AC1606"/>
      <c r="AD1606"/>
    </row>
    <row r="1607" spans="1:30" ht="41.45" customHeight="1">
      <c r="A1607"/>
      <c r="AC1607"/>
      <c r="AD1607"/>
    </row>
    <row r="1608" spans="1:30" ht="41.45" customHeight="1">
      <c r="A1608"/>
      <c r="AC1608"/>
      <c r="AD1608"/>
    </row>
    <row r="1609" spans="1:30" ht="41.45" customHeight="1">
      <c r="A1609"/>
      <c r="AC1609"/>
      <c r="AD1609"/>
    </row>
    <row r="1610" spans="1:30" ht="41.45" customHeight="1">
      <c r="A1610"/>
      <c r="AC1610"/>
      <c r="AD1610"/>
    </row>
    <row r="1611" spans="1:30" ht="41.45" customHeight="1">
      <c r="A1611"/>
      <c r="AC1611"/>
      <c r="AD1611"/>
    </row>
    <row r="1612" spans="1:30" ht="41.45" customHeight="1">
      <c r="A1612"/>
      <c r="AC1612"/>
      <c r="AD1612"/>
    </row>
    <row r="1613" spans="1:30" ht="41.45" customHeight="1">
      <c r="A1613"/>
      <c r="AC1613"/>
      <c r="AD1613"/>
    </row>
    <row r="1614" spans="1:30" ht="41.45" customHeight="1">
      <c r="A1614"/>
      <c r="AC1614"/>
      <c r="AD1614"/>
    </row>
    <row r="1615" spans="1:30" ht="41.45" customHeight="1">
      <c r="A1615"/>
      <c r="AC1615"/>
      <c r="AD1615"/>
    </row>
    <row r="1616" spans="1:30" ht="41.45" customHeight="1">
      <c r="A1616"/>
      <c r="AC1616"/>
      <c r="AD1616"/>
    </row>
    <row r="1617" spans="1:30" ht="41.45" customHeight="1">
      <c r="A1617"/>
      <c r="AC1617"/>
      <c r="AD1617"/>
    </row>
    <row r="1618" spans="1:30" ht="41.45" customHeight="1">
      <c r="A1618"/>
      <c r="AC1618"/>
      <c r="AD1618"/>
    </row>
    <row r="1619" spans="1:30" ht="41.45" customHeight="1">
      <c r="A1619"/>
      <c r="AC1619"/>
      <c r="AD1619"/>
    </row>
    <row r="1620" spans="1:30" ht="41.45" customHeight="1">
      <c r="A1620"/>
      <c r="AC1620"/>
      <c r="AD1620"/>
    </row>
    <row r="1621" spans="1:30" ht="41.45" customHeight="1">
      <c r="A1621"/>
      <c r="AC1621"/>
      <c r="AD1621"/>
    </row>
    <row r="1622" spans="1:30" ht="41.45" customHeight="1">
      <c r="A1622"/>
      <c r="AC1622"/>
      <c r="AD1622"/>
    </row>
    <row r="1623" spans="1:30" ht="41.45" customHeight="1">
      <c r="A1623"/>
      <c r="AC1623"/>
      <c r="AD1623"/>
    </row>
    <row r="1624" spans="1:30" ht="41.45" customHeight="1">
      <c r="A1624"/>
      <c r="AC1624"/>
      <c r="AD1624"/>
    </row>
    <row r="1625" spans="1:30" ht="41.45" customHeight="1">
      <c r="A1625"/>
      <c r="AC1625"/>
      <c r="AD1625"/>
    </row>
    <row r="1626" spans="1:30" ht="41.45" customHeight="1">
      <c r="A1626"/>
      <c r="AC1626"/>
      <c r="AD1626"/>
    </row>
    <row r="1627" spans="1:30" ht="41.45" customHeight="1">
      <c r="A1627"/>
      <c r="AC1627"/>
      <c r="AD1627"/>
    </row>
    <row r="1628" spans="1:30" ht="41.45" customHeight="1">
      <c r="A1628"/>
      <c r="AC1628"/>
      <c r="AD1628"/>
    </row>
    <row r="1629" spans="1:30" ht="41.45" customHeight="1">
      <c r="A1629"/>
      <c r="AC1629"/>
      <c r="AD1629"/>
    </row>
    <row r="1630" spans="1:30" ht="41.45" customHeight="1">
      <c r="A1630"/>
      <c r="AC1630"/>
      <c r="AD1630"/>
    </row>
    <row r="1631" spans="1:30" ht="41.45" customHeight="1">
      <c r="A1631"/>
      <c r="AC1631"/>
      <c r="AD1631"/>
    </row>
    <row r="1632" spans="1:30" ht="41.45" customHeight="1">
      <c r="A1632"/>
      <c r="AC1632"/>
      <c r="AD1632"/>
    </row>
    <row r="1633" spans="1:30" ht="41.45" customHeight="1">
      <c r="A1633"/>
      <c r="AC1633"/>
      <c r="AD1633"/>
    </row>
    <row r="1634" spans="1:30" ht="41.45" customHeight="1">
      <c r="A1634"/>
      <c r="AC1634"/>
      <c r="AD1634"/>
    </row>
    <row r="1635" spans="1:30" ht="41.45" customHeight="1">
      <c r="A1635"/>
      <c r="AC1635"/>
      <c r="AD1635"/>
    </row>
    <row r="1636" spans="1:30" ht="41.45" customHeight="1">
      <c r="A1636"/>
      <c r="AC1636"/>
      <c r="AD1636"/>
    </row>
    <row r="1637" spans="1:30" ht="41.45" customHeight="1">
      <c r="A1637"/>
      <c r="AC1637"/>
      <c r="AD1637"/>
    </row>
    <row r="1638" spans="1:30" ht="41.45" customHeight="1">
      <c r="A1638"/>
      <c r="AC1638"/>
      <c r="AD1638"/>
    </row>
    <row r="1639" spans="1:30" ht="41.45" customHeight="1">
      <c r="A1639"/>
      <c r="AC1639"/>
      <c r="AD1639"/>
    </row>
    <row r="1640" spans="1:30" ht="41.45" customHeight="1">
      <c r="A1640"/>
      <c r="AC1640"/>
      <c r="AD1640"/>
    </row>
    <row r="1641" spans="1:30" ht="41.45" customHeight="1">
      <c r="A1641"/>
      <c r="AC1641"/>
      <c r="AD1641"/>
    </row>
    <row r="1642" spans="1:30" ht="41.45" customHeight="1">
      <c r="A1642"/>
      <c r="AC1642"/>
      <c r="AD1642"/>
    </row>
    <row r="1643" spans="1:30" ht="41.45" customHeight="1">
      <c r="A1643"/>
      <c r="AC1643"/>
      <c r="AD1643"/>
    </row>
    <row r="1644" spans="1:30" ht="41.45" customHeight="1">
      <c r="A1644"/>
      <c r="AC1644"/>
      <c r="AD1644"/>
    </row>
    <row r="1645" spans="1:30" ht="41.45" customHeight="1">
      <c r="A1645"/>
      <c r="AC1645"/>
      <c r="AD1645"/>
    </row>
    <row r="1646" spans="1:30" ht="41.45" customHeight="1">
      <c r="A1646"/>
      <c r="AC1646"/>
      <c r="AD1646"/>
    </row>
    <row r="1647" spans="1:30" ht="41.45" customHeight="1">
      <c r="A1647"/>
      <c r="AC1647"/>
      <c r="AD1647"/>
    </row>
    <row r="1648" spans="1:30" ht="41.45" customHeight="1">
      <c r="A1648"/>
      <c r="AC1648"/>
      <c r="AD1648"/>
    </row>
    <row r="1649" spans="1:30" ht="41.45" customHeight="1">
      <c r="A1649"/>
      <c r="AC1649"/>
      <c r="AD1649"/>
    </row>
    <row r="1650" spans="1:30" ht="41.45" customHeight="1">
      <c r="A1650"/>
      <c r="AC1650"/>
      <c r="AD1650"/>
    </row>
    <row r="1651" spans="1:30" ht="41.45" customHeight="1">
      <c r="A1651"/>
      <c r="AC1651"/>
      <c r="AD1651"/>
    </row>
    <row r="1652" spans="1:30" ht="41.45" customHeight="1">
      <c r="A1652"/>
      <c r="AC1652"/>
      <c r="AD1652"/>
    </row>
    <row r="1653" spans="1:30" ht="41.45" customHeight="1">
      <c r="A1653"/>
      <c r="AC1653"/>
      <c r="AD1653"/>
    </row>
    <row r="1654" spans="1:30" ht="41.45" customHeight="1">
      <c r="A1654"/>
      <c r="AC1654"/>
      <c r="AD1654"/>
    </row>
    <row r="1655" spans="1:30" ht="41.45" customHeight="1">
      <c r="A1655"/>
      <c r="AC1655"/>
      <c r="AD1655"/>
    </row>
    <row r="1656" spans="1:30" ht="41.45" customHeight="1">
      <c r="A1656"/>
      <c r="AC1656"/>
      <c r="AD1656"/>
    </row>
    <row r="1657" spans="1:30" ht="41.45" customHeight="1">
      <c r="A1657"/>
      <c r="AC1657"/>
      <c r="AD1657"/>
    </row>
    <row r="1658" spans="1:30" ht="41.45" customHeight="1">
      <c r="A1658"/>
      <c r="AC1658"/>
      <c r="AD1658"/>
    </row>
    <row r="1659" spans="1:30" ht="41.45" customHeight="1">
      <c r="A1659"/>
      <c r="AC1659"/>
      <c r="AD1659"/>
    </row>
    <row r="1660" spans="1:30" ht="41.45" customHeight="1">
      <c r="A1660"/>
      <c r="AC1660"/>
      <c r="AD1660"/>
    </row>
    <row r="1661" spans="1:30" ht="41.45" customHeight="1">
      <c r="A1661"/>
      <c r="AC1661"/>
      <c r="AD1661"/>
    </row>
    <row r="1662" spans="1:30" ht="41.45" customHeight="1">
      <c r="A1662"/>
      <c r="AC1662"/>
      <c r="AD1662"/>
    </row>
    <row r="1663" spans="1:30" ht="41.45" customHeight="1">
      <c r="A1663"/>
      <c r="AC1663"/>
      <c r="AD1663"/>
    </row>
    <row r="1664" spans="1:30" ht="41.45" customHeight="1">
      <c r="A1664"/>
      <c r="AC1664"/>
      <c r="AD1664"/>
    </row>
    <row r="1665" spans="1:30" ht="41.45" customHeight="1">
      <c r="A1665"/>
      <c r="AC1665"/>
      <c r="AD1665"/>
    </row>
    <row r="1666" spans="1:30" ht="41.45" customHeight="1">
      <c r="A1666"/>
      <c r="AC1666"/>
      <c r="AD1666"/>
    </row>
    <row r="1667" spans="1:30" ht="41.45" customHeight="1">
      <c r="A1667"/>
      <c r="AC1667"/>
      <c r="AD1667"/>
    </row>
    <row r="1668" spans="1:30" ht="41.45" customHeight="1">
      <c r="A1668"/>
      <c r="AC1668"/>
      <c r="AD1668"/>
    </row>
    <row r="1669" spans="1:30" ht="41.45" customHeight="1">
      <c r="A1669"/>
      <c r="AC1669"/>
      <c r="AD1669"/>
    </row>
    <row r="1670" spans="1:30" ht="41.45" customHeight="1">
      <c r="A1670"/>
      <c r="AC1670"/>
      <c r="AD1670"/>
    </row>
    <row r="1671" spans="1:30" ht="41.45" customHeight="1">
      <c r="A1671"/>
      <c r="AC1671"/>
      <c r="AD1671"/>
    </row>
    <row r="1672" spans="1:30" ht="41.45" customHeight="1">
      <c r="A1672"/>
      <c r="AC1672"/>
      <c r="AD1672"/>
    </row>
    <row r="1673" spans="1:30" ht="41.45" customHeight="1">
      <c r="A1673"/>
      <c r="AC1673"/>
      <c r="AD1673"/>
    </row>
    <row r="1674" spans="1:30" ht="41.45" customHeight="1">
      <c r="A1674"/>
      <c r="AC1674"/>
      <c r="AD1674"/>
    </row>
    <row r="1675" spans="1:30" ht="41.45" customHeight="1">
      <c r="A1675"/>
      <c r="AC1675"/>
      <c r="AD1675"/>
    </row>
    <row r="1676" spans="1:30" ht="41.45" customHeight="1">
      <c r="A1676"/>
      <c r="AC1676"/>
      <c r="AD1676"/>
    </row>
    <row r="1677" spans="1:30" ht="41.45" customHeight="1">
      <c r="A1677"/>
      <c r="AC1677"/>
      <c r="AD1677"/>
    </row>
    <row r="1678" spans="1:30" ht="41.45" customHeight="1">
      <c r="A1678"/>
      <c r="AC1678"/>
      <c r="AD1678"/>
    </row>
    <row r="1679" spans="1:30" ht="41.45" customHeight="1">
      <c r="A1679"/>
      <c r="AC1679"/>
      <c r="AD1679"/>
    </row>
    <row r="1680" spans="1:30" ht="41.45" customHeight="1">
      <c r="A1680"/>
      <c r="AC1680"/>
      <c r="AD1680"/>
    </row>
    <row r="1681" spans="1:30" ht="41.45" customHeight="1">
      <c r="A1681"/>
      <c r="AC1681"/>
      <c r="AD1681"/>
    </row>
    <row r="1682" spans="1:30" ht="41.45" customHeight="1">
      <c r="A1682"/>
      <c r="AC1682"/>
      <c r="AD1682"/>
    </row>
    <row r="1683" spans="1:30" ht="41.45" customHeight="1">
      <c r="A1683"/>
      <c r="AC1683"/>
      <c r="AD1683"/>
    </row>
    <row r="1684" spans="1:30" ht="41.45" customHeight="1">
      <c r="A1684"/>
      <c r="AC1684"/>
      <c r="AD1684"/>
    </row>
    <row r="1685" spans="1:30" ht="41.45" customHeight="1">
      <c r="A1685"/>
      <c r="AC1685"/>
      <c r="AD1685"/>
    </row>
    <row r="1686" spans="1:30" ht="41.45" customHeight="1">
      <c r="A1686"/>
      <c r="AC1686"/>
      <c r="AD1686"/>
    </row>
    <row r="1687" spans="1:30" ht="41.45" customHeight="1">
      <c r="A1687"/>
      <c r="AC1687"/>
      <c r="AD1687"/>
    </row>
    <row r="1688" spans="1:30" ht="41.45" customHeight="1">
      <c r="A1688"/>
      <c r="AC1688"/>
      <c r="AD1688"/>
    </row>
    <row r="1689" spans="1:30" ht="41.45" customHeight="1">
      <c r="A1689"/>
      <c r="AC1689"/>
      <c r="AD1689"/>
    </row>
    <row r="1690" spans="1:30" ht="41.45" customHeight="1">
      <c r="A1690"/>
      <c r="AC1690"/>
      <c r="AD1690"/>
    </row>
    <row r="1691" spans="1:30" ht="41.45" customHeight="1">
      <c r="A1691"/>
      <c r="AC1691"/>
      <c r="AD1691"/>
    </row>
    <row r="1692" spans="1:30" ht="41.45" customHeight="1">
      <c r="A1692"/>
      <c r="AC1692"/>
      <c r="AD1692"/>
    </row>
    <row r="1693" spans="1:30" ht="41.45" customHeight="1">
      <c r="A1693"/>
      <c r="AC1693"/>
      <c r="AD1693"/>
    </row>
    <row r="1694" spans="1:30" ht="41.45" customHeight="1">
      <c r="A1694"/>
      <c r="AC1694"/>
      <c r="AD1694"/>
    </row>
    <row r="1695" spans="1:30" ht="41.45" customHeight="1">
      <c r="A1695"/>
      <c r="AC1695"/>
      <c r="AD1695"/>
    </row>
    <row r="1696" spans="1:30" ht="41.45" customHeight="1">
      <c r="A1696"/>
      <c r="AC1696"/>
      <c r="AD1696"/>
    </row>
    <row r="1697" spans="1:30" ht="41.45" customHeight="1">
      <c r="A1697"/>
      <c r="AC1697"/>
      <c r="AD1697"/>
    </row>
    <row r="1698" spans="1:30" ht="41.45" customHeight="1">
      <c r="A1698"/>
      <c r="AC1698"/>
      <c r="AD1698"/>
    </row>
    <row r="1699" spans="1:30" ht="41.45" customHeight="1">
      <c r="A1699"/>
      <c r="AC1699"/>
      <c r="AD1699"/>
    </row>
    <row r="1700" spans="1:30" ht="41.45" customHeight="1">
      <c r="A1700"/>
      <c r="AC1700"/>
      <c r="AD1700"/>
    </row>
    <row r="1701" spans="1:30" ht="41.45" customHeight="1">
      <c r="A1701"/>
      <c r="AC1701"/>
      <c r="AD1701"/>
    </row>
    <row r="1702" spans="1:30" ht="41.45" customHeight="1">
      <c r="A1702"/>
      <c r="AC1702"/>
      <c r="AD1702"/>
    </row>
    <row r="1703" spans="1:30" ht="41.45" customHeight="1">
      <c r="A1703"/>
      <c r="AC1703"/>
      <c r="AD1703"/>
    </row>
    <row r="1704" spans="1:30" ht="41.45" customHeight="1">
      <c r="A1704"/>
      <c r="AC1704"/>
      <c r="AD1704"/>
    </row>
    <row r="1705" spans="1:30" ht="41.45" customHeight="1">
      <c r="A1705"/>
      <c r="AC1705"/>
      <c r="AD1705"/>
    </row>
    <row r="1706" spans="1:30" ht="41.45" customHeight="1">
      <c r="A1706"/>
      <c r="AC1706"/>
      <c r="AD1706"/>
    </row>
    <row r="1707" spans="1:30" ht="41.45" customHeight="1">
      <c r="A1707"/>
      <c r="AC1707"/>
      <c r="AD1707"/>
    </row>
    <row r="1708" spans="1:30" ht="41.45" customHeight="1">
      <c r="A1708"/>
      <c r="AC1708"/>
      <c r="AD1708"/>
    </row>
    <row r="1709" spans="1:30" ht="41.45" customHeight="1">
      <c r="A1709"/>
      <c r="AC1709"/>
      <c r="AD1709"/>
    </row>
    <row r="1710" spans="1:30" ht="41.45" customHeight="1">
      <c r="A1710"/>
      <c r="AC1710"/>
      <c r="AD1710"/>
    </row>
    <row r="1711" spans="1:30" ht="41.45" customHeight="1">
      <c r="A1711"/>
      <c r="AC1711"/>
      <c r="AD1711"/>
    </row>
    <row r="1712" spans="1:30" ht="41.45" customHeight="1">
      <c r="A1712"/>
      <c r="AC1712"/>
      <c r="AD1712"/>
    </row>
    <row r="1713" spans="1:30" ht="41.45" customHeight="1">
      <c r="A1713"/>
      <c r="AC1713"/>
      <c r="AD1713"/>
    </row>
    <row r="1714" spans="1:30" ht="41.45" customHeight="1">
      <c r="A1714"/>
      <c r="AC1714"/>
      <c r="AD1714"/>
    </row>
    <row r="1715" spans="1:30" ht="41.45" customHeight="1">
      <c r="A1715"/>
      <c r="AC1715"/>
      <c r="AD1715"/>
    </row>
    <row r="1716" spans="1:30" ht="41.45" customHeight="1">
      <c r="A1716"/>
      <c r="AC1716"/>
      <c r="AD1716"/>
    </row>
    <row r="1717" spans="1:30" ht="41.45" customHeight="1">
      <c r="A1717"/>
      <c r="AC1717"/>
      <c r="AD1717"/>
    </row>
    <row r="1718" spans="1:30" ht="41.45" customHeight="1">
      <c r="A1718"/>
      <c r="AC1718"/>
      <c r="AD1718"/>
    </row>
    <row r="1719" spans="1:30" ht="41.45" customHeight="1">
      <c r="A1719"/>
      <c r="AC1719"/>
      <c r="AD1719"/>
    </row>
    <row r="1720" spans="1:30" ht="41.45" customHeight="1">
      <c r="A1720"/>
      <c r="AC1720"/>
      <c r="AD1720"/>
    </row>
    <row r="1721" spans="1:30" ht="41.45" customHeight="1">
      <c r="A1721"/>
      <c r="AC1721"/>
      <c r="AD1721"/>
    </row>
    <row r="1722" spans="1:30" ht="41.45" customHeight="1">
      <c r="A1722"/>
      <c r="AC1722"/>
      <c r="AD1722"/>
    </row>
    <row r="1723" spans="1:30" ht="41.45" customHeight="1">
      <c r="A1723"/>
      <c r="AC1723"/>
      <c r="AD1723"/>
    </row>
    <row r="1724" spans="1:30" ht="41.45" customHeight="1">
      <c r="A1724"/>
      <c r="AC1724"/>
      <c r="AD1724"/>
    </row>
    <row r="1725" spans="1:30" ht="41.45" customHeight="1">
      <c r="A1725"/>
      <c r="AC1725"/>
      <c r="AD1725"/>
    </row>
    <row r="1726" spans="1:30" ht="41.45" customHeight="1">
      <c r="A1726"/>
      <c r="AC1726"/>
      <c r="AD1726"/>
    </row>
    <row r="1727" spans="1:30" ht="41.45" customHeight="1">
      <c r="A1727"/>
      <c r="AC1727"/>
      <c r="AD1727"/>
    </row>
    <row r="1728" spans="1:30" ht="41.45" customHeight="1">
      <c r="A1728"/>
      <c r="AC1728"/>
      <c r="AD1728"/>
    </row>
    <row r="1729" spans="1:30" ht="41.45" customHeight="1">
      <c r="A1729"/>
      <c r="AC1729"/>
      <c r="AD1729"/>
    </row>
    <row r="1730" spans="1:30" ht="41.45" customHeight="1">
      <c r="A1730"/>
      <c r="AC1730"/>
      <c r="AD1730"/>
    </row>
    <row r="1731" spans="1:30" ht="41.45" customHeight="1">
      <c r="A1731"/>
      <c r="AC1731"/>
      <c r="AD1731"/>
    </row>
    <row r="1732" spans="1:30" ht="41.45" customHeight="1">
      <c r="A1732"/>
      <c r="AC1732"/>
      <c r="AD1732"/>
    </row>
    <row r="1733" spans="1:30" ht="41.45" customHeight="1">
      <c r="A1733"/>
      <c r="AC1733"/>
      <c r="AD1733"/>
    </row>
    <row r="1734" spans="1:30" ht="41.45" customHeight="1">
      <c r="A1734"/>
      <c r="AC1734"/>
      <c r="AD1734"/>
    </row>
    <row r="1735" spans="1:30" ht="41.45" customHeight="1">
      <c r="A1735"/>
      <c r="AC1735"/>
      <c r="AD1735"/>
    </row>
    <row r="1736" spans="1:30" ht="41.45" customHeight="1">
      <c r="A1736"/>
      <c r="AC1736"/>
      <c r="AD1736"/>
    </row>
    <row r="1737" spans="1:30" ht="41.45" customHeight="1">
      <c r="A1737"/>
      <c r="AC1737"/>
      <c r="AD1737"/>
    </row>
    <row r="1738" spans="1:30" ht="41.45" customHeight="1">
      <c r="A1738"/>
      <c r="AC1738"/>
      <c r="AD1738"/>
    </row>
    <row r="1739" spans="1:30" ht="41.45" customHeight="1">
      <c r="A1739"/>
      <c r="AC1739"/>
      <c r="AD1739"/>
    </row>
    <row r="1740" spans="1:30" ht="41.45" customHeight="1">
      <c r="A1740"/>
      <c r="AC1740"/>
      <c r="AD1740"/>
    </row>
    <row r="1741" spans="1:30" ht="41.45" customHeight="1">
      <c r="A1741"/>
      <c r="AC1741"/>
      <c r="AD1741"/>
    </row>
    <row r="1742" spans="1:30" ht="41.45" customHeight="1">
      <c r="A1742"/>
      <c r="AC1742"/>
      <c r="AD1742"/>
    </row>
    <row r="1743" spans="1:30" ht="41.45" customHeight="1">
      <c r="A1743"/>
      <c r="AC1743"/>
      <c r="AD1743"/>
    </row>
    <row r="1744" spans="1:30" ht="41.45" customHeight="1">
      <c r="A1744"/>
      <c r="AC1744"/>
      <c r="AD1744"/>
    </row>
    <row r="1745" spans="1:30" ht="41.45" customHeight="1">
      <c r="A1745"/>
      <c r="AC1745"/>
      <c r="AD1745"/>
    </row>
    <row r="1746" spans="1:30" ht="41.45" customHeight="1">
      <c r="A1746"/>
      <c r="AC1746"/>
      <c r="AD1746"/>
    </row>
    <row r="1747" spans="1:30" ht="41.45" customHeight="1">
      <c r="A1747"/>
      <c r="AC1747"/>
      <c r="AD1747"/>
    </row>
    <row r="1748" spans="1:30" ht="41.45" customHeight="1">
      <c r="A1748"/>
      <c r="AC1748"/>
      <c r="AD1748"/>
    </row>
    <row r="1749" spans="1:30" ht="41.45" customHeight="1">
      <c r="A1749"/>
      <c r="AC1749"/>
      <c r="AD1749"/>
    </row>
    <row r="1750" spans="1:30" ht="41.45" customHeight="1">
      <c r="A1750"/>
      <c r="AC1750"/>
      <c r="AD1750"/>
    </row>
    <row r="1751" spans="1:30" ht="41.45" customHeight="1">
      <c r="A1751"/>
      <c r="AC1751"/>
      <c r="AD1751"/>
    </row>
    <row r="1752" spans="1:30" ht="41.45" customHeight="1">
      <c r="A1752"/>
      <c r="AC1752"/>
      <c r="AD1752"/>
    </row>
    <row r="1753" spans="1:30" ht="41.45" customHeight="1">
      <c r="A1753"/>
      <c r="AC1753"/>
      <c r="AD1753"/>
    </row>
    <row r="1754" spans="1:30" ht="41.45" customHeight="1">
      <c r="A1754"/>
      <c r="AC1754"/>
      <c r="AD1754"/>
    </row>
    <row r="1755" spans="1:30" ht="41.45" customHeight="1">
      <c r="A1755"/>
      <c r="AC1755"/>
      <c r="AD1755"/>
    </row>
    <row r="1756" spans="1:30" ht="41.45" customHeight="1">
      <c r="A1756"/>
      <c r="AC1756"/>
      <c r="AD1756"/>
    </row>
    <row r="1757" spans="1:30" ht="41.45" customHeight="1">
      <c r="A1757"/>
      <c r="AC1757"/>
      <c r="AD1757"/>
    </row>
    <row r="1758" spans="1:30" ht="41.45" customHeight="1">
      <c r="A1758"/>
      <c r="AC1758"/>
      <c r="AD1758"/>
    </row>
    <row r="1759" spans="1:30" ht="41.45" customHeight="1">
      <c r="A1759"/>
      <c r="AC1759"/>
      <c r="AD1759"/>
    </row>
    <row r="1760" spans="1:30" ht="41.45" customHeight="1">
      <c r="A1760"/>
      <c r="AC1760"/>
      <c r="AD1760"/>
    </row>
    <row r="1761" spans="1:30" ht="41.45" customHeight="1">
      <c r="A1761"/>
      <c r="AC1761"/>
      <c r="AD1761"/>
    </row>
    <row r="1762" spans="1:30" ht="41.45" customHeight="1">
      <c r="A1762"/>
      <c r="AC1762"/>
      <c r="AD1762"/>
    </row>
    <row r="1763" spans="1:30" ht="41.45" customHeight="1">
      <c r="A1763"/>
      <c r="AC1763"/>
      <c r="AD1763"/>
    </row>
    <row r="1764" spans="1:30" ht="41.45" customHeight="1">
      <c r="A1764"/>
      <c r="AC1764"/>
      <c r="AD1764"/>
    </row>
    <row r="1765" spans="1:30" ht="41.45" customHeight="1">
      <c r="A1765"/>
      <c r="AC1765"/>
      <c r="AD1765"/>
    </row>
    <row r="1766" spans="1:30" ht="41.45" customHeight="1">
      <c r="A1766"/>
      <c r="AC1766"/>
      <c r="AD1766"/>
    </row>
    <row r="1767" spans="1:30" ht="41.45" customHeight="1">
      <c r="A1767"/>
      <c r="AC1767"/>
      <c r="AD1767"/>
    </row>
    <row r="1768" spans="1:30" ht="41.45" customHeight="1">
      <c r="A1768"/>
      <c r="AC1768"/>
      <c r="AD1768"/>
    </row>
    <row r="1769" spans="1:30" ht="41.45" customHeight="1">
      <c r="A1769"/>
      <c r="AC1769"/>
      <c r="AD1769"/>
    </row>
    <row r="1770" spans="1:30" ht="41.45" customHeight="1">
      <c r="A1770"/>
      <c r="AC1770"/>
      <c r="AD1770"/>
    </row>
    <row r="1771" spans="1:30" ht="41.45" customHeight="1">
      <c r="A1771"/>
      <c r="AC1771"/>
      <c r="AD1771"/>
    </row>
    <row r="1772" spans="1:30" ht="41.45" customHeight="1">
      <c r="A1772"/>
      <c r="AC1772"/>
      <c r="AD1772"/>
    </row>
    <row r="1773" spans="1:30" ht="41.45" customHeight="1">
      <c r="A1773"/>
      <c r="AC1773"/>
      <c r="AD1773"/>
    </row>
    <row r="1774" spans="1:30" ht="41.45" customHeight="1">
      <c r="A1774"/>
      <c r="AC1774"/>
      <c r="AD1774"/>
    </row>
    <row r="1775" spans="1:30" ht="41.45" customHeight="1">
      <c r="A1775"/>
      <c r="AC1775"/>
      <c r="AD1775"/>
    </row>
    <row r="1776" spans="1:30" ht="41.45" customHeight="1">
      <c r="A1776"/>
      <c r="AC1776"/>
      <c r="AD1776"/>
    </row>
    <row r="1777" spans="1:30" ht="41.45" customHeight="1">
      <c r="A1777"/>
      <c r="AC1777"/>
      <c r="AD1777"/>
    </row>
    <row r="1778" spans="1:30" ht="41.45" customHeight="1">
      <c r="A1778"/>
      <c r="AC1778"/>
      <c r="AD1778"/>
    </row>
    <row r="1779" spans="1:30" ht="41.45" customHeight="1">
      <c r="A1779"/>
      <c r="AC1779"/>
      <c r="AD1779"/>
    </row>
    <row r="1780" spans="1:30" ht="41.45" customHeight="1">
      <c r="A1780"/>
      <c r="AC1780"/>
      <c r="AD1780"/>
    </row>
    <row r="1781" spans="1:30" ht="41.45" customHeight="1">
      <c r="A1781"/>
      <c r="AC1781"/>
      <c r="AD1781"/>
    </row>
    <row r="1782" spans="1:30" ht="41.45" customHeight="1">
      <c r="A1782"/>
      <c r="AC1782"/>
      <c r="AD1782"/>
    </row>
    <row r="1783" spans="1:30" ht="41.45" customHeight="1">
      <c r="A1783"/>
      <c r="AC1783"/>
      <c r="AD1783"/>
    </row>
    <row r="1784" spans="1:30" ht="41.45" customHeight="1">
      <c r="A1784"/>
      <c r="AC1784"/>
      <c r="AD1784"/>
    </row>
    <row r="1785" spans="1:30" ht="41.45" customHeight="1">
      <c r="A1785"/>
      <c r="AC1785"/>
      <c r="AD1785"/>
    </row>
    <row r="1786" spans="1:30" ht="41.45" customHeight="1">
      <c r="A1786"/>
      <c r="AC1786"/>
      <c r="AD1786"/>
    </row>
    <row r="1787" spans="1:30" ht="41.45" customHeight="1">
      <c r="A1787"/>
      <c r="AC1787"/>
      <c r="AD1787"/>
    </row>
    <row r="1788" spans="1:30" ht="41.45" customHeight="1">
      <c r="A1788"/>
      <c r="AC1788"/>
      <c r="AD1788"/>
    </row>
    <row r="1789" spans="1:30" ht="41.45" customHeight="1">
      <c r="A1789"/>
      <c r="AC1789"/>
      <c r="AD1789"/>
    </row>
    <row r="1790" spans="1:30" ht="41.45" customHeight="1">
      <c r="A1790"/>
      <c r="AC1790"/>
      <c r="AD1790"/>
    </row>
    <row r="1791" spans="1:30" ht="41.45" customHeight="1">
      <c r="A1791"/>
      <c r="AC1791"/>
      <c r="AD1791"/>
    </row>
    <row r="1792" spans="1:30" ht="41.45" customHeight="1">
      <c r="A1792"/>
      <c r="AC1792"/>
      <c r="AD1792"/>
    </row>
    <row r="1793" spans="1:30" ht="41.45" customHeight="1">
      <c r="A1793"/>
      <c r="AC1793"/>
      <c r="AD1793"/>
    </row>
    <row r="1794" spans="1:30" ht="41.45" customHeight="1">
      <c r="A1794"/>
      <c r="AC1794"/>
      <c r="AD1794"/>
    </row>
    <row r="1795" spans="1:30" ht="41.45" customHeight="1">
      <c r="A1795"/>
      <c r="AC1795"/>
      <c r="AD1795"/>
    </row>
    <row r="1796" spans="1:30" ht="41.45" customHeight="1">
      <c r="A1796"/>
      <c r="AC1796"/>
      <c r="AD1796"/>
    </row>
    <row r="1797" spans="1:30" ht="41.45" customHeight="1">
      <c r="A1797"/>
      <c r="AC1797"/>
      <c r="AD1797"/>
    </row>
    <row r="1798" spans="1:30" ht="41.45" customHeight="1">
      <c r="A1798"/>
      <c r="AC1798"/>
      <c r="AD1798"/>
    </row>
    <row r="1799" spans="1:30" ht="41.45" customHeight="1">
      <c r="A1799"/>
      <c r="AC1799"/>
      <c r="AD1799"/>
    </row>
    <row r="1800" spans="1:30" ht="41.45" customHeight="1">
      <c r="A1800"/>
      <c r="AC1800"/>
      <c r="AD1800"/>
    </row>
    <row r="1801" spans="1:30" ht="41.45" customHeight="1">
      <c r="A1801"/>
      <c r="AC1801"/>
      <c r="AD1801"/>
    </row>
    <row r="1802" spans="1:30" ht="41.45" customHeight="1">
      <c r="A1802"/>
      <c r="AC1802"/>
      <c r="AD1802"/>
    </row>
    <row r="1803" spans="1:30" ht="41.45" customHeight="1">
      <c r="A1803"/>
      <c r="AC1803"/>
      <c r="AD1803"/>
    </row>
    <row r="1804" spans="1:30" ht="41.45" customHeight="1">
      <c r="A1804"/>
      <c r="AC1804"/>
      <c r="AD1804"/>
    </row>
    <row r="1805" spans="1:30" ht="41.45" customHeight="1">
      <c r="A1805"/>
      <c r="AC1805"/>
      <c r="AD1805"/>
    </row>
    <row r="1806" spans="1:30" ht="41.45" customHeight="1">
      <c r="A1806"/>
      <c r="AC1806"/>
      <c r="AD1806"/>
    </row>
    <row r="1807" spans="1:30" ht="41.45" customHeight="1">
      <c r="A1807"/>
      <c r="AC1807"/>
      <c r="AD1807"/>
    </row>
    <row r="1808" spans="1:30" ht="41.45" customHeight="1">
      <c r="A1808"/>
      <c r="AC1808"/>
      <c r="AD1808"/>
    </row>
    <row r="1809" spans="1:30" ht="41.45" customHeight="1">
      <c r="A1809"/>
      <c r="AC1809"/>
      <c r="AD1809"/>
    </row>
    <row r="1810" spans="1:30" ht="41.45" customHeight="1">
      <c r="A1810"/>
      <c r="AC1810"/>
      <c r="AD1810"/>
    </row>
    <row r="1811" spans="1:30" ht="41.45" customHeight="1">
      <c r="A1811"/>
      <c r="AC1811"/>
      <c r="AD1811"/>
    </row>
    <row r="1812" spans="1:30" ht="41.45" customHeight="1">
      <c r="A1812"/>
      <c r="AC1812"/>
      <c r="AD1812"/>
    </row>
    <row r="1813" spans="1:30" ht="41.45" customHeight="1">
      <c r="A1813"/>
      <c r="AC1813"/>
      <c r="AD1813"/>
    </row>
    <row r="1814" spans="1:30" ht="41.45" customHeight="1">
      <c r="A1814"/>
      <c r="AC1814"/>
      <c r="AD1814"/>
    </row>
    <row r="1815" spans="1:30" ht="41.45" customHeight="1">
      <c r="A1815"/>
      <c r="AC1815"/>
      <c r="AD1815"/>
    </row>
    <row r="1816" spans="1:30" ht="41.45" customHeight="1">
      <c r="A1816"/>
      <c r="AC1816"/>
      <c r="AD1816"/>
    </row>
    <row r="1817" spans="1:30" ht="41.45" customHeight="1">
      <c r="A1817"/>
      <c r="AC1817"/>
      <c r="AD1817"/>
    </row>
    <row r="1818" spans="1:30" ht="41.45" customHeight="1">
      <c r="A1818"/>
      <c r="AC1818"/>
      <c r="AD1818"/>
    </row>
    <row r="1819" spans="1:30" ht="41.45" customHeight="1">
      <c r="A1819"/>
      <c r="AC1819"/>
      <c r="AD1819"/>
    </row>
    <row r="1820" spans="1:30" ht="41.45" customHeight="1">
      <c r="A1820"/>
      <c r="AC1820"/>
      <c r="AD1820"/>
    </row>
    <row r="1821" spans="1:30" ht="41.45" customHeight="1">
      <c r="A1821"/>
      <c r="AC1821"/>
      <c r="AD1821"/>
    </row>
    <row r="1822" spans="1:30" ht="41.45" customHeight="1">
      <c r="A1822"/>
      <c r="AC1822"/>
      <c r="AD1822"/>
    </row>
    <row r="1823" spans="1:30" ht="41.45" customHeight="1">
      <c r="A1823"/>
      <c r="AC1823"/>
      <c r="AD1823"/>
    </row>
    <row r="1824" spans="1:30" ht="41.45" customHeight="1">
      <c r="A1824"/>
      <c r="AC1824"/>
      <c r="AD1824"/>
    </row>
    <row r="1825" spans="1:30" ht="41.45" customHeight="1">
      <c r="A1825"/>
      <c r="AC1825"/>
      <c r="AD1825"/>
    </row>
    <row r="1826" spans="1:30" ht="41.45" customHeight="1">
      <c r="A1826"/>
      <c r="AC1826"/>
      <c r="AD1826"/>
    </row>
    <row r="1827" spans="1:30" ht="41.45" customHeight="1">
      <c r="A1827"/>
      <c r="AC1827"/>
      <c r="AD1827"/>
    </row>
    <row r="1828" spans="1:30" ht="41.45" customHeight="1">
      <c r="A1828"/>
      <c r="AC1828"/>
      <c r="AD1828"/>
    </row>
    <row r="1829" spans="1:30" ht="41.45" customHeight="1">
      <c r="A1829"/>
      <c r="AC1829"/>
      <c r="AD1829"/>
    </row>
    <row r="1830" spans="1:30" ht="41.45" customHeight="1">
      <c r="A1830"/>
      <c r="AC1830"/>
      <c r="AD1830"/>
    </row>
    <row r="1831" spans="1:30" ht="41.45" customHeight="1">
      <c r="A1831"/>
      <c r="AC1831"/>
      <c r="AD1831"/>
    </row>
    <row r="1832" spans="1:30" ht="41.45" customHeight="1">
      <c r="A1832"/>
      <c r="AC1832"/>
      <c r="AD1832"/>
    </row>
    <row r="1833" spans="1:30" ht="41.45" customHeight="1">
      <c r="A1833"/>
      <c r="AC1833"/>
      <c r="AD1833"/>
    </row>
    <row r="1834" spans="1:30" ht="41.45" customHeight="1">
      <c r="A1834"/>
      <c r="AC1834"/>
      <c r="AD1834"/>
    </row>
    <row r="1835" spans="1:30" ht="41.45" customHeight="1">
      <c r="A1835"/>
      <c r="AC1835"/>
      <c r="AD1835"/>
    </row>
    <row r="1836" spans="1:30" ht="41.45" customHeight="1">
      <c r="A1836"/>
      <c r="AC1836"/>
      <c r="AD1836"/>
    </row>
    <row r="1837" spans="1:30" ht="41.45" customHeight="1">
      <c r="A1837"/>
      <c r="AC1837"/>
      <c r="AD1837"/>
    </row>
    <row r="1838" spans="1:30" ht="41.45" customHeight="1">
      <c r="A1838"/>
      <c r="AC1838"/>
      <c r="AD1838"/>
    </row>
    <row r="1839" spans="1:30" ht="41.45" customHeight="1">
      <c r="A1839"/>
      <c r="AC1839"/>
      <c r="AD1839"/>
    </row>
    <row r="1840" spans="1:30" ht="41.45" customHeight="1">
      <c r="A1840"/>
      <c r="AC1840"/>
      <c r="AD1840"/>
    </row>
    <row r="1841" spans="1:30" ht="41.45" customHeight="1">
      <c r="A1841"/>
      <c r="AC1841"/>
      <c r="AD1841"/>
    </row>
    <row r="1842" spans="1:30" ht="41.45" customHeight="1">
      <c r="A1842"/>
      <c r="AC1842"/>
      <c r="AD1842"/>
    </row>
    <row r="1843" spans="1:30" ht="41.45" customHeight="1">
      <c r="A1843"/>
      <c r="AC1843"/>
      <c r="AD1843"/>
    </row>
    <row r="1844" spans="1:30" ht="41.45" customHeight="1">
      <c r="A1844"/>
      <c r="AC1844"/>
      <c r="AD1844"/>
    </row>
    <row r="1845" spans="1:30" ht="41.45" customHeight="1">
      <c r="A1845"/>
      <c r="AC1845"/>
      <c r="AD1845"/>
    </row>
    <row r="1846" spans="1:30" ht="41.45" customHeight="1">
      <c r="A1846"/>
      <c r="AC1846"/>
      <c r="AD1846"/>
    </row>
    <row r="1847" spans="1:30" ht="41.45" customHeight="1">
      <c r="A1847"/>
      <c r="AC1847"/>
      <c r="AD1847"/>
    </row>
    <row r="1848" spans="1:30" ht="41.45" customHeight="1">
      <c r="A1848"/>
      <c r="AC1848"/>
      <c r="AD1848"/>
    </row>
    <row r="1849" spans="1:30" ht="41.45" customHeight="1">
      <c r="A1849"/>
      <c r="AC1849"/>
      <c r="AD1849"/>
    </row>
    <row r="1850" spans="1:30" ht="41.45" customHeight="1">
      <c r="A1850"/>
      <c r="AC1850"/>
      <c r="AD1850"/>
    </row>
    <row r="1851" spans="1:30" ht="41.45" customHeight="1">
      <c r="A1851"/>
      <c r="AC1851"/>
      <c r="AD1851"/>
    </row>
    <row r="1852" spans="1:30" ht="41.45" customHeight="1">
      <c r="A1852"/>
      <c r="AC1852"/>
      <c r="AD1852"/>
    </row>
    <row r="1853" spans="1:30" ht="41.45" customHeight="1">
      <c r="A1853"/>
      <c r="AC1853"/>
      <c r="AD1853"/>
    </row>
    <row r="1854" spans="1:30" ht="41.45" customHeight="1">
      <c r="A1854"/>
      <c r="AC1854"/>
      <c r="AD1854"/>
    </row>
    <row r="1855" spans="1:30" ht="41.45" customHeight="1">
      <c r="A1855"/>
      <c r="AC1855"/>
      <c r="AD1855"/>
    </row>
    <row r="1856" spans="1:30" ht="41.45" customHeight="1">
      <c r="A1856"/>
      <c r="AC1856"/>
      <c r="AD1856"/>
    </row>
    <row r="1857" spans="1:30" ht="41.45" customHeight="1">
      <c r="A1857"/>
      <c r="AC1857"/>
      <c r="AD1857"/>
    </row>
    <row r="1858" spans="1:30" ht="41.45" customHeight="1">
      <c r="A1858"/>
      <c r="AC1858"/>
      <c r="AD1858"/>
    </row>
    <row r="1859" spans="1:30" ht="41.45" customHeight="1">
      <c r="A1859"/>
      <c r="AC1859"/>
      <c r="AD1859"/>
    </row>
    <row r="1860" spans="1:30" ht="41.45" customHeight="1">
      <c r="A1860"/>
      <c r="AC1860"/>
      <c r="AD1860"/>
    </row>
    <row r="1861" spans="1:30" ht="41.45" customHeight="1">
      <c r="A1861"/>
      <c r="AC1861"/>
      <c r="AD1861"/>
    </row>
    <row r="1862" spans="1:30" ht="41.45" customHeight="1">
      <c r="A1862"/>
      <c r="AC1862"/>
      <c r="AD1862"/>
    </row>
    <row r="1863" spans="1:30" ht="41.45" customHeight="1">
      <c r="A1863"/>
      <c r="AC1863"/>
      <c r="AD1863"/>
    </row>
    <row r="1864" spans="1:30" ht="41.45" customHeight="1">
      <c r="A1864"/>
      <c r="AC1864"/>
      <c r="AD1864"/>
    </row>
    <row r="1865" spans="1:30" ht="41.45" customHeight="1">
      <c r="A1865"/>
      <c r="AC1865"/>
      <c r="AD1865"/>
    </row>
    <row r="1866" spans="1:30" ht="41.45" customHeight="1">
      <c r="A1866"/>
      <c r="AC1866"/>
      <c r="AD1866"/>
    </row>
    <row r="1867" spans="1:30" ht="41.45" customHeight="1">
      <c r="A1867"/>
      <c r="AC1867"/>
      <c r="AD1867"/>
    </row>
    <row r="1868" spans="1:30" ht="41.45" customHeight="1">
      <c r="A1868"/>
      <c r="AC1868"/>
      <c r="AD1868"/>
    </row>
    <row r="1869" spans="1:30" ht="41.45" customHeight="1">
      <c r="A1869"/>
      <c r="AC1869"/>
      <c r="AD1869"/>
    </row>
    <row r="1870" spans="1:30" ht="41.45" customHeight="1">
      <c r="A1870"/>
      <c r="AC1870"/>
      <c r="AD1870"/>
    </row>
    <row r="1871" spans="1:30" ht="41.45" customHeight="1">
      <c r="A1871"/>
      <c r="AC1871"/>
      <c r="AD1871"/>
    </row>
    <row r="1872" spans="1:30" ht="41.45" customHeight="1">
      <c r="A1872"/>
      <c r="AC1872"/>
      <c r="AD1872"/>
    </row>
    <row r="1873" spans="1:30" ht="41.45" customHeight="1">
      <c r="A1873"/>
      <c r="AC1873"/>
      <c r="AD1873"/>
    </row>
    <row r="1874" spans="1:30" ht="41.45" customHeight="1">
      <c r="A1874"/>
      <c r="AC1874"/>
      <c r="AD1874"/>
    </row>
    <row r="1875" spans="1:30" ht="41.45" customHeight="1">
      <c r="A1875"/>
      <c r="AC1875"/>
      <c r="AD1875"/>
    </row>
    <row r="1876" spans="1:30" ht="41.45" customHeight="1">
      <c r="A1876"/>
      <c r="AC1876"/>
      <c r="AD1876"/>
    </row>
    <row r="1877" spans="1:30" ht="41.45" customHeight="1">
      <c r="A1877"/>
      <c r="AC1877"/>
      <c r="AD1877"/>
    </row>
    <row r="1878" spans="1:30" ht="41.45" customHeight="1">
      <c r="A1878"/>
      <c r="AC1878"/>
      <c r="AD1878"/>
    </row>
    <row r="1879" spans="1:30" ht="41.45" customHeight="1">
      <c r="A1879"/>
      <c r="AC1879"/>
      <c r="AD1879"/>
    </row>
    <row r="1880" spans="1:30" ht="41.45" customHeight="1">
      <c r="A1880"/>
      <c r="AC1880"/>
      <c r="AD1880"/>
    </row>
    <row r="1881" spans="1:30" ht="41.45" customHeight="1">
      <c r="A1881"/>
      <c r="AC1881"/>
      <c r="AD1881"/>
    </row>
    <row r="1882" spans="1:30" ht="41.45" customHeight="1">
      <c r="A1882"/>
      <c r="AC1882"/>
      <c r="AD1882"/>
    </row>
    <row r="1883" spans="1:30" ht="41.45" customHeight="1">
      <c r="A1883"/>
      <c r="AC1883"/>
      <c r="AD1883"/>
    </row>
    <row r="1884" spans="1:30" ht="41.45" customHeight="1">
      <c r="A1884"/>
      <c r="AC1884"/>
      <c r="AD1884"/>
    </row>
    <row r="1885" spans="1:30" ht="41.45" customHeight="1">
      <c r="A1885"/>
      <c r="AC1885"/>
      <c r="AD1885"/>
    </row>
    <row r="1886" spans="1:30" ht="41.45" customHeight="1">
      <c r="A1886"/>
      <c r="AC1886"/>
      <c r="AD1886"/>
    </row>
    <row r="1887" spans="1:30" ht="41.45" customHeight="1">
      <c r="A1887"/>
      <c r="AC1887"/>
      <c r="AD1887"/>
    </row>
    <row r="1888" spans="1:30" ht="41.45" customHeight="1">
      <c r="A1888"/>
      <c r="AC1888"/>
      <c r="AD1888"/>
    </row>
    <row r="1889" spans="1:30" ht="41.45" customHeight="1">
      <c r="A1889"/>
      <c r="AC1889"/>
      <c r="AD1889"/>
    </row>
    <row r="1890" spans="1:30" ht="41.45" customHeight="1">
      <c r="A1890"/>
      <c r="AC1890"/>
      <c r="AD1890"/>
    </row>
    <row r="1891" spans="1:30" ht="41.45" customHeight="1">
      <c r="A1891"/>
      <c r="AC1891"/>
      <c r="AD1891"/>
    </row>
    <row r="1892" spans="1:30" ht="41.45" customHeight="1">
      <c r="A1892"/>
      <c r="AC1892"/>
      <c r="AD1892"/>
    </row>
    <row r="1893" spans="1:30" ht="41.45" customHeight="1">
      <c r="A1893"/>
      <c r="AC1893"/>
      <c r="AD1893"/>
    </row>
    <row r="1894" spans="1:30" ht="41.45" customHeight="1">
      <c r="A1894"/>
      <c r="AC1894"/>
      <c r="AD1894"/>
    </row>
    <row r="1895" spans="1:30" ht="41.45" customHeight="1">
      <c r="A1895"/>
      <c r="AC1895"/>
      <c r="AD1895"/>
    </row>
    <row r="1896" spans="1:30" ht="41.45" customHeight="1">
      <c r="A1896"/>
      <c r="AC1896"/>
      <c r="AD1896"/>
    </row>
    <row r="1897" spans="1:30" ht="41.45" customHeight="1">
      <c r="A1897"/>
      <c r="AC1897"/>
      <c r="AD1897"/>
    </row>
    <row r="1898" spans="1:30" ht="41.45" customHeight="1">
      <c r="A1898"/>
      <c r="AC1898"/>
      <c r="AD1898"/>
    </row>
    <row r="1899" spans="1:30" ht="41.45" customHeight="1">
      <c r="A1899"/>
      <c r="AC1899"/>
      <c r="AD1899"/>
    </row>
    <row r="1900" spans="1:30" ht="41.45" customHeight="1">
      <c r="A1900"/>
      <c r="AC1900"/>
      <c r="AD1900"/>
    </row>
    <row r="1901" spans="1:30" ht="41.45" customHeight="1">
      <c r="A1901"/>
      <c r="AC1901"/>
      <c r="AD1901"/>
    </row>
    <row r="1902" spans="1:30" ht="41.45" customHeight="1">
      <c r="A1902"/>
      <c r="AC1902"/>
      <c r="AD1902"/>
    </row>
    <row r="1903" spans="1:30" ht="41.45" customHeight="1">
      <c r="A1903"/>
      <c r="AC1903"/>
      <c r="AD1903"/>
    </row>
    <row r="1904" spans="1:30" ht="41.45" customHeight="1">
      <c r="A1904"/>
      <c r="AC1904"/>
      <c r="AD1904"/>
    </row>
    <row r="1905" spans="1:30" ht="41.45" customHeight="1">
      <c r="A1905"/>
      <c r="AC1905"/>
      <c r="AD1905"/>
    </row>
    <row r="1906" spans="1:30" ht="41.45" customHeight="1">
      <c r="A1906"/>
      <c r="AC1906"/>
      <c r="AD1906"/>
    </row>
    <row r="1907" spans="1:30" ht="41.45" customHeight="1">
      <c r="A1907"/>
      <c r="AC1907"/>
      <c r="AD1907"/>
    </row>
    <row r="1908" spans="1:30" ht="41.45" customHeight="1">
      <c r="A1908"/>
      <c r="AC1908"/>
      <c r="AD1908"/>
    </row>
    <row r="1909" spans="1:30" ht="41.45" customHeight="1">
      <c r="A1909"/>
      <c r="AC1909"/>
      <c r="AD1909"/>
    </row>
    <row r="1910" spans="1:30" ht="41.45" customHeight="1">
      <c r="A1910"/>
      <c r="AC1910"/>
      <c r="AD1910"/>
    </row>
    <row r="1911" spans="1:30" ht="41.45" customHeight="1">
      <c r="A1911"/>
      <c r="AC1911"/>
      <c r="AD1911"/>
    </row>
    <row r="1912" spans="1:30" ht="41.45" customHeight="1">
      <c r="A1912"/>
      <c r="AC1912"/>
      <c r="AD1912"/>
    </row>
    <row r="1913" spans="1:30" ht="41.45" customHeight="1">
      <c r="A1913"/>
      <c r="AC1913"/>
      <c r="AD1913"/>
    </row>
    <row r="1914" spans="1:30" ht="41.45" customHeight="1">
      <c r="A1914"/>
      <c r="AC1914"/>
      <c r="AD1914"/>
    </row>
    <row r="1915" spans="1:30" ht="41.45" customHeight="1">
      <c r="A1915"/>
      <c r="AC1915"/>
      <c r="AD1915"/>
    </row>
    <row r="1916" spans="1:30" ht="41.45" customHeight="1">
      <c r="A1916"/>
      <c r="AC1916"/>
      <c r="AD1916"/>
    </row>
    <row r="1917" spans="1:30" ht="41.45" customHeight="1">
      <c r="A1917"/>
      <c r="AC1917"/>
      <c r="AD1917"/>
    </row>
    <row r="1918" spans="1:30" ht="41.45" customHeight="1">
      <c r="A1918"/>
      <c r="AC1918"/>
      <c r="AD1918"/>
    </row>
    <row r="1919" spans="1:30" ht="41.45" customHeight="1">
      <c r="A1919"/>
      <c r="AC1919"/>
      <c r="AD1919"/>
    </row>
    <row r="1920" spans="1:30" ht="41.45" customHeight="1">
      <c r="A1920"/>
      <c r="AC1920"/>
      <c r="AD1920"/>
    </row>
    <row r="1921" spans="1:30" ht="41.45" customHeight="1">
      <c r="A1921"/>
      <c r="AC1921"/>
      <c r="AD1921"/>
    </row>
    <row r="1922" spans="1:30" ht="41.45" customHeight="1">
      <c r="A1922"/>
      <c r="AC1922"/>
      <c r="AD1922"/>
    </row>
    <row r="1923" spans="1:30" ht="41.45" customHeight="1">
      <c r="A1923"/>
      <c r="AC1923"/>
      <c r="AD1923"/>
    </row>
    <row r="1924" spans="1:30" ht="41.45" customHeight="1">
      <c r="A1924"/>
      <c r="AC1924"/>
      <c r="AD1924"/>
    </row>
    <row r="1925" spans="1:30" ht="41.45" customHeight="1">
      <c r="A1925"/>
      <c r="AC1925"/>
      <c r="AD1925"/>
    </row>
    <row r="1926" spans="1:30" ht="41.45" customHeight="1">
      <c r="A1926"/>
      <c r="AC1926"/>
      <c r="AD1926"/>
    </row>
    <row r="1927" spans="1:30" ht="41.45" customHeight="1">
      <c r="A1927"/>
      <c r="AC1927"/>
      <c r="AD1927"/>
    </row>
    <row r="1928" spans="1:30" ht="41.45" customHeight="1">
      <c r="A1928"/>
      <c r="AC1928"/>
      <c r="AD1928"/>
    </row>
    <row r="1929" spans="1:30" ht="41.45" customHeight="1">
      <c r="A1929"/>
      <c r="AC1929"/>
      <c r="AD1929"/>
    </row>
    <row r="1930" spans="1:30" ht="41.45" customHeight="1">
      <c r="A1930"/>
      <c r="AC1930"/>
      <c r="AD1930"/>
    </row>
    <row r="1931" spans="1:30" ht="41.45" customHeight="1">
      <c r="A1931"/>
      <c r="AC1931"/>
      <c r="AD1931"/>
    </row>
    <row r="1932" spans="1:30" ht="41.45" customHeight="1">
      <c r="A1932"/>
      <c r="AC1932"/>
      <c r="AD1932"/>
    </row>
    <row r="1933" spans="1:30" ht="41.45" customHeight="1">
      <c r="A1933"/>
      <c r="AC1933"/>
      <c r="AD1933"/>
    </row>
    <row r="1934" spans="1:30" ht="41.45" customHeight="1">
      <c r="A1934"/>
      <c r="AC1934"/>
      <c r="AD1934"/>
    </row>
    <row r="1935" spans="1:30" ht="41.45" customHeight="1">
      <c r="A1935"/>
      <c r="AC1935"/>
      <c r="AD1935"/>
    </row>
    <row r="1936" spans="1:30" ht="41.45" customHeight="1">
      <c r="A1936"/>
      <c r="AC1936"/>
      <c r="AD1936"/>
    </row>
    <row r="1937" spans="1:30" ht="41.45" customHeight="1">
      <c r="A1937"/>
      <c r="AC1937"/>
      <c r="AD1937"/>
    </row>
    <row r="1938" spans="1:30" ht="41.45" customHeight="1">
      <c r="A1938"/>
      <c r="AC1938"/>
      <c r="AD1938"/>
    </row>
    <row r="1939" spans="1:30" ht="41.45" customHeight="1">
      <c r="A1939"/>
      <c r="AC1939"/>
      <c r="AD1939"/>
    </row>
    <row r="1940" spans="1:30" ht="41.45" customHeight="1">
      <c r="A1940"/>
      <c r="AC1940"/>
      <c r="AD1940"/>
    </row>
    <row r="1941" spans="1:30" ht="41.45" customHeight="1">
      <c r="A1941"/>
      <c r="AC1941"/>
      <c r="AD1941"/>
    </row>
    <row r="1942" spans="1:30" ht="41.45" customHeight="1">
      <c r="A1942"/>
      <c r="AC1942"/>
      <c r="AD1942"/>
    </row>
    <row r="1943" spans="1:30" ht="41.45" customHeight="1">
      <c r="A1943"/>
      <c r="AC1943"/>
      <c r="AD1943"/>
    </row>
    <row r="1944" spans="1:30" ht="41.45" customHeight="1">
      <c r="A1944"/>
      <c r="AC1944"/>
      <c r="AD1944"/>
    </row>
    <row r="1945" spans="1:30" ht="41.45" customHeight="1">
      <c r="A1945"/>
      <c r="AC1945"/>
      <c r="AD1945"/>
    </row>
    <row r="1946" spans="1:30" ht="41.45" customHeight="1">
      <c r="A1946"/>
      <c r="AC1946"/>
      <c r="AD1946"/>
    </row>
    <row r="1947" spans="1:30" ht="41.45" customHeight="1">
      <c r="A1947"/>
      <c r="AC1947"/>
      <c r="AD1947"/>
    </row>
    <row r="1948" spans="1:30" ht="41.45" customHeight="1">
      <c r="A1948"/>
      <c r="AC1948"/>
      <c r="AD1948"/>
    </row>
    <row r="1949" spans="1:30" ht="41.45" customHeight="1">
      <c r="A1949"/>
      <c r="AC1949"/>
      <c r="AD1949"/>
    </row>
    <row r="1950" spans="1:30" ht="41.45" customHeight="1">
      <c r="A1950"/>
      <c r="AC1950"/>
      <c r="AD1950"/>
    </row>
    <row r="1951" spans="1:30" ht="41.45" customHeight="1">
      <c r="A1951"/>
      <c r="AC1951"/>
      <c r="AD1951"/>
    </row>
    <row r="1952" spans="1:30" ht="41.45" customHeight="1">
      <c r="A1952"/>
      <c r="AC1952"/>
      <c r="AD1952"/>
    </row>
    <row r="1953" spans="1:30" ht="41.45" customHeight="1">
      <c r="A1953"/>
      <c r="AC1953"/>
      <c r="AD1953"/>
    </row>
    <row r="1954" spans="1:30" ht="41.45" customHeight="1">
      <c r="A1954"/>
      <c r="AC1954"/>
      <c r="AD1954"/>
    </row>
    <row r="1955" spans="1:30" ht="41.45" customHeight="1">
      <c r="A1955"/>
      <c r="AC1955"/>
      <c r="AD1955"/>
    </row>
    <row r="1956" spans="1:30" ht="41.45" customHeight="1">
      <c r="A1956"/>
      <c r="AC1956"/>
      <c r="AD1956"/>
    </row>
    <row r="1957" spans="1:30" ht="41.45" customHeight="1">
      <c r="A1957"/>
      <c r="AC1957"/>
      <c r="AD1957"/>
    </row>
    <row r="1958" spans="1:30" ht="41.45" customHeight="1">
      <c r="A1958"/>
      <c r="AC1958"/>
      <c r="AD1958"/>
    </row>
    <row r="1959" spans="1:30" ht="41.45" customHeight="1">
      <c r="A1959"/>
      <c r="AC1959"/>
      <c r="AD1959"/>
    </row>
    <row r="1960" spans="1:30" ht="41.45" customHeight="1">
      <c r="A1960"/>
      <c r="AC1960"/>
      <c r="AD1960"/>
    </row>
    <row r="1961" spans="1:30" ht="41.45" customHeight="1">
      <c r="A1961"/>
      <c r="AC1961"/>
      <c r="AD1961"/>
    </row>
    <row r="1962" spans="1:30" ht="41.45" customHeight="1">
      <c r="A1962"/>
      <c r="AC1962"/>
      <c r="AD1962"/>
    </row>
    <row r="1963" spans="1:30" ht="41.45" customHeight="1">
      <c r="A1963"/>
      <c r="AC1963"/>
      <c r="AD1963"/>
    </row>
    <row r="1964" spans="1:30" ht="41.45" customHeight="1">
      <c r="A1964"/>
      <c r="AC1964"/>
      <c r="AD1964"/>
    </row>
    <row r="1965" spans="1:30" ht="41.45" customHeight="1">
      <c r="A1965"/>
      <c r="AC1965"/>
      <c r="AD1965"/>
    </row>
    <row r="1966" spans="1:30" ht="41.45" customHeight="1">
      <c r="A1966"/>
      <c r="AC1966"/>
      <c r="AD1966"/>
    </row>
    <row r="1967" spans="1:30" ht="41.45" customHeight="1">
      <c r="A1967"/>
      <c r="AC1967"/>
      <c r="AD1967"/>
    </row>
    <row r="1968" spans="1:30" ht="41.45" customHeight="1">
      <c r="A1968"/>
      <c r="AC1968"/>
      <c r="AD1968"/>
    </row>
    <row r="1969" spans="1:30" ht="41.45" customHeight="1">
      <c r="A1969"/>
      <c r="AC1969"/>
      <c r="AD1969"/>
    </row>
    <row r="1970" spans="1:30" ht="41.45" customHeight="1">
      <c r="A1970"/>
      <c r="AC1970"/>
      <c r="AD1970"/>
    </row>
    <row r="1971" spans="1:30" ht="41.45" customHeight="1">
      <c r="A1971"/>
      <c r="AC1971"/>
      <c r="AD1971"/>
    </row>
    <row r="1972" spans="1:30" ht="41.45" customHeight="1">
      <c r="A1972"/>
      <c r="AC1972"/>
      <c r="AD1972"/>
    </row>
    <row r="1973" spans="1:30" ht="41.45" customHeight="1">
      <c r="A1973"/>
      <c r="AC1973"/>
      <c r="AD1973"/>
    </row>
    <row r="1974" spans="1:30" ht="41.45" customHeight="1">
      <c r="A1974"/>
      <c r="AC1974"/>
      <c r="AD1974"/>
    </row>
    <row r="1975" spans="1:30" ht="41.45" customHeight="1">
      <c r="A1975"/>
      <c r="AC1975"/>
      <c r="AD1975"/>
    </row>
    <row r="1976" spans="1:30" ht="41.45" customHeight="1">
      <c r="A1976"/>
      <c r="AC1976"/>
      <c r="AD1976"/>
    </row>
    <row r="1977" spans="1:30" ht="41.45" customHeight="1">
      <c r="A1977"/>
      <c r="AC1977"/>
      <c r="AD1977"/>
    </row>
    <row r="1978" spans="1:30" ht="41.45" customHeight="1">
      <c r="A1978"/>
      <c r="AC1978"/>
      <c r="AD1978"/>
    </row>
    <row r="1979" spans="1:30" ht="41.45" customHeight="1">
      <c r="A1979"/>
      <c r="AC1979"/>
      <c r="AD1979"/>
    </row>
    <row r="1980" spans="1:30" ht="41.45" customHeight="1">
      <c r="A1980"/>
      <c r="AC1980"/>
      <c r="AD1980"/>
    </row>
    <row r="1981" spans="1:30" ht="41.45" customHeight="1">
      <c r="A1981"/>
      <c r="AC1981"/>
      <c r="AD1981"/>
    </row>
    <row r="1982" spans="1:30" ht="41.45" customHeight="1">
      <c r="A1982"/>
      <c r="AC1982"/>
      <c r="AD1982"/>
    </row>
    <row r="1983" spans="1:30" ht="41.45" customHeight="1">
      <c r="A1983"/>
      <c r="AC1983"/>
      <c r="AD1983"/>
    </row>
    <row r="1984" spans="1:30" ht="41.45" customHeight="1">
      <c r="A1984"/>
      <c r="AC1984"/>
      <c r="AD1984"/>
    </row>
    <row r="1985" spans="1:30" ht="41.45" customHeight="1">
      <c r="A1985"/>
      <c r="AC1985"/>
      <c r="AD1985"/>
    </row>
    <row r="1986" spans="1:30" ht="41.45" customHeight="1">
      <c r="A1986"/>
      <c r="AC1986"/>
      <c r="AD1986"/>
    </row>
    <row r="1987" spans="1:30" ht="41.45" customHeight="1">
      <c r="A1987"/>
      <c r="AC1987"/>
      <c r="AD1987"/>
    </row>
    <row r="1988" spans="1:30" ht="41.45" customHeight="1">
      <c r="A1988"/>
      <c r="AC1988"/>
      <c r="AD1988"/>
    </row>
    <row r="1989" spans="1:30" ht="41.45" customHeight="1">
      <c r="A1989"/>
      <c r="AC1989"/>
      <c r="AD1989"/>
    </row>
    <row r="1990" spans="1:30" ht="41.45" customHeight="1">
      <c r="A1990"/>
      <c r="AC1990"/>
      <c r="AD1990"/>
    </row>
    <row r="1991" spans="1:30" ht="41.45" customHeight="1">
      <c r="A1991"/>
      <c r="AC1991"/>
      <c r="AD1991"/>
    </row>
    <row r="1992" spans="1:30" ht="41.45" customHeight="1">
      <c r="A1992"/>
      <c r="AC1992"/>
      <c r="AD1992"/>
    </row>
    <row r="1993" spans="1:30" ht="41.45" customHeight="1">
      <c r="A1993"/>
      <c r="AC1993"/>
      <c r="AD1993"/>
    </row>
    <row r="1994" spans="1:30" ht="41.45" customHeight="1">
      <c r="A1994"/>
      <c r="AC1994"/>
      <c r="AD1994"/>
    </row>
    <row r="1995" spans="1:30" ht="41.45" customHeight="1">
      <c r="A1995"/>
      <c r="AC1995"/>
      <c r="AD1995"/>
    </row>
    <row r="1996" spans="1:30" ht="41.45" customHeight="1">
      <c r="A1996"/>
      <c r="AC1996"/>
      <c r="AD1996"/>
    </row>
    <row r="1997" spans="1:30" ht="41.45" customHeight="1">
      <c r="A1997"/>
      <c r="AC1997"/>
      <c r="AD1997"/>
    </row>
    <row r="1998" spans="1:30" ht="41.45" customHeight="1">
      <c r="A1998"/>
      <c r="AC1998"/>
      <c r="AD1998"/>
    </row>
    <row r="1999" spans="1:30" ht="41.45" customHeight="1">
      <c r="A1999"/>
      <c r="AC1999"/>
      <c r="AD1999"/>
    </row>
    <row r="2000" spans="1:30" ht="41.45" customHeight="1">
      <c r="A2000"/>
      <c r="AC2000"/>
      <c r="AD2000"/>
    </row>
    <row r="2001" spans="1:30" ht="41.45" customHeight="1">
      <c r="A2001"/>
      <c r="AC2001"/>
      <c r="AD2001"/>
    </row>
    <row r="2002" spans="1:30" ht="41.45" customHeight="1">
      <c r="A2002"/>
      <c r="AC2002"/>
      <c r="AD2002"/>
    </row>
    <row r="2003" spans="1:30" ht="41.45" customHeight="1">
      <c r="A2003"/>
      <c r="AC2003"/>
      <c r="AD2003"/>
    </row>
    <row r="2004" spans="1:30" ht="41.45" customHeight="1">
      <c r="A2004"/>
      <c r="AC2004"/>
      <c r="AD2004"/>
    </row>
    <row r="2005" spans="1:30" ht="41.45" customHeight="1">
      <c r="A2005"/>
      <c r="AC2005"/>
      <c r="AD2005"/>
    </row>
    <row r="2006" spans="1:30" ht="41.45" customHeight="1">
      <c r="A2006"/>
      <c r="AC2006"/>
      <c r="AD2006"/>
    </row>
    <row r="2007" spans="1:30" ht="41.45" customHeight="1">
      <c r="A2007"/>
      <c r="AC2007"/>
      <c r="AD2007"/>
    </row>
    <row r="2008" spans="1:30" ht="41.45" customHeight="1">
      <c r="A2008"/>
      <c r="AC2008"/>
      <c r="AD2008"/>
    </row>
    <row r="2009" spans="1:30" ht="41.45" customHeight="1">
      <c r="A2009"/>
      <c r="AC2009"/>
      <c r="AD2009"/>
    </row>
    <row r="2010" spans="1:30" ht="41.45" customHeight="1">
      <c r="A2010"/>
      <c r="AC2010"/>
      <c r="AD2010"/>
    </row>
    <row r="2011" spans="1:30" ht="41.45" customHeight="1">
      <c r="A2011"/>
      <c r="AC2011"/>
      <c r="AD2011"/>
    </row>
    <row r="2012" spans="1:30" ht="41.45" customHeight="1">
      <c r="A2012"/>
      <c r="AC2012"/>
      <c r="AD2012"/>
    </row>
    <row r="2013" spans="1:30" ht="41.45" customHeight="1">
      <c r="A2013"/>
      <c r="AC2013"/>
      <c r="AD2013"/>
    </row>
    <row r="2014" spans="1:30" ht="41.45" customHeight="1">
      <c r="A2014"/>
      <c r="AC2014"/>
      <c r="AD2014"/>
    </row>
    <row r="2015" spans="1:30" ht="41.45" customHeight="1">
      <c r="A2015"/>
      <c r="AC2015"/>
      <c r="AD2015"/>
    </row>
    <row r="2016" spans="1:30" ht="41.45" customHeight="1">
      <c r="A2016"/>
      <c r="AC2016"/>
      <c r="AD2016"/>
    </row>
    <row r="2017" spans="1:30" ht="41.45" customHeight="1">
      <c r="A2017"/>
      <c r="AC2017"/>
      <c r="AD2017"/>
    </row>
    <row r="2018" spans="1:30" ht="41.45" customHeight="1">
      <c r="A2018"/>
      <c r="AC2018"/>
      <c r="AD2018"/>
    </row>
    <row r="2019" spans="1:30" ht="41.45" customHeight="1">
      <c r="A2019"/>
      <c r="AC2019"/>
      <c r="AD2019"/>
    </row>
    <row r="2020" spans="1:30" ht="41.45" customHeight="1">
      <c r="A2020"/>
      <c r="AC2020"/>
      <c r="AD2020"/>
    </row>
    <row r="2021" spans="1:30" ht="41.45" customHeight="1">
      <c r="A2021"/>
      <c r="AC2021"/>
      <c r="AD2021"/>
    </row>
    <row r="2022" spans="1:30" ht="41.45" customHeight="1">
      <c r="A2022"/>
      <c r="AC2022"/>
      <c r="AD2022"/>
    </row>
    <row r="2023" spans="1:30" ht="41.45" customHeight="1">
      <c r="A2023"/>
      <c r="AC2023"/>
      <c r="AD2023"/>
    </row>
    <row r="2024" spans="1:30" ht="41.45" customHeight="1">
      <c r="A2024"/>
      <c r="AC2024"/>
      <c r="AD2024"/>
    </row>
    <row r="2025" spans="1:30" ht="41.45" customHeight="1">
      <c r="A2025"/>
      <c r="AC2025"/>
      <c r="AD2025"/>
    </row>
    <row r="2026" spans="1:30" ht="41.45" customHeight="1">
      <c r="A2026"/>
      <c r="AC2026"/>
      <c r="AD2026"/>
    </row>
    <row r="2027" spans="1:30" ht="41.45" customHeight="1">
      <c r="A2027"/>
      <c r="AC2027"/>
      <c r="AD2027"/>
    </row>
    <row r="2028" spans="1:30" ht="41.45" customHeight="1">
      <c r="A2028"/>
      <c r="AC2028"/>
      <c r="AD2028"/>
    </row>
    <row r="2029" spans="1:30" ht="41.45" customHeight="1">
      <c r="A2029"/>
      <c r="AC2029"/>
      <c r="AD2029"/>
    </row>
    <row r="2030" spans="1:30" ht="41.45" customHeight="1">
      <c r="A2030"/>
      <c r="AC2030"/>
      <c r="AD2030"/>
    </row>
    <row r="2031" spans="1:30" ht="41.45" customHeight="1">
      <c r="A2031"/>
      <c r="AC2031"/>
      <c r="AD2031"/>
    </row>
    <row r="2032" spans="1:30" ht="41.45" customHeight="1">
      <c r="A2032"/>
      <c r="AC2032"/>
      <c r="AD2032"/>
    </row>
    <row r="2033" spans="1:30" ht="41.45" customHeight="1">
      <c r="A2033"/>
      <c r="AC2033"/>
      <c r="AD2033"/>
    </row>
    <row r="2034" spans="1:30" ht="41.45" customHeight="1">
      <c r="A2034"/>
      <c r="AC2034"/>
      <c r="AD2034"/>
    </row>
    <row r="2035" spans="1:30" ht="41.45" customHeight="1">
      <c r="A2035"/>
      <c r="AC2035"/>
      <c r="AD2035"/>
    </row>
    <row r="2036" spans="1:30" ht="41.45" customHeight="1">
      <c r="A2036"/>
      <c r="AC2036"/>
      <c r="AD2036"/>
    </row>
    <row r="2037" spans="1:30" ht="41.45" customHeight="1">
      <c r="A2037"/>
      <c r="AC2037"/>
      <c r="AD2037"/>
    </row>
    <row r="2038" spans="1:30" ht="41.45" customHeight="1">
      <c r="A2038"/>
      <c r="AC2038"/>
      <c r="AD2038"/>
    </row>
    <row r="2039" spans="1:30" ht="41.45" customHeight="1">
      <c r="A2039"/>
      <c r="AC2039"/>
      <c r="AD2039"/>
    </row>
    <row r="2040" spans="1:30" ht="41.45" customHeight="1">
      <c r="A2040"/>
      <c r="AC2040"/>
      <c r="AD2040"/>
    </row>
    <row r="2041" spans="1:30" ht="41.45" customHeight="1">
      <c r="A2041"/>
      <c r="AC2041"/>
      <c r="AD2041"/>
    </row>
    <row r="2042" spans="1:30" ht="41.45" customHeight="1">
      <c r="A2042"/>
      <c r="AC2042"/>
      <c r="AD2042"/>
    </row>
    <row r="2043" spans="1:30" ht="41.45" customHeight="1">
      <c r="A2043"/>
      <c r="AC2043"/>
      <c r="AD2043"/>
    </row>
    <row r="2044" spans="1:30" ht="41.45" customHeight="1">
      <c r="A2044"/>
      <c r="AC2044"/>
      <c r="AD2044"/>
    </row>
    <row r="2045" spans="1:30" ht="41.45" customHeight="1">
      <c r="A2045"/>
      <c r="AC2045"/>
      <c r="AD2045"/>
    </row>
    <row r="2046" spans="1:30" ht="41.45" customHeight="1">
      <c r="A2046"/>
      <c r="AC2046"/>
      <c r="AD2046"/>
    </row>
    <row r="2047" spans="1:30" ht="41.45" customHeight="1">
      <c r="A2047"/>
      <c r="AC2047"/>
      <c r="AD2047"/>
    </row>
    <row r="2048" spans="1:30" ht="41.45" customHeight="1">
      <c r="A2048"/>
      <c r="AC2048"/>
      <c r="AD2048"/>
    </row>
    <row r="2049" spans="1:30" ht="41.45" customHeight="1">
      <c r="A2049"/>
      <c r="AC2049"/>
      <c r="AD2049"/>
    </row>
    <row r="2050" spans="1:30" ht="41.45" customHeight="1">
      <c r="A2050"/>
      <c r="AC2050"/>
      <c r="AD2050"/>
    </row>
    <row r="2051" spans="1:30" ht="41.45" customHeight="1">
      <c r="A2051"/>
      <c r="AC2051"/>
      <c r="AD2051"/>
    </row>
    <row r="2052" spans="1:30" ht="41.45" customHeight="1">
      <c r="A2052"/>
      <c r="AC2052"/>
      <c r="AD2052"/>
    </row>
    <row r="2053" spans="1:30" ht="41.45" customHeight="1">
      <c r="A2053"/>
      <c r="AC2053"/>
      <c r="AD2053"/>
    </row>
    <row r="2054" spans="1:30" ht="41.45" customHeight="1">
      <c r="A2054"/>
      <c r="AC2054"/>
      <c r="AD2054"/>
    </row>
    <row r="2055" spans="1:30" ht="41.45" customHeight="1">
      <c r="A2055"/>
      <c r="AC2055"/>
      <c r="AD2055"/>
    </row>
    <row r="2056" spans="1:30" ht="41.45" customHeight="1">
      <c r="A2056"/>
      <c r="AC2056"/>
      <c r="AD2056"/>
    </row>
    <row r="2057" spans="1:30" ht="41.45" customHeight="1">
      <c r="A2057"/>
      <c r="AC2057"/>
      <c r="AD2057"/>
    </row>
    <row r="2058" spans="1:30" ht="41.45" customHeight="1">
      <c r="A2058"/>
      <c r="AC2058"/>
      <c r="AD2058"/>
    </row>
    <row r="2059" spans="1:30" ht="41.45" customHeight="1">
      <c r="A2059"/>
      <c r="AC2059"/>
      <c r="AD2059"/>
    </row>
    <row r="2060" spans="1:30" ht="41.45" customHeight="1">
      <c r="A2060"/>
      <c r="AC2060"/>
      <c r="AD2060"/>
    </row>
    <row r="2061" spans="1:30" ht="41.45" customHeight="1">
      <c r="A2061"/>
      <c r="AC2061"/>
      <c r="AD2061"/>
    </row>
    <row r="2062" spans="1:30" ht="41.45" customHeight="1">
      <c r="A2062"/>
      <c r="AC2062"/>
      <c r="AD2062"/>
    </row>
    <row r="2063" spans="1:30" ht="41.45" customHeight="1">
      <c r="A2063"/>
      <c r="AC2063"/>
      <c r="AD2063"/>
    </row>
    <row r="2064" spans="1:30" ht="41.45" customHeight="1">
      <c r="A2064"/>
      <c r="AC2064"/>
      <c r="AD2064"/>
    </row>
    <row r="2065" spans="1:30" ht="41.45" customHeight="1">
      <c r="A2065"/>
      <c r="AC2065"/>
      <c r="AD2065"/>
    </row>
    <row r="2066" spans="1:30" ht="41.45" customHeight="1">
      <c r="A2066"/>
      <c r="AC2066"/>
      <c r="AD2066"/>
    </row>
    <row r="2067" spans="1:30" ht="41.45" customHeight="1">
      <c r="A2067"/>
      <c r="AC2067"/>
      <c r="AD2067"/>
    </row>
    <row r="2068" spans="1:30" ht="41.45" customHeight="1">
      <c r="A2068"/>
      <c r="AC2068"/>
      <c r="AD2068"/>
    </row>
    <row r="2069" spans="1:30" ht="41.45" customHeight="1">
      <c r="A2069"/>
      <c r="AC2069"/>
      <c r="AD2069"/>
    </row>
    <row r="2070" spans="1:30" ht="41.45" customHeight="1">
      <c r="A2070"/>
      <c r="AC2070"/>
      <c r="AD2070"/>
    </row>
    <row r="2071" spans="1:30" ht="41.45" customHeight="1">
      <c r="A2071"/>
      <c r="AC2071"/>
      <c r="AD2071"/>
    </row>
    <row r="2072" spans="1:30" ht="41.45" customHeight="1">
      <c r="A2072"/>
      <c r="AC2072"/>
      <c r="AD2072"/>
    </row>
    <row r="2073" spans="1:30" ht="41.45" customHeight="1">
      <c r="A2073"/>
      <c r="AC2073"/>
      <c r="AD2073"/>
    </row>
    <row r="2074" spans="1:30" ht="41.45" customHeight="1">
      <c r="A2074"/>
      <c r="AC2074"/>
      <c r="AD2074"/>
    </row>
    <row r="2075" spans="1:30" ht="41.45" customHeight="1">
      <c r="A2075"/>
      <c r="AC2075"/>
      <c r="AD2075"/>
    </row>
    <row r="2076" spans="1:30" ht="41.45" customHeight="1">
      <c r="A2076"/>
      <c r="AC2076"/>
      <c r="AD2076"/>
    </row>
    <row r="2077" spans="1:30" ht="41.45" customHeight="1">
      <c r="A2077"/>
      <c r="AC2077"/>
      <c r="AD2077"/>
    </row>
    <row r="2078" spans="1:30" ht="41.45" customHeight="1">
      <c r="A2078"/>
      <c r="AC2078"/>
      <c r="AD2078"/>
    </row>
    <row r="2079" spans="1:30" ht="41.45" customHeight="1">
      <c r="A2079"/>
      <c r="AC2079"/>
      <c r="AD2079"/>
    </row>
    <row r="2080" spans="1:30" ht="41.45" customHeight="1">
      <c r="A2080"/>
      <c r="AC2080"/>
      <c r="AD2080"/>
    </row>
    <row r="2081" spans="1:30" ht="41.45" customHeight="1">
      <c r="A2081"/>
      <c r="AC2081"/>
      <c r="AD2081"/>
    </row>
    <row r="2082" spans="1:30" ht="41.45" customHeight="1">
      <c r="A2082"/>
      <c r="AC2082"/>
      <c r="AD2082"/>
    </row>
    <row r="2083" spans="1:30" ht="41.45" customHeight="1">
      <c r="A2083"/>
      <c r="AC2083"/>
      <c r="AD2083"/>
    </row>
    <row r="2084" spans="1:30" ht="41.45" customHeight="1">
      <c r="A2084"/>
      <c r="AC2084"/>
      <c r="AD2084"/>
    </row>
    <row r="2085" spans="1:30" ht="41.45" customHeight="1">
      <c r="A2085"/>
      <c r="AC2085"/>
      <c r="AD2085"/>
    </row>
    <row r="2086" spans="1:30" ht="41.45" customHeight="1">
      <c r="A2086"/>
      <c r="AC2086"/>
      <c r="AD2086"/>
    </row>
    <row r="2087" spans="1:30" ht="41.45" customHeight="1">
      <c r="A2087"/>
      <c r="AC2087"/>
      <c r="AD2087"/>
    </row>
    <row r="2088" spans="1:30" ht="41.45" customHeight="1">
      <c r="A2088"/>
      <c r="AC2088"/>
      <c r="AD2088"/>
    </row>
    <row r="2089" spans="1:30" ht="41.45" customHeight="1">
      <c r="A2089"/>
      <c r="AC2089"/>
      <c r="AD2089"/>
    </row>
    <row r="2090" spans="1:30" ht="41.45" customHeight="1">
      <c r="A2090"/>
      <c r="AC2090"/>
      <c r="AD2090"/>
    </row>
    <row r="2091" spans="1:30" ht="41.45" customHeight="1">
      <c r="A2091"/>
      <c r="AC2091"/>
      <c r="AD2091"/>
    </row>
    <row r="2092" spans="1:30" ht="41.45" customHeight="1">
      <c r="A2092"/>
      <c r="AC2092"/>
      <c r="AD2092"/>
    </row>
    <row r="2093" spans="1:30" ht="41.45" customHeight="1">
      <c r="A2093"/>
      <c r="AC2093"/>
      <c r="AD2093"/>
    </row>
    <row r="2094" spans="1:30" ht="41.45" customHeight="1">
      <c r="A2094"/>
      <c r="AC2094"/>
      <c r="AD2094"/>
    </row>
    <row r="2095" spans="1:30" ht="41.45" customHeight="1">
      <c r="A2095"/>
      <c r="AC2095"/>
      <c r="AD2095"/>
    </row>
    <row r="2096" spans="1:30" ht="41.45" customHeight="1">
      <c r="A2096"/>
      <c r="AC2096"/>
      <c r="AD2096"/>
    </row>
    <row r="2097" spans="1:30" ht="41.45" customHeight="1">
      <c r="A2097"/>
      <c r="AC2097"/>
      <c r="AD2097"/>
    </row>
    <row r="2098" spans="1:30" ht="41.45" customHeight="1">
      <c r="A2098"/>
      <c r="AC2098"/>
      <c r="AD2098"/>
    </row>
    <row r="2099" spans="1:30" ht="41.45" customHeight="1">
      <c r="A2099"/>
      <c r="AC2099"/>
      <c r="AD2099"/>
    </row>
    <row r="2100" spans="1:30" ht="41.45" customHeight="1">
      <c r="A2100"/>
      <c r="AC2100"/>
      <c r="AD2100"/>
    </row>
    <row r="2101" spans="1:30" ht="41.45" customHeight="1">
      <c r="A2101"/>
      <c r="AC2101"/>
      <c r="AD2101"/>
    </row>
    <row r="2102" spans="1:30" ht="41.45" customHeight="1">
      <c r="A2102"/>
      <c r="AC2102"/>
      <c r="AD2102"/>
    </row>
    <row r="2103" spans="1:30" ht="41.45" customHeight="1">
      <c r="A2103"/>
      <c r="AC2103"/>
      <c r="AD2103"/>
    </row>
    <row r="2104" spans="1:30" ht="41.45" customHeight="1">
      <c r="A2104"/>
      <c r="AC2104"/>
      <c r="AD2104"/>
    </row>
    <row r="2105" spans="1:30" ht="41.45" customHeight="1">
      <c r="A2105"/>
      <c r="AC2105"/>
      <c r="AD2105"/>
    </row>
    <row r="2106" spans="1:30" ht="41.45" customHeight="1">
      <c r="A2106"/>
      <c r="AC2106"/>
      <c r="AD2106"/>
    </row>
    <row r="2107" spans="1:30" ht="41.45" customHeight="1">
      <c r="A2107"/>
      <c r="AC2107"/>
      <c r="AD2107"/>
    </row>
    <row r="2108" spans="1:30" ht="41.45" customHeight="1">
      <c r="A2108"/>
      <c r="AC2108"/>
      <c r="AD2108"/>
    </row>
    <row r="2109" spans="1:30" ht="41.45" customHeight="1">
      <c r="A2109"/>
      <c r="AC2109"/>
      <c r="AD2109"/>
    </row>
    <row r="2110" spans="1:30" ht="41.45" customHeight="1">
      <c r="A2110"/>
      <c r="AC2110"/>
      <c r="AD2110"/>
    </row>
    <row r="2111" spans="1:30" ht="41.45" customHeight="1">
      <c r="A2111"/>
      <c r="AC2111"/>
      <c r="AD2111"/>
    </row>
    <row r="2112" spans="1:30" ht="41.45" customHeight="1">
      <c r="A2112"/>
      <c r="AC2112"/>
      <c r="AD2112"/>
    </row>
    <row r="2113" spans="1:30" ht="41.45" customHeight="1">
      <c r="A2113"/>
      <c r="AC2113"/>
      <c r="AD2113"/>
    </row>
    <row r="2114" spans="1:30" ht="41.45" customHeight="1">
      <c r="A2114"/>
      <c r="AC2114"/>
      <c r="AD2114"/>
    </row>
    <row r="2115" spans="1:30" ht="41.45" customHeight="1">
      <c r="A2115"/>
      <c r="AC2115"/>
      <c r="AD2115"/>
    </row>
    <row r="2116" spans="1:30" ht="41.45" customHeight="1">
      <c r="A2116"/>
      <c r="AC2116"/>
      <c r="AD2116"/>
    </row>
    <row r="2117" spans="1:30" ht="41.45" customHeight="1">
      <c r="A2117"/>
      <c r="AC2117"/>
      <c r="AD2117"/>
    </row>
    <row r="2118" spans="1:30" ht="41.45" customHeight="1">
      <c r="A2118"/>
      <c r="AC2118"/>
      <c r="AD2118"/>
    </row>
    <row r="2119" spans="1:30" ht="41.45" customHeight="1">
      <c r="A2119"/>
      <c r="AC2119"/>
      <c r="AD2119"/>
    </row>
    <row r="2120" spans="1:30" ht="41.45" customHeight="1">
      <c r="A2120"/>
      <c r="AC2120"/>
      <c r="AD2120"/>
    </row>
    <row r="2121" spans="1:30" ht="41.45" customHeight="1">
      <c r="A2121"/>
      <c r="AC2121"/>
      <c r="AD2121"/>
    </row>
    <row r="2122" spans="1:30" ht="41.45" customHeight="1">
      <c r="A2122"/>
      <c r="AC2122"/>
      <c r="AD2122"/>
    </row>
    <row r="2123" spans="1:30" ht="41.45" customHeight="1">
      <c r="A2123"/>
      <c r="AC2123"/>
      <c r="AD2123"/>
    </row>
    <row r="2124" spans="1:30" ht="41.45" customHeight="1">
      <c r="A2124"/>
      <c r="AC2124"/>
      <c r="AD2124"/>
    </row>
    <row r="2125" spans="1:30" ht="41.45" customHeight="1">
      <c r="A2125"/>
      <c r="AC2125"/>
      <c r="AD2125"/>
    </row>
    <row r="2126" spans="1:30" ht="41.45" customHeight="1">
      <c r="A2126"/>
      <c r="AC2126"/>
      <c r="AD2126"/>
    </row>
    <row r="2127" spans="1:30" ht="41.45" customHeight="1">
      <c r="A2127"/>
      <c r="AC2127"/>
      <c r="AD2127"/>
    </row>
    <row r="2128" spans="1:30" ht="41.45" customHeight="1">
      <c r="A2128"/>
      <c r="AC2128"/>
      <c r="AD2128"/>
    </row>
    <row r="2129" spans="1:30" ht="41.45" customHeight="1">
      <c r="A2129"/>
      <c r="AC2129"/>
      <c r="AD2129"/>
    </row>
    <row r="2130" spans="1:30" ht="41.45" customHeight="1">
      <c r="A2130"/>
      <c r="AC2130"/>
      <c r="AD2130"/>
    </row>
    <row r="2131" spans="1:30" ht="41.45" customHeight="1">
      <c r="A2131"/>
      <c r="AC2131"/>
      <c r="AD2131"/>
    </row>
    <row r="2132" spans="1:30" ht="41.45" customHeight="1">
      <c r="A2132"/>
      <c r="AC2132"/>
      <c r="AD2132"/>
    </row>
    <row r="2133" spans="1:30" ht="41.45" customHeight="1">
      <c r="A2133"/>
      <c r="AC2133"/>
      <c r="AD2133"/>
    </row>
    <row r="2134" spans="1:30" ht="41.45" customHeight="1">
      <c r="A2134"/>
      <c r="AC2134"/>
      <c r="AD2134"/>
    </row>
    <row r="2135" spans="1:30" ht="41.45" customHeight="1">
      <c r="A2135"/>
      <c r="AC2135"/>
      <c r="AD2135"/>
    </row>
    <row r="2136" spans="1:30" ht="41.45" customHeight="1">
      <c r="A2136"/>
      <c r="AC2136"/>
      <c r="AD2136"/>
    </row>
    <row r="2137" spans="1:30" ht="41.45" customHeight="1">
      <c r="A2137"/>
      <c r="AC2137"/>
      <c r="AD2137"/>
    </row>
    <row r="2138" spans="1:30" ht="41.45" customHeight="1">
      <c r="A2138"/>
      <c r="AC2138"/>
      <c r="AD2138"/>
    </row>
    <row r="2139" spans="1:30" ht="41.45" customHeight="1">
      <c r="A2139"/>
      <c r="AC2139"/>
      <c r="AD2139"/>
    </row>
    <row r="2140" spans="1:30" ht="41.45" customHeight="1">
      <c r="A2140"/>
      <c r="AC2140"/>
      <c r="AD2140"/>
    </row>
    <row r="2141" spans="1:30" ht="41.45" customHeight="1">
      <c r="A2141"/>
      <c r="AC2141"/>
      <c r="AD2141"/>
    </row>
    <row r="2142" spans="1:30" ht="41.45" customHeight="1">
      <c r="A2142"/>
      <c r="AC2142"/>
      <c r="AD2142"/>
    </row>
    <row r="2143" spans="1:30" ht="41.45" customHeight="1">
      <c r="A2143"/>
      <c r="AC2143"/>
      <c r="AD2143"/>
    </row>
    <row r="2144" spans="1:30" ht="41.45" customHeight="1">
      <c r="A2144"/>
      <c r="AC2144"/>
      <c r="AD2144"/>
    </row>
    <row r="2145" spans="1:30" ht="41.45" customHeight="1">
      <c r="A2145"/>
      <c r="AC2145"/>
      <c r="AD2145"/>
    </row>
    <row r="2146" spans="1:30" ht="41.45" customHeight="1">
      <c r="A2146"/>
      <c r="AC2146"/>
      <c r="AD2146"/>
    </row>
    <row r="2147" spans="1:30" ht="41.45" customHeight="1">
      <c r="A2147"/>
      <c r="AC2147"/>
      <c r="AD2147"/>
    </row>
    <row r="2148" spans="1:30" ht="41.45" customHeight="1">
      <c r="A2148"/>
      <c r="AC2148"/>
      <c r="AD2148"/>
    </row>
    <row r="2149" spans="1:30" ht="41.45" customHeight="1">
      <c r="A2149"/>
      <c r="AC2149"/>
      <c r="AD2149"/>
    </row>
    <row r="2150" spans="1:30" ht="41.45" customHeight="1">
      <c r="A2150"/>
      <c r="AC2150"/>
      <c r="AD2150"/>
    </row>
    <row r="2151" spans="1:30" ht="41.45" customHeight="1">
      <c r="A2151"/>
      <c r="AC2151"/>
      <c r="AD2151"/>
    </row>
    <row r="2152" spans="1:30" ht="41.45" customHeight="1">
      <c r="A2152"/>
      <c r="AC2152"/>
      <c r="AD2152"/>
    </row>
    <row r="2153" spans="1:30" ht="41.45" customHeight="1">
      <c r="A2153"/>
      <c r="AC2153"/>
      <c r="AD2153"/>
    </row>
    <row r="2154" spans="1:30" ht="41.45" customHeight="1">
      <c r="A2154"/>
      <c r="AC2154"/>
      <c r="AD2154"/>
    </row>
    <row r="2155" spans="1:30" ht="41.45" customHeight="1">
      <c r="A2155"/>
      <c r="AC2155"/>
      <c r="AD2155"/>
    </row>
    <row r="2156" spans="1:30" ht="41.45" customHeight="1">
      <c r="A2156"/>
      <c r="AC2156"/>
      <c r="AD2156"/>
    </row>
    <row r="2157" spans="1:30" ht="41.45" customHeight="1">
      <c r="A2157"/>
      <c r="AC2157"/>
      <c r="AD2157"/>
    </row>
    <row r="2158" spans="1:30" ht="41.45" customHeight="1">
      <c r="A2158"/>
      <c r="AC2158"/>
      <c r="AD2158"/>
    </row>
    <row r="2159" spans="1:30" ht="41.45" customHeight="1">
      <c r="A2159"/>
      <c r="AC2159"/>
      <c r="AD2159"/>
    </row>
    <row r="2160" spans="1:30" ht="41.45" customHeight="1">
      <c r="A2160"/>
      <c r="AC2160"/>
      <c r="AD2160"/>
    </row>
    <row r="2161" spans="1:30" ht="41.45" customHeight="1">
      <c r="A2161"/>
      <c r="AC2161"/>
      <c r="AD2161"/>
    </row>
    <row r="2162" spans="1:30" ht="41.45" customHeight="1">
      <c r="A2162"/>
      <c r="AC2162"/>
      <c r="AD2162"/>
    </row>
    <row r="2163" spans="1:30" ht="41.45" customHeight="1">
      <c r="A2163"/>
      <c r="AC2163"/>
      <c r="AD2163"/>
    </row>
    <row r="2164" spans="1:30" ht="41.45" customHeight="1">
      <c r="A2164"/>
      <c r="AC2164"/>
      <c r="AD2164"/>
    </row>
    <row r="2165" spans="1:30" ht="41.45" customHeight="1">
      <c r="A2165"/>
      <c r="AC2165"/>
      <c r="AD2165"/>
    </row>
    <row r="2166" spans="1:30" ht="41.45" customHeight="1">
      <c r="A2166"/>
      <c r="AC2166"/>
      <c r="AD2166"/>
    </row>
    <row r="2167" spans="1:30" ht="41.45" customHeight="1">
      <c r="A2167"/>
      <c r="AC2167"/>
      <c r="AD2167"/>
    </row>
    <row r="2168" spans="1:30" ht="41.45" customHeight="1">
      <c r="A2168"/>
      <c r="AC2168"/>
      <c r="AD2168"/>
    </row>
    <row r="2169" spans="1:30" ht="41.45" customHeight="1">
      <c r="A2169"/>
      <c r="AC2169"/>
      <c r="AD2169"/>
    </row>
    <row r="2170" spans="1:30" ht="41.45" customHeight="1">
      <c r="A2170"/>
      <c r="AC2170"/>
      <c r="AD2170"/>
    </row>
    <row r="2171" spans="1:30" ht="41.45" customHeight="1">
      <c r="A2171"/>
      <c r="AC2171"/>
      <c r="AD2171"/>
    </row>
    <row r="2172" spans="1:30" ht="41.45" customHeight="1">
      <c r="A2172"/>
      <c r="AC2172"/>
      <c r="AD2172"/>
    </row>
    <row r="2173" spans="1:30" ht="41.45" customHeight="1">
      <c r="A2173"/>
      <c r="AC2173"/>
      <c r="AD2173"/>
    </row>
    <row r="2174" spans="1:30" ht="41.45" customHeight="1">
      <c r="A2174"/>
      <c r="AC2174"/>
      <c r="AD2174"/>
    </row>
    <row r="2175" spans="1:30" ht="41.45" customHeight="1">
      <c r="A2175"/>
      <c r="AC2175"/>
      <c r="AD2175"/>
    </row>
    <row r="2176" spans="1:30" ht="41.45" customHeight="1">
      <c r="A2176"/>
      <c r="AC2176"/>
      <c r="AD2176"/>
    </row>
    <row r="2177" spans="1:30" ht="41.45" customHeight="1">
      <c r="A2177"/>
      <c r="AC2177"/>
      <c r="AD2177"/>
    </row>
    <row r="2178" spans="1:30" ht="41.45" customHeight="1">
      <c r="A2178"/>
      <c r="AC2178"/>
      <c r="AD2178"/>
    </row>
    <row r="2179" spans="1:30" ht="41.45" customHeight="1">
      <c r="A2179"/>
      <c r="AC2179"/>
      <c r="AD2179"/>
    </row>
    <row r="2180" spans="1:30" ht="41.45" customHeight="1">
      <c r="A2180"/>
      <c r="AC2180"/>
      <c r="AD2180"/>
    </row>
    <row r="2181" spans="1:30" ht="41.45" customHeight="1">
      <c r="A2181"/>
      <c r="AC2181"/>
      <c r="AD2181"/>
    </row>
    <row r="2182" spans="1:30" ht="41.45" customHeight="1">
      <c r="A2182"/>
      <c r="AC2182"/>
      <c r="AD2182"/>
    </row>
    <row r="2183" spans="1:30" ht="41.45" customHeight="1">
      <c r="A2183"/>
      <c r="AC2183"/>
      <c r="AD2183"/>
    </row>
    <row r="2184" spans="1:30" ht="41.45" customHeight="1">
      <c r="A2184"/>
      <c r="AC2184"/>
      <c r="AD2184"/>
    </row>
    <row r="2185" spans="1:30" ht="41.45" customHeight="1">
      <c r="A2185"/>
      <c r="AC2185"/>
      <c r="AD2185"/>
    </row>
    <row r="2186" spans="1:30" ht="41.45" customHeight="1">
      <c r="A2186"/>
      <c r="AC2186"/>
      <c r="AD2186"/>
    </row>
    <row r="2187" spans="1:30" ht="41.45" customHeight="1">
      <c r="A2187"/>
      <c r="AC2187"/>
      <c r="AD2187"/>
    </row>
    <row r="2188" spans="1:30" ht="41.45" customHeight="1">
      <c r="A2188"/>
      <c r="AC2188"/>
      <c r="AD2188"/>
    </row>
    <row r="2189" spans="1:30" ht="41.45" customHeight="1">
      <c r="A2189"/>
      <c r="AC2189"/>
      <c r="AD2189"/>
    </row>
    <row r="2190" spans="1:30" ht="41.45" customHeight="1">
      <c r="A2190"/>
      <c r="AC2190"/>
      <c r="AD2190"/>
    </row>
    <row r="2191" spans="1:30" ht="41.45" customHeight="1">
      <c r="A2191"/>
      <c r="AC2191"/>
      <c r="AD2191"/>
    </row>
    <row r="2192" spans="1:30" ht="41.45" customHeight="1">
      <c r="A2192"/>
      <c r="AC2192"/>
      <c r="AD2192"/>
    </row>
    <row r="2193" spans="1:30" ht="41.45" customHeight="1">
      <c r="A2193"/>
      <c r="AC2193"/>
      <c r="AD2193"/>
    </row>
    <row r="2194" spans="1:30" ht="41.45" customHeight="1">
      <c r="A2194"/>
      <c r="AC2194"/>
      <c r="AD2194"/>
    </row>
    <row r="2195" spans="1:30" ht="41.45" customHeight="1">
      <c r="A2195"/>
      <c r="AC2195"/>
      <c r="AD2195"/>
    </row>
    <row r="2196" spans="1:30" ht="41.45" customHeight="1">
      <c r="A2196"/>
      <c r="AC2196"/>
      <c r="AD2196"/>
    </row>
    <row r="2197" spans="1:30" ht="41.45" customHeight="1">
      <c r="A2197"/>
      <c r="AC2197"/>
      <c r="AD2197"/>
    </row>
    <row r="2198" spans="1:30" ht="41.45" customHeight="1">
      <c r="A2198"/>
      <c r="AC2198"/>
      <c r="AD2198"/>
    </row>
    <row r="2199" spans="1:30" ht="41.45" customHeight="1">
      <c r="A2199"/>
      <c r="AC2199"/>
      <c r="AD2199"/>
    </row>
    <row r="2200" spans="1:30" ht="41.45" customHeight="1">
      <c r="A2200"/>
      <c r="AC2200"/>
      <c r="AD2200"/>
    </row>
    <row r="2201" spans="1:30" ht="41.45" customHeight="1">
      <c r="A2201"/>
      <c r="AC2201"/>
      <c r="AD2201"/>
    </row>
    <row r="2202" spans="1:30" ht="41.45" customHeight="1">
      <c r="A2202"/>
      <c r="AC2202"/>
      <c r="AD2202"/>
    </row>
    <row r="2203" spans="1:30" ht="41.45" customHeight="1">
      <c r="A2203"/>
      <c r="AC2203"/>
      <c r="AD2203"/>
    </row>
    <row r="2204" spans="1:30" ht="41.45" customHeight="1">
      <c r="A2204"/>
      <c r="AC2204"/>
      <c r="AD2204"/>
    </row>
    <row r="2205" spans="1:30" ht="41.45" customHeight="1">
      <c r="A2205"/>
      <c r="AC2205"/>
      <c r="AD2205"/>
    </row>
    <row r="2206" spans="1:30" ht="41.45" customHeight="1">
      <c r="A2206"/>
      <c r="AC2206"/>
      <c r="AD2206"/>
    </row>
    <row r="2207" spans="1:30" ht="41.45" customHeight="1">
      <c r="A2207"/>
      <c r="AC2207"/>
      <c r="AD2207"/>
    </row>
    <row r="2208" spans="1:30" ht="41.45" customHeight="1">
      <c r="A2208"/>
      <c r="AC2208"/>
      <c r="AD2208"/>
    </row>
    <row r="2209" spans="1:30" ht="41.45" customHeight="1">
      <c r="A2209"/>
      <c r="AC2209"/>
      <c r="AD2209"/>
    </row>
    <row r="2210" spans="1:30" ht="41.45" customHeight="1">
      <c r="A2210"/>
      <c r="AC2210"/>
      <c r="AD2210"/>
    </row>
    <row r="2211" spans="1:30" ht="41.45" customHeight="1">
      <c r="A2211"/>
      <c r="AC2211"/>
      <c r="AD2211"/>
    </row>
    <row r="2212" spans="1:30" ht="41.45" customHeight="1">
      <c r="A2212"/>
      <c r="AC2212"/>
      <c r="AD2212"/>
    </row>
    <row r="2213" spans="1:30" ht="41.45" customHeight="1">
      <c r="A2213"/>
      <c r="AC2213"/>
      <c r="AD2213"/>
    </row>
    <row r="2214" spans="1:30" ht="41.45" customHeight="1">
      <c r="A2214"/>
      <c r="AC2214"/>
      <c r="AD2214"/>
    </row>
    <row r="2215" spans="1:30" ht="41.45" customHeight="1">
      <c r="A2215"/>
      <c r="AC2215"/>
      <c r="AD2215"/>
    </row>
    <row r="2216" spans="1:30" ht="41.45" customHeight="1">
      <c r="A2216"/>
      <c r="AC2216"/>
      <c r="AD2216"/>
    </row>
    <row r="2217" spans="1:30" ht="41.45" customHeight="1">
      <c r="A2217"/>
      <c r="AC2217"/>
      <c r="AD2217"/>
    </row>
    <row r="2218" spans="1:30" ht="41.45" customHeight="1">
      <c r="A2218"/>
      <c r="AC2218"/>
      <c r="AD2218"/>
    </row>
    <row r="2219" spans="1:30" ht="41.45" customHeight="1">
      <c r="A2219"/>
      <c r="AC2219"/>
      <c r="AD2219"/>
    </row>
    <row r="2220" spans="1:30" ht="41.45" customHeight="1">
      <c r="A2220"/>
      <c r="AC2220"/>
      <c r="AD2220"/>
    </row>
    <row r="2221" spans="1:30" ht="41.45" customHeight="1">
      <c r="A2221"/>
      <c r="AC2221"/>
      <c r="AD2221"/>
    </row>
    <row r="2222" spans="1:30" ht="41.45" customHeight="1">
      <c r="A2222"/>
      <c r="AC2222"/>
      <c r="AD2222"/>
    </row>
    <row r="2223" spans="1:30" ht="41.45" customHeight="1">
      <c r="A2223"/>
      <c r="AC2223"/>
      <c r="AD2223"/>
    </row>
    <row r="2224" spans="1:30" ht="41.45" customHeight="1">
      <c r="A2224"/>
      <c r="AC2224"/>
      <c r="AD2224"/>
    </row>
    <row r="2225" spans="1:30" ht="41.45" customHeight="1">
      <c r="A2225"/>
      <c r="AC2225"/>
      <c r="AD2225"/>
    </row>
    <row r="2226" spans="1:30" ht="41.45" customHeight="1">
      <c r="A2226"/>
      <c r="AC2226"/>
      <c r="AD2226"/>
    </row>
    <row r="2227" spans="1:30" ht="41.45" customHeight="1">
      <c r="A2227"/>
      <c r="AC2227"/>
      <c r="AD2227"/>
    </row>
    <row r="2228" spans="1:30" ht="41.45" customHeight="1">
      <c r="A2228"/>
      <c r="AC2228"/>
      <c r="AD2228"/>
    </row>
    <row r="2229" spans="1:30" ht="41.45" customHeight="1">
      <c r="A2229"/>
      <c r="AC2229"/>
      <c r="AD2229"/>
    </row>
    <row r="2230" spans="1:30" ht="41.45" customHeight="1">
      <c r="A2230"/>
      <c r="AC2230"/>
      <c r="AD2230"/>
    </row>
    <row r="2231" spans="1:30" ht="41.45" customHeight="1">
      <c r="A2231"/>
      <c r="AC2231"/>
      <c r="AD2231"/>
    </row>
    <row r="2232" spans="1:30" ht="41.45" customHeight="1">
      <c r="A2232"/>
      <c r="AC2232"/>
      <c r="AD2232"/>
    </row>
    <row r="2233" spans="1:30" ht="41.45" customHeight="1">
      <c r="A2233"/>
      <c r="AC2233"/>
      <c r="AD2233"/>
    </row>
    <row r="2234" spans="1:30" ht="41.45" customHeight="1">
      <c r="A2234"/>
      <c r="AC2234"/>
      <c r="AD2234"/>
    </row>
    <row r="2235" spans="1:30" ht="41.45" customHeight="1">
      <c r="A2235"/>
      <c r="AC2235"/>
      <c r="AD2235"/>
    </row>
    <row r="2236" spans="1:30" ht="41.45" customHeight="1">
      <c r="A2236"/>
      <c r="AC2236"/>
      <c r="AD2236"/>
    </row>
    <row r="2237" spans="1:30" ht="41.45" customHeight="1">
      <c r="A2237"/>
      <c r="AC2237"/>
      <c r="AD2237"/>
    </row>
    <row r="2238" spans="1:30" ht="41.45" customHeight="1">
      <c r="A2238"/>
      <c r="AC2238"/>
      <c r="AD2238"/>
    </row>
    <row r="2239" spans="1:30" ht="41.45" customHeight="1">
      <c r="A2239"/>
      <c r="AC2239"/>
      <c r="AD2239"/>
    </row>
    <row r="2240" spans="1:30" ht="41.45" customHeight="1">
      <c r="A2240"/>
      <c r="AC2240"/>
      <c r="AD2240"/>
    </row>
    <row r="2241" spans="1:30" ht="41.45" customHeight="1">
      <c r="A2241"/>
      <c r="AC2241"/>
      <c r="AD2241"/>
    </row>
    <row r="2242" spans="1:30" ht="41.45" customHeight="1">
      <c r="A2242"/>
      <c r="AC2242"/>
      <c r="AD2242"/>
    </row>
    <row r="2243" spans="1:30" ht="41.45" customHeight="1">
      <c r="A2243"/>
      <c r="AC2243"/>
      <c r="AD2243"/>
    </row>
    <row r="2244" spans="1:30" ht="41.45" customHeight="1">
      <c r="A2244"/>
      <c r="AC2244"/>
      <c r="AD2244"/>
    </row>
    <row r="2245" spans="1:30" ht="41.45" customHeight="1">
      <c r="A2245"/>
      <c r="AC2245"/>
      <c r="AD2245"/>
    </row>
    <row r="2246" spans="1:30" ht="41.45" customHeight="1">
      <c r="A2246"/>
      <c r="AC2246"/>
      <c r="AD2246"/>
    </row>
    <row r="2247" spans="1:30" ht="41.45" customHeight="1">
      <c r="A2247"/>
      <c r="AC2247"/>
      <c r="AD2247"/>
    </row>
    <row r="2248" spans="1:30" ht="41.45" customHeight="1">
      <c r="A2248"/>
      <c r="AC2248"/>
      <c r="AD2248"/>
    </row>
    <row r="2249" spans="1:30" ht="41.45" customHeight="1">
      <c r="A2249"/>
      <c r="AC2249"/>
      <c r="AD2249"/>
    </row>
    <row r="2250" spans="1:30" ht="41.45" customHeight="1">
      <c r="A2250"/>
      <c r="AC2250"/>
      <c r="AD2250"/>
    </row>
    <row r="2251" spans="1:30" ht="41.45" customHeight="1">
      <c r="A2251"/>
      <c r="AC2251"/>
      <c r="AD2251"/>
    </row>
    <row r="2252" spans="1:30" ht="41.45" customHeight="1">
      <c r="A2252"/>
      <c r="AC2252"/>
      <c r="AD2252"/>
    </row>
    <row r="2253" spans="1:30" ht="41.45" customHeight="1">
      <c r="A2253"/>
      <c r="AC2253"/>
      <c r="AD2253"/>
    </row>
    <row r="2254" spans="1:30" ht="41.45" customHeight="1">
      <c r="A2254"/>
      <c r="AC2254"/>
      <c r="AD2254"/>
    </row>
    <row r="2255" spans="1:30" ht="41.45" customHeight="1">
      <c r="A2255"/>
      <c r="AC2255"/>
      <c r="AD2255"/>
    </row>
    <row r="2256" spans="1:30" ht="41.45" customHeight="1">
      <c r="A2256"/>
      <c r="AC2256"/>
      <c r="AD2256"/>
    </row>
    <row r="2257" spans="1:30" ht="41.45" customHeight="1">
      <c r="A2257"/>
      <c r="AC2257"/>
      <c r="AD2257"/>
    </row>
    <row r="2258" spans="1:30" ht="41.45" customHeight="1">
      <c r="A2258"/>
      <c r="AC2258"/>
      <c r="AD2258"/>
    </row>
    <row r="2259" spans="1:30" ht="41.45" customHeight="1">
      <c r="A2259"/>
      <c r="AC2259"/>
      <c r="AD2259"/>
    </row>
    <row r="2260" spans="1:30" ht="41.45" customHeight="1">
      <c r="A2260"/>
      <c r="AC2260"/>
      <c r="AD2260"/>
    </row>
    <row r="2261" spans="1:30" ht="41.45" customHeight="1">
      <c r="A2261"/>
      <c r="AC2261"/>
      <c r="AD2261"/>
    </row>
    <row r="2262" spans="1:30" ht="41.45" customHeight="1">
      <c r="A2262"/>
      <c r="AC2262"/>
      <c r="AD2262"/>
    </row>
    <row r="2263" spans="1:30" ht="41.45" customHeight="1">
      <c r="A2263"/>
      <c r="AC2263"/>
      <c r="AD2263"/>
    </row>
    <row r="2264" spans="1:30" ht="41.45" customHeight="1">
      <c r="A2264"/>
      <c r="AC2264"/>
      <c r="AD2264"/>
    </row>
    <row r="2265" spans="1:30" ht="41.45" customHeight="1">
      <c r="A2265"/>
      <c r="AC2265"/>
      <c r="AD2265"/>
    </row>
    <row r="2266" spans="1:30" ht="41.45" customHeight="1">
      <c r="A2266"/>
      <c r="AC2266"/>
      <c r="AD2266"/>
    </row>
    <row r="2267" spans="1:30" ht="41.45" customHeight="1">
      <c r="A2267"/>
      <c r="AC2267"/>
      <c r="AD2267"/>
    </row>
    <row r="2268" spans="1:30" ht="41.45" customHeight="1">
      <c r="A2268"/>
      <c r="AC2268"/>
      <c r="AD2268"/>
    </row>
    <row r="2269" spans="1:30" ht="41.45" customHeight="1">
      <c r="A2269"/>
      <c r="AC2269"/>
      <c r="AD2269"/>
    </row>
    <row r="2270" spans="1:30" ht="41.45" customHeight="1">
      <c r="A2270"/>
      <c r="AC2270"/>
      <c r="AD2270"/>
    </row>
    <row r="2271" spans="1:30" ht="41.45" customHeight="1">
      <c r="A2271"/>
      <c r="AC2271"/>
      <c r="AD2271"/>
    </row>
    <row r="2272" spans="1:30" ht="41.45" customHeight="1">
      <c r="A2272"/>
      <c r="AC2272"/>
      <c r="AD2272"/>
    </row>
    <row r="2273" spans="1:30" ht="41.45" customHeight="1">
      <c r="A2273"/>
      <c r="AC2273"/>
      <c r="AD2273"/>
    </row>
    <row r="2274" spans="1:30" ht="41.45" customHeight="1">
      <c r="A2274"/>
      <c r="AC2274"/>
      <c r="AD2274"/>
    </row>
    <row r="2275" spans="1:30" ht="41.45" customHeight="1">
      <c r="A2275"/>
      <c r="AC2275"/>
      <c r="AD2275"/>
    </row>
    <row r="2276" spans="1:30" ht="41.45" customHeight="1">
      <c r="A2276"/>
      <c r="AC2276"/>
      <c r="AD2276"/>
    </row>
    <row r="2277" spans="1:30" ht="41.45" customHeight="1">
      <c r="A2277"/>
      <c r="AC2277"/>
      <c r="AD2277"/>
    </row>
    <row r="2278" spans="1:30" ht="41.45" customHeight="1">
      <c r="A2278"/>
      <c r="AC2278"/>
      <c r="AD2278"/>
    </row>
    <row r="2279" spans="1:30" ht="41.45" customHeight="1">
      <c r="A2279"/>
      <c r="AC2279"/>
      <c r="AD2279"/>
    </row>
    <row r="2280" spans="1:30" ht="41.45" customHeight="1">
      <c r="A2280"/>
      <c r="AC2280"/>
      <c r="AD2280"/>
    </row>
    <row r="2281" spans="1:30" ht="41.45" customHeight="1">
      <c r="A2281"/>
      <c r="AC2281"/>
      <c r="AD2281"/>
    </row>
    <row r="2282" spans="1:30" ht="41.45" customHeight="1">
      <c r="A2282"/>
      <c r="AC2282"/>
      <c r="AD2282"/>
    </row>
    <row r="2283" spans="1:30" ht="41.45" customHeight="1">
      <c r="A2283"/>
      <c r="AC2283"/>
      <c r="AD2283"/>
    </row>
    <row r="2284" spans="1:30" ht="41.45" customHeight="1">
      <c r="A2284"/>
      <c r="AC2284"/>
      <c r="AD2284"/>
    </row>
    <row r="2285" spans="1:30" ht="41.45" customHeight="1">
      <c r="A2285"/>
      <c r="AC2285"/>
      <c r="AD2285"/>
    </row>
    <row r="2286" spans="1:30" ht="41.45" customHeight="1">
      <c r="A2286"/>
      <c r="AC2286"/>
      <c r="AD2286"/>
    </row>
    <row r="2287" spans="1:30" ht="41.45" customHeight="1">
      <c r="A2287"/>
      <c r="AC2287"/>
      <c r="AD2287"/>
    </row>
    <row r="2288" spans="1:30" ht="41.45" customHeight="1">
      <c r="A2288"/>
      <c r="AC2288"/>
      <c r="AD2288"/>
    </row>
    <row r="2289" spans="1:30" ht="41.45" customHeight="1">
      <c r="A2289"/>
      <c r="AC2289"/>
      <c r="AD2289"/>
    </row>
    <row r="2290" spans="1:30" ht="41.45" customHeight="1">
      <c r="A2290"/>
      <c r="AC2290"/>
      <c r="AD2290"/>
    </row>
    <row r="2291" spans="1:30" ht="41.45" customHeight="1">
      <c r="A2291"/>
      <c r="AC2291"/>
      <c r="AD2291"/>
    </row>
    <row r="2292" spans="1:30" ht="41.45" customHeight="1">
      <c r="A2292"/>
      <c r="AC2292"/>
      <c r="AD2292"/>
    </row>
    <row r="2293" spans="1:30" ht="41.45" customHeight="1">
      <c r="A2293"/>
      <c r="AC2293"/>
      <c r="AD2293"/>
    </row>
    <row r="2294" spans="1:30" ht="41.45" customHeight="1">
      <c r="A2294"/>
      <c r="AC2294"/>
      <c r="AD2294"/>
    </row>
    <row r="2295" spans="1:30" ht="41.45" customHeight="1">
      <c r="A2295"/>
      <c r="AC2295"/>
      <c r="AD2295"/>
    </row>
    <row r="2296" spans="1:30" ht="41.45" customHeight="1">
      <c r="A2296"/>
      <c r="AC2296"/>
      <c r="AD2296"/>
    </row>
    <row r="2297" spans="1:30" ht="41.45" customHeight="1">
      <c r="A2297"/>
      <c r="AC2297"/>
      <c r="AD2297"/>
    </row>
    <row r="2298" spans="1:30" ht="41.45" customHeight="1">
      <c r="A2298"/>
      <c r="AC2298"/>
      <c r="AD2298"/>
    </row>
    <row r="2299" spans="1:30" ht="41.45" customHeight="1">
      <c r="A2299"/>
      <c r="AC2299"/>
      <c r="AD2299"/>
    </row>
    <row r="2300" spans="1:30" ht="41.45" customHeight="1">
      <c r="A2300"/>
      <c r="AC2300"/>
      <c r="AD2300"/>
    </row>
    <row r="2301" spans="1:30" ht="41.45" customHeight="1">
      <c r="A2301"/>
      <c r="AC2301"/>
      <c r="AD2301"/>
    </row>
    <row r="2302" spans="1:30" ht="41.45" customHeight="1">
      <c r="A2302"/>
      <c r="AC2302"/>
      <c r="AD2302"/>
    </row>
    <row r="2303" spans="1:30" ht="41.45" customHeight="1">
      <c r="A2303"/>
      <c r="AC2303"/>
      <c r="AD2303"/>
    </row>
    <row r="2304" spans="1:30" ht="41.45" customHeight="1">
      <c r="A2304"/>
      <c r="AC2304"/>
      <c r="AD2304"/>
    </row>
    <row r="2305" spans="1:30" ht="41.45" customHeight="1">
      <c r="A2305"/>
      <c r="AC2305"/>
      <c r="AD2305"/>
    </row>
    <row r="2306" spans="1:30" ht="41.45" customHeight="1">
      <c r="A2306"/>
      <c r="AC2306"/>
      <c r="AD2306"/>
    </row>
    <row r="2307" spans="1:30" ht="41.45" customHeight="1">
      <c r="A2307"/>
      <c r="AC2307"/>
      <c r="AD2307"/>
    </row>
    <row r="2308" spans="1:30" ht="41.45" customHeight="1">
      <c r="A2308"/>
      <c r="AC2308"/>
      <c r="AD2308"/>
    </row>
    <row r="2309" spans="1:30" ht="41.45" customHeight="1">
      <c r="A2309"/>
      <c r="AC2309"/>
      <c r="AD2309"/>
    </row>
    <row r="2310" spans="1:30" ht="41.45" customHeight="1">
      <c r="A2310"/>
      <c r="AC2310"/>
      <c r="AD2310"/>
    </row>
    <row r="2311" spans="1:30" ht="41.45" customHeight="1">
      <c r="A2311"/>
      <c r="AC2311"/>
      <c r="AD2311"/>
    </row>
    <row r="2312" spans="1:30" ht="41.45" customHeight="1">
      <c r="A2312"/>
      <c r="AC2312"/>
      <c r="AD2312"/>
    </row>
    <row r="2313" spans="1:30" ht="41.45" customHeight="1">
      <c r="A2313"/>
      <c r="AC2313"/>
      <c r="AD2313"/>
    </row>
    <row r="2314" spans="1:30" ht="41.45" customHeight="1">
      <c r="A2314"/>
      <c r="AC2314"/>
      <c r="AD2314"/>
    </row>
    <row r="2315" spans="1:30" ht="41.45" customHeight="1">
      <c r="A2315"/>
      <c r="AC2315"/>
      <c r="AD2315"/>
    </row>
    <row r="2316" spans="1:30" ht="41.45" customHeight="1">
      <c r="A2316"/>
      <c r="AC2316"/>
      <c r="AD2316"/>
    </row>
    <row r="2317" spans="1:30" ht="41.45" customHeight="1">
      <c r="A2317"/>
      <c r="AC2317"/>
      <c r="AD2317"/>
    </row>
    <row r="2318" spans="1:30" ht="41.45" customHeight="1">
      <c r="A2318"/>
      <c r="AC2318"/>
      <c r="AD2318"/>
    </row>
    <row r="2319" spans="1:30" ht="41.45" customHeight="1">
      <c r="A2319"/>
      <c r="AC2319"/>
      <c r="AD2319"/>
    </row>
    <row r="2320" spans="1:30" ht="41.45" customHeight="1">
      <c r="A2320"/>
      <c r="AC2320"/>
      <c r="AD2320"/>
    </row>
    <row r="2321" spans="1:30" ht="41.45" customHeight="1">
      <c r="A2321"/>
      <c r="AC2321"/>
      <c r="AD2321"/>
    </row>
    <row r="2322" spans="1:30" ht="41.45" customHeight="1">
      <c r="A2322"/>
      <c r="AC2322"/>
      <c r="AD2322"/>
    </row>
    <row r="2323" spans="1:30" ht="41.45" customHeight="1">
      <c r="A2323"/>
      <c r="AC2323"/>
      <c r="AD2323"/>
    </row>
    <row r="2324" spans="1:30" ht="41.45" customHeight="1">
      <c r="A2324"/>
      <c r="AC2324"/>
      <c r="AD2324"/>
    </row>
    <row r="2325" spans="1:30" ht="41.45" customHeight="1">
      <c r="A2325"/>
      <c r="AC2325"/>
      <c r="AD2325"/>
    </row>
    <row r="2326" spans="1:30" ht="41.45" customHeight="1">
      <c r="A2326"/>
      <c r="AC2326"/>
      <c r="AD2326"/>
    </row>
    <row r="2327" spans="1:30" ht="41.45" customHeight="1">
      <c r="A2327"/>
      <c r="AC2327"/>
      <c r="AD2327"/>
    </row>
    <row r="2328" spans="1:30" ht="41.45" customHeight="1">
      <c r="A2328"/>
      <c r="AC2328"/>
      <c r="AD2328"/>
    </row>
    <row r="2329" spans="1:30" ht="41.45" customHeight="1">
      <c r="A2329"/>
      <c r="AC2329"/>
      <c r="AD2329"/>
    </row>
    <row r="2330" spans="1:30" ht="41.45" customHeight="1">
      <c r="A2330"/>
      <c r="AC2330"/>
      <c r="AD2330"/>
    </row>
    <row r="2331" spans="1:30" ht="41.45" customHeight="1">
      <c r="A2331"/>
      <c r="AC2331"/>
      <c r="AD2331"/>
    </row>
    <row r="2332" spans="1:30" ht="41.45" customHeight="1">
      <c r="A2332"/>
      <c r="AC2332"/>
      <c r="AD2332"/>
    </row>
    <row r="2333" spans="1:30" ht="41.45" customHeight="1">
      <c r="A2333"/>
      <c r="AC2333"/>
      <c r="AD2333"/>
    </row>
    <row r="2334" spans="1:30" ht="41.45" customHeight="1">
      <c r="A2334"/>
      <c r="AC2334"/>
      <c r="AD2334"/>
    </row>
    <row r="2335" spans="1:30" ht="41.45" customHeight="1">
      <c r="A2335"/>
      <c r="AC2335"/>
      <c r="AD2335"/>
    </row>
    <row r="2336" spans="1:30" ht="41.45" customHeight="1">
      <c r="A2336"/>
      <c r="AC2336"/>
      <c r="AD2336"/>
    </row>
    <row r="2337" spans="1:30" ht="41.45" customHeight="1">
      <c r="A2337"/>
      <c r="AC2337"/>
      <c r="AD2337"/>
    </row>
    <row r="2338" spans="1:30" ht="41.45" customHeight="1">
      <c r="A2338"/>
      <c r="AC2338"/>
      <c r="AD2338"/>
    </row>
    <row r="2339" spans="1:30" ht="41.45" customHeight="1">
      <c r="A2339"/>
      <c r="AC2339"/>
      <c r="AD2339"/>
    </row>
    <row r="2340" spans="1:30" ht="41.45" customHeight="1">
      <c r="A2340"/>
      <c r="AC2340"/>
      <c r="AD2340"/>
    </row>
    <row r="2341" spans="1:30" ht="41.45" customHeight="1">
      <c r="A2341"/>
      <c r="AC2341"/>
      <c r="AD2341"/>
    </row>
    <row r="2342" spans="1:30" ht="41.45" customHeight="1">
      <c r="A2342"/>
      <c r="AC2342"/>
      <c r="AD2342"/>
    </row>
    <row r="2343" spans="1:30" ht="41.45" customHeight="1">
      <c r="A2343"/>
      <c r="AC2343"/>
      <c r="AD2343"/>
    </row>
    <row r="2344" spans="1:30" ht="41.45" customHeight="1">
      <c r="A2344"/>
      <c r="AC2344"/>
      <c r="AD2344"/>
    </row>
    <row r="2345" spans="1:30" ht="41.45" customHeight="1">
      <c r="A2345"/>
      <c r="AC2345"/>
      <c r="AD2345"/>
    </row>
    <row r="2346" spans="1:30" ht="41.45" customHeight="1">
      <c r="A2346"/>
      <c r="AC2346"/>
      <c r="AD2346"/>
    </row>
    <row r="2347" spans="1:30" ht="41.45" customHeight="1">
      <c r="A2347"/>
      <c r="AC2347"/>
      <c r="AD2347"/>
    </row>
    <row r="2348" spans="1:30" ht="41.45" customHeight="1">
      <c r="A2348"/>
      <c r="AC2348"/>
      <c r="AD2348"/>
    </row>
    <row r="2349" spans="1:30" ht="41.45" customHeight="1">
      <c r="A2349"/>
      <c r="AC2349"/>
      <c r="AD2349"/>
    </row>
    <row r="2350" spans="1:30" ht="41.45" customHeight="1">
      <c r="A2350"/>
      <c r="AC2350"/>
      <c r="AD2350"/>
    </row>
    <row r="2351" spans="1:30" ht="41.45" customHeight="1">
      <c r="A2351"/>
      <c r="AC2351"/>
      <c r="AD2351"/>
    </row>
    <row r="2352" spans="1:30" ht="41.45" customHeight="1">
      <c r="A2352"/>
      <c r="AC2352"/>
      <c r="AD2352"/>
    </row>
    <row r="2353" spans="1:30" ht="41.45" customHeight="1">
      <c r="A2353"/>
      <c r="AC2353"/>
      <c r="AD2353"/>
    </row>
    <row r="2354" spans="1:30" ht="41.45" customHeight="1">
      <c r="A2354"/>
      <c r="AC2354"/>
      <c r="AD2354"/>
    </row>
    <row r="2355" spans="1:30" ht="41.45" customHeight="1">
      <c r="A2355"/>
      <c r="AC2355"/>
      <c r="AD2355"/>
    </row>
    <row r="2356" spans="1:30" ht="41.45" customHeight="1">
      <c r="A2356"/>
      <c r="AC2356"/>
      <c r="AD2356"/>
    </row>
    <row r="2357" spans="1:30" ht="41.45" customHeight="1">
      <c r="A2357"/>
      <c r="AC2357"/>
      <c r="AD2357"/>
    </row>
    <row r="2358" spans="1:30" ht="41.45" customHeight="1">
      <c r="A2358"/>
      <c r="AC2358"/>
      <c r="AD2358"/>
    </row>
    <row r="2359" spans="1:30" ht="41.45" customHeight="1">
      <c r="A2359"/>
      <c r="AC2359"/>
      <c r="AD2359"/>
    </row>
    <row r="2360" spans="1:30" ht="41.45" customHeight="1">
      <c r="A2360"/>
      <c r="AC2360"/>
      <c r="AD2360"/>
    </row>
    <row r="2361" spans="1:30" ht="41.45" customHeight="1">
      <c r="A2361"/>
      <c r="AC2361"/>
      <c r="AD2361"/>
    </row>
    <row r="2362" spans="1:30" ht="41.45" customHeight="1">
      <c r="A2362"/>
      <c r="AC2362"/>
      <c r="AD2362"/>
    </row>
    <row r="2363" spans="1:30" ht="41.45" customHeight="1">
      <c r="A2363"/>
      <c r="AC2363"/>
      <c r="AD2363"/>
    </row>
    <row r="2364" spans="1:30" ht="41.45" customHeight="1">
      <c r="A2364"/>
      <c r="AC2364"/>
      <c r="AD2364"/>
    </row>
    <row r="2365" spans="1:30" ht="41.45" customHeight="1">
      <c r="A2365"/>
      <c r="AC2365"/>
      <c r="AD2365"/>
    </row>
    <row r="2366" spans="1:30" ht="41.45" customHeight="1">
      <c r="A2366"/>
      <c r="AC2366"/>
      <c r="AD2366"/>
    </row>
    <row r="2367" spans="1:30" ht="41.45" customHeight="1">
      <c r="A2367"/>
      <c r="AC2367"/>
      <c r="AD2367"/>
    </row>
    <row r="2368" spans="1:30" ht="41.45" customHeight="1">
      <c r="A2368"/>
      <c r="AC2368"/>
      <c r="AD2368"/>
    </row>
    <row r="2369" spans="1:30" ht="41.45" customHeight="1">
      <c r="A2369"/>
      <c r="AC2369"/>
      <c r="AD2369"/>
    </row>
    <row r="2370" spans="1:30" ht="41.45" customHeight="1">
      <c r="A2370"/>
      <c r="AC2370"/>
      <c r="AD2370"/>
    </row>
    <row r="2371" spans="1:30" ht="41.45" customHeight="1">
      <c r="A2371"/>
      <c r="AC2371"/>
      <c r="AD2371"/>
    </row>
    <row r="2372" spans="1:30" ht="41.45" customHeight="1">
      <c r="A2372"/>
      <c r="AC2372"/>
      <c r="AD2372"/>
    </row>
    <row r="2373" spans="1:30" ht="41.45" customHeight="1">
      <c r="A2373"/>
      <c r="AC2373"/>
      <c r="AD2373"/>
    </row>
    <row r="2374" spans="1:30" ht="41.45" customHeight="1">
      <c r="A2374"/>
      <c r="AC2374"/>
      <c r="AD2374"/>
    </row>
    <row r="2375" spans="1:30" ht="41.45" customHeight="1">
      <c r="A2375"/>
      <c r="AC2375"/>
      <c r="AD2375"/>
    </row>
    <row r="2376" spans="1:30" ht="41.45" customHeight="1">
      <c r="A2376"/>
      <c r="AC2376"/>
      <c r="AD2376"/>
    </row>
    <row r="2377" spans="1:30" ht="41.45" customHeight="1">
      <c r="A2377"/>
      <c r="AC2377"/>
      <c r="AD2377"/>
    </row>
    <row r="2378" spans="1:30" ht="41.45" customHeight="1">
      <c r="A2378"/>
      <c r="AC2378"/>
      <c r="AD2378"/>
    </row>
    <row r="2379" spans="1:30" ht="41.45" customHeight="1">
      <c r="A2379"/>
      <c r="AC2379"/>
      <c r="AD2379"/>
    </row>
    <row r="2380" spans="1:30" ht="41.45" customHeight="1">
      <c r="A2380"/>
      <c r="AC2380"/>
      <c r="AD2380"/>
    </row>
    <row r="2381" spans="1:30" ht="41.45" customHeight="1">
      <c r="A2381"/>
      <c r="AC2381"/>
      <c r="AD2381"/>
    </row>
    <row r="2382" spans="1:30" ht="41.45" customHeight="1">
      <c r="A2382"/>
      <c r="AC2382"/>
      <c r="AD2382"/>
    </row>
    <row r="2383" spans="1:30" ht="41.45" customHeight="1">
      <c r="A2383"/>
      <c r="AC2383"/>
      <c r="AD2383"/>
    </row>
    <row r="2384" spans="1:30" ht="41.45" customHeight="1">
      <c r="A2384"/>
      <c r="AC2384"/>
      <c r="AD2384"/>
    </row>
    <row r="2385" spans="1:30" ht="41.45" customHeight="1">
      <c r="A2385"/>
      <c r="AC2385"/>
      <c r="AD2385"/>
    </row>
    <row r="2386" spans="1:30" ht="41.45" customHeight="1">
      <c r="A2386"/>
      <c r="AC2386"/>
      <c r="AD2386"/>
    </row>
    <row r="2387" spans="1:30" ht="41.45" customHeight="1">
      <c r="A2387"/>
      <c r="AC2387"/>
      <c r="AD2387"/>
    </row>
    <row r="2388" spans="1:30" ht="41.45" customHeight="1">
      <c r="A2388"/>
      <c r="AC2388"/>
      <c r="AD2388"/>
    </row>
    <row r="2389" spans="1:30" ht="41.45" customHeight="1">
      <c r="A2389"/>
      <c r="AC2389"/>
      <c r="AD2389"/>
    </row>
    <row r="2390" spans="1:30" ht="41.45" customHeight="1">
      <c r="A2390"/>
      <c r="AC2390"/>
      <c r="AD2390"/>
    </row>
    <row r="2391" spans="1:30" ht="41.45" customHeight="1">
      <c r="A2391"/>
      <c r="AC2391"/>
      <c r="AD2391"/>
    </row>
    <row r="2392" spans="1:30" ht="41.45" customHeight="1">
      <c r="A2392"/>
      <c r="AC2392"/>
      <c r="AD2392"/>
    </row>
    <row r="2393" spans="1:30" ht="41.45" customHeight="1">
      <c r="A2393"/>
      <c r="AC2393"/>
      <c r="AD2393"/>
    </row>
    <row r="2394" spans="1:30" ht="41.45" customHeight="1">
      <c r="A2394"/>
      <c r="AC2394"/>
      <c r="AD2394"/>
    </row>
    <row r="2395" spans="1:30" ht="41.45" customHeight="1">
      <c r="A2395"/>
      <c r="AC2395"/>
      <c r="AD2395"/>
    </row>
    <row r="2396" spans="1:30" ht="41.45" customHeight="1">
      <c r="A2396"/>
      <c r="AC2396"/>
      <c r="AD2396"/>
    </row>
    <row r="2397" spans="1:30" ht="41.45" customHeight="1">
      <c r="A2397"/>
      <c r="AC2397"/>
      <c r="AD2397"/>
    </row>
    <row r="2398" spans="1:30" ht="41.45" customHeight="1">
      <c r="A2398"/>
      <c r="AC2398"/>
      <c r="AD2398"/>
    </row>
    <row r="2399" spans="1:30" ht="41.45" customHeight="1">
      <c r="A2399"/>
      <c r="AC2399"/>
      <c r="AD2399"/>
    </row>
    <row r="2400" spans="1:30" ht="41.45" customHeight="1">
      <c r="A2400"/>
      <c r="AC2400"/>
      <c r="AD2400"/>
    </row>
    <row r="2401" spans="1:30" ht="41.45" customHeight="1">
      <c r="A2401"/>
      <c r="AC2401"/>
      <c r="AD2401"/>
    </row>
    <row r="2402" spans="1:30" ht="41.45" customHeight="1">
      <c r="A2402"/>
      <c r="AC2402"/>
      <c r="AD2402"/>
    </row>
    <row r="2403" spans="1:30" ht="41.45" customHeight="1">
      <c r="A2403"/>
      <c r="AC2403"/>
      <c r="AD2403"/>
    </row>
    <row r="2404" spans="1:30" ht="41.45" customHeight="1">
      <c r="A2404"/>
      <c r="AC2404"/>
      <c r="AD2404"/>
    </row>
    <row r="2405" spans="1:30" ht="41.45" customHeight="1">
      <c r="A2405"/>
      <c r="AC2405"/>
      <c r="AD2405"/>
    </row>
    <row r="2406" spans="1:30" ht="41.45" customHeight="1">
      <c r="A2406"/>
      <c r="AC2406"/>
      <c r="AD2406"/>
    </row>
    <row r="2407" spans="1:30" ht="41.45" customHeight="1">
      <c r="A2407"/>
      <c r="AC2407"/>
      <c r="AD2407"/>
    </row>
    <row r="2408" spans="1:30" ht="41.45" customHeight="1">
      <c r="A2408"/>
      <c r="AC2408"/>
      <c r="AD2408"/>
    </row>
    <row r="2409" spans="1:30" ht="41.45" customHeight="1">
      <c r="A2409"/>
      <c r="AC2409"/>
      <c r="AD2409"/>
    </row>
    <row r="2410" spans="1:30" ht="41.45" customHeight="1">
      <c r="A2410"/>
      <c r="AC2410"/>
      <c r="AD2410"/>
    </row>
    <row r="2411" spans="1:30" ht="41.45" customHeight="1">
      <c r="A2411"/>
      <c r="AC2411"/>
      <c r="AD2411"/>
    </row>
    <row r="2412" spans="1:30" ht="41.45" customHeight="1">
      <c r="A2412"/>
      <c r="AC2412"/>
      <c r="AD2412"/>
    </row>
    <row r="2413" spans="1:30" ht="41.45" customHeight="1">
      <c r="A2413"/>
      <c r="AC2413"/>
      <c r="AD2413"/>
    </row>
    <row r="2414" spans="1:30" ht="41.45" customHeight="1">
      <c r="A2414"/>
      <c r="AC2414"/>
      <c r="AD2414"/>
    </row>
    <row r="2415" spans="1:30" ht="41.45" customHeight="1">
      <c r="A2415"/>
      <c r="AC2415"/>
      <c r="AD2415"/>
    </row>
    <row r="2416" spans="1:30" ht="41.45" customHeight="1">
      <c r="A2416"/>
      <c r="AC2416"/>
      <c r="AD2416"/>
    </row>
    <row r="2417" spans="1:30" ht="41.45" customHeight="1">
      <c r="A2417"/>
      <c r="AC2417"/>
      <c r="AD2417"/>
    </row>
    <row r="2418" spans="1:30" ht="41.45" customHeight="1">
      <c r="A2418"/>
      <c r="AC2418"/>
      <c r="AD2418"/>
    </row>
    <row r="2419" spans="1:30" ht="41.45" customHeight="1">
      <c r="A2419"/>
      <c r="AC2419"/>
      <c r="AD2419"/>
    </row>
    <row r="2420" spans="1:30" ht="41.45" customHeight="1">
      <c r="A2420"/>
      <c r="AC2420"/>
      <c r="AD2420"/>
    </row>
    <row r="2421" spans="1:30" ht="41.45" customHeight="1">
      <c r="A2421"/>
      <c r="AC2421"/>
      <c r="AD2421"/>
    </row>
    <row r="2422" spans="1:30" ht="41.45" customHeight="1">
      <c r="A2422"/>
      <c r="AC2422"/>
      <c r="AD2422"/>
    </row>
    <row r="2423" spans="1:30" ht="41.45" customHeight="1">
      <c r="A2423"/>
      <c r="AC2423"/>
      <c r="AD2423"/>
    </row>
    <row r="2424" spans="1:30" ht="41.45" customHeight="1">
      <c r="A2424"/>
      <c r="AC2424"/>
      <c r="AD2424"/>
    </row>
    <row r="2425" spans="1:30" ht="41.45" customHeight="1">
      <c r="A2425"/>
      <c r="AC2425"/>
      <c r="AD2425"/>
    </row>
    <row r="2426" spans="1:30" ht="41.45" customHeight="1">
      <c r="A2426"/>
      <c r="AC2426"/>
      <c r="AD2426"/>
    </row>
    <row r="2427" spans="1:30" ht="41.45" customHeight="1">
      <c r="A2427"/>
      <c r="AC2427"/>
      <c r="AD2427"/>
    </row>
    <row r="2428" spans="1:30" ht="41.45" customHeight="1">
      <c r="A2428"/>
      <c r="AC2428"/>
      <c r="AD2428"/>
    </row>
    <row r="2429" spans="1:30" ht="41.45" customHeight="1">
      <c r="A2429"/>
      <c r="AC2429"/>
      <c r="AD2429"/>
    </row>
    <row r="2430" spans="1:30" ht="41.45" customHeight="1">
      <c r="A2430"/>
      <c r="AC2430"/>
      <c r="AD2430"/>
    </row>
    <row r="2431" spans="1:30" ht="41.45" customHeight="1">
      <c r="A2431"/>
      <c r="AC2431"/>
      <c r="AD2431"/>
    </row>
    <row r="2432" spans="1:30" ht="41.45" customHeight="1">
      <c r="A2432"/>
      <c r="AC2432"/>
      <c r="AD2432"/>
    </row>
    <row r="2433" spans="1:30" ht="41.45" customHeight="1">
      <c r="A2433"/>
      <c r="AC2433"/>
      <c r="AD2433"/>
    </row>
    <row r="2434" spans="1:30" ht="41.45" customHeight="1">
      <c r="A2434"/>
      <c r="AC2434"/>
      <c r="AD2434"/>
    </row>
    <row r="2435" spans="1:30" ht="41.45" customHeight="1">
      <c r="A2435"/>
      <c r="AC2435"/>
      <c r="AD2435"/>
    </row>
    <row r="2436" spans="1:30" ht="41.45" customHeight="1">
      <c r="A2436"/>
      <c r="AC2436"/>
      <c r="AD2436"/>
    </row>
    <row r="2437" spans="1:30" ht="41.45" customHeight="1">
      <c r="A2437"/>
      <c r="AC2437"/>
      <c r="AD2437"/>
    </row>
    <row r="2438" spans="1:30" ht="41.45" customHeight="1">
      <c r="A2438"/>
      <c r="AC2438"/>
      <c r="AD2438"/>
    </row>
    <row r="2439" spans="1:30" ht="41.45" customHeight="1">
      <c r="A2439"/>
      <c r="AC2439"/>
      <c r="AD2439"/>
    </row>
    <row r="2440" spans="1:30" ht="41.45" customHeight="1">
      <c r="A2440"/>
      <c r="AC2440"/>
      <c r="AD2440"/>
    </row>
    <row r="2441" spans="1:30" ht="41.45" customHeight="1">
      <c r="A2441"/>
      <c r="AC2441"/>
      <c r="AD2441"/>
    </row>
    <row r="2442" spans="1:30" ht="41.45" customHeight="1">
      <c r="A2442"/>
      <c r="AC2442"/>
      <c r="AD2442"/>
    </row>
    <row r="2443" spans="1:30" ht="41.45" customHeight="1">
      <c r="A2443"/>
      <c r="AC2443"/>
      <c r="AD2443"/>
    </row>
    <row r="2444" spans="1:30" ht="41.45" customHeight="1">
      <c r="A2444"/>
      <c r="AC2444"/>
      <c r="AD2444"/>
    </row>
    <row r="2445" spans="1:30" ht="41.45" customHeight="1">
      <c r="A2445"/>
      <c r="AC2445"/>
      <c r="AD2445"/>
    </row>
    <row r="2446" spans="1:30" ht="41.45" customHeight="1">
      <c r="A2446"/>
      <c r="AC2446"/>
      <c r="AD2446"/>
    </row>
    <row r="2447" spans="1:30" ht="41.45" customHeight="1">
      <c r="A2447"/>
      <c r="AC2447"/>
      <c r="AD2447"/>
    </row>
    <row r="2448" spans="1:30" ht="41.45" customHeight="1">
      <c r="A2448"/>
      <c r="AC2448"/>
      <c r="AD2448"/>
    </row>
    <row r="2449" spans="1:30" ht="41.45" customHeight="1">
      <c r="A2449"/>
      <c r="AC2449"/>
      <c r="AD2449"/>
    </row>
    <row r="2450" spans="1:30" ht="41.45" customHeight="1">
      <c r="A2450"/>
      <c r="AC2450"/>
      <c r="AD2450"/>
    </row>
    <row r="2451" spans="1:30" ht="41.45" customHeight="1">
      <c r="A2451"/>
      <c r="AC2451"/>
      <c r="AD2451"/>
    </row>
    <row r="2452" spans="1:30" ht="41.45" customHeight="1">
      <c r="A2452"/>
      <c r="AC2452"/>
      <c r="AD2452"/>
    </row>
    <row r="2453" spans="1:30" ht="41.45" customHeight="1">
      <c r="A2453"/>
      <c r="AC2453"/>
      <c r="AD2453"/>
    </row>
    <row r="2454" spans="1:30" ht="41.45" customHeight="1">
      <c r="A2454"/>
      <c r="AC2454"/>
      <c r="AD2454"/>
    </row>
    <row r="2455" spans="1:30" ht="41.45" customHeight="1">
      <c r="A2455"/>
      <c r="AC2455"/>
      <c r="AD2455"/>
    </row>
    <row r="2456" spans="1:30" ht="41.45" customHeight="1">
      <c r="A2456"/>
      <c r="AC2456"/>
      <c r="AD2456"/>
    </row>
    <row r="2457" spans="1:30" ht="41.45" customHeight="1">
      <c r="A2457"/>
      <c r="AC2457"/>
      <c r="AD2457"/>
    </row>
    <row r="2458" spans="1:30" ht="41.45" customHeight="1">
      <c r="A2458"/>
      <c r="AC2458"/>
      <c r="AD2458"/>
    </row>
    <row r="2459" spans="1:30" ht="41.45" customHeight="1">
      <c r="A2459"/>
      <c r="AC2459"/>
      <c r="AD2459"/>
    </row>
    <row r="2460" spans="1:30" ht="41.45" customHeight="1">
      <c r="A2460"/>
      <c r="AC2460"/>
      <c r="AD2460"/>
    </row>
    <row r="2461" spans="1:30" ht="41.45" customHeight="1">
      <c r="A2461"/>
      <c r="AC2461"/>
      <c r="AD2461"/>
    </row>
    <row r="2462" spans="1:30" ht="41.45" customHeight="1">
      <c r="A2462"/>
      <c r="AC2462"/>
      <c r="AD2462"/>
    </row>
    <row r="2463" spans="1:30" ht="41.45" customHeight="1">
      <c r="A2463"/>
      <c r="AC2463"/>
      <c r="AD2463"/>
    </row>
    <row r="2464" spans="1:30" ht="41.45" customHeight="1">
      <c r="A2464"/>
      <c r="AC2464"/>
      <c r="AD2464"/>
    </row>
    <row r="2465" spans="1:30" ht="41.45" customHeight="1">
      <c r="A2465"/>
      <c r="AC2465"/>
      <c r="AD2465"/>
    </row>
    <row r="2466" spans="1:30" ht="41.45" customHeight="1">
      <c r="A2466"/>
      <c r="AC2466"/>
      <c r="AD2466"/>
    </row>
    <row r="2467" spans="1:30" ht="41.45" customHeight="1">
      <c r="A2467"/>
      <c r="AC2467"/>
      <c r="AD2467"/>
    </row>
    <row r="2468" spans="1:30" ht="41.45" customHeight="1">
      <c r="A2468"/>
      <c r="AC2468"/>
      <c r="AD2468"/>
    </row>
    <row r="2469" spans="1:30" ht="41.45" customHeight="1">
      <c r="A2469"/>
      <c r="AC2469"/>
      <c r="AD2469"/>
    </row>
    <row r="2470" spans="1:30" ht="41.45" customHeight="1">
      <c r="A2470"/>
      <c r="AC2470"/>
      <c r="AD2470"/>
    </row>
    <row r="2471" spans="1:30" ht="41.45" customHeight="1">
      <c r="A2471"/>
      <c r="AC2471"/>
      <c r="AD2471"/>
    </row>
    <row r="2472" spans="1:30" ht="41.45" customHeight="1">
      <c r="A2472"/>
      <c r="AC2472"/>
      <c r="AD2472"/>
    </row>
    <row r="2473" spans="1:30" ht="41.45" customHeight="1">
      <c r="A2473"/>
      <c r="AC2473"/>
      <c r="AD2473"/>
    </row>
    <row r="2474" spans="1:30" ht="41.45" customHeight="1">
      <c r="A2474"/>
      <c r="AC2474"/>
      <c r="AD2474"/>
    </row>
    <row r="2475" spans="1:30" ht="41.45" customHeight="1">
      <c r="A2475"/>
      <c r="AC2475"/>
      <c r="AD2475"/>
    </row>
    <row r="2476" spans="1:30" ht="41.45" customHeight="1">
      <c r="A2476"/>
      <c r="AC2476"/>
      <c r="AD2476"/>
    </row>
    <row r="2477" spans="1:30" ht="41.45" customHeight="1">
      <c r="A2477"/>
      <c r="AC2477"/>
      <c r="AD2477"/>
    </row>
    <row r="2478" spans="1:30" ht="41.45" customHeight="1">
      <c r="A2478"/>
      <c r="AC2478"/>
      <c r="AD2478"/>
    </row>
    <row r="2479" spans="1:30" ht="41.45" customHeight="1">
      <c r="A2479"/>
      <c r="AC2479"/>
      <c r="AD2479"/>
    </row>
    <row r="2480" spans="1:30" ht="41.45" customHeight="1">
      <c r="A2480"/>
      <c r="AC2480"/>
      <c r="AD2480"/>
    </row>
    <row r="2481" spans="1:30" ht="41.45" customHeight="1">
      <c r="A2481"/>
      <c r="AC2481"/>
      <c r="AD2481"/>
    </row>
    <row r="2482" spans="1:30" ht="41.45" customHeight="1">
      <c r="A2482"/>
      <c r="AC2482"/>
      <c r="AD2482"/>
    </row>
    <row r="2483" spans="1:30" ht="41.45" customHeight="1">
      <c r="A2483"/>
      <c r="AC2483"/>
      <c r="AD2483"/>
    </row>
    <row r="2484" spans="1:30" ht="41.45" customHeight="1">
      <c r="A2484"/>
      <c r="AC2484"/>
      <c r="AD2484"/>
    </row>
    <row r="2485" spans="1:30" ht="41.45" customHeight="1">
      <c r="A2485"/>
      <c r="AC2485"/>
      <c r="AD2485"/>
    </row>
    <row r="2486" spans="1:30" ht="41.45" customHeight="1">
      <c r="A2486"/>
      <c r="AC2486"/>
      <c r="AD2486"/>
    </row>
    <row r="2487" spans="1:30" ht="41.45" customHeight="1">
      <c r="A2487"/>
      <c r="AC2487"/>
      <c r="AD2487"/>
    </row>
    <row r="2488" spans="1:30" ht="41.45" customHeight="1">
      <c r="A2488"/>
      <c r="AC2488"/>
      <c r="AD2488"/>
    </row>
    <row r="2489" spans="1:30" ht="41.45" customHeight="1">
      <c r="A2489"/>
      <c r="AC2489"/>
      <c r="AD2489"/>
    </row>
    <row r="2490" spans="1:30" ht="41.45" customHeight="1">
      <c r="A2490"/>
      <c r="AC2490"/>
      <c r="AD2490"/>
    </row>
    <row r="2491" spans="1:30" ht="41.45" customHeight="1">
      <c r="A2491"/>
      <c r="AC2491"/>
      <c r="AD2491"/>
    </row>
    <row r="2492" spans="1:30" ht="41.45" customHeight="1">
      <c r="A2492"/>
      <c r="AC2492"/>
      <c r="AD2492"/>
    </row>
    <row r="2493" spans="1:30" ht="41.45" customHeight="1">
      <c r="A2493"/>
      <c r="AC2493"/>
      <c r="AD2493"/>
    </row>
    <row r="2494" spans="1:30" ht="41.45" customHeight="1">
      <c r="A2494"/>
      <c r="AC2494"/>
      <c r="AD2494"/>
    </row>
    <row r="2495" spans="1:30" ht="41.45" customHeight="1">
      <c r="A2495"/>
      <c r="AC2495"/>
      <c r="AD2495"/>
    </row>
    <row r="2496" spans="1:30" ht="41.45" customHeight="1">
      <c r="A2496"/>
      <c r="AC2496"/>
      <c r="AD2496"/>
    </row>
    <row r="2497" spans="1:30" ht="41.45" customHeight="1">
      <c r="A2497"/>
      <c r="AC2497"/>
      <c r="AD2497"/>
    </row>
    <row r="2498" spans="1:30" ht="41.45" customHeight="1">
      <c r="A2498"/>
      <c r="AC2498"/>
      <c r="AD2498"/>
    </row>
    <row r="2499" spans="1:30" ht="41.45" customHeight="1">
      <c r="A2499"/>
      <c r="AC2499"/>
      <c r="AD2499"/>
    </row>
    <row r="2500" spans="1:30" ht="41.45" customHeight="1">
      <c r="A2500"/>
      <c r="AC2500"/>
      <c r="AD2500"/>
    </row>
    <row r="2501" spans="1:30" ht="41.45" customHeight="1">
      <c r="A2501"/>
      <c r="AC2501"/>
      <c r="AD2501"/>
    </row>
    <row r="2502" spans="1:30" ht="41.45" customHeight="1">
      <c r="A2502"/>
      <c r="AC2502"/>
      <c r="AD2502"/>
    </row>
    <row r="2503" spans="1:30" ht="41.45" customHeight="1">
      <c r="A2503"/>
      <c r="AC2503"/>
      <c r="AD2503"/>
    </row>
    <row r="2504" spans="1:30" ht="41.45" customHeight="1">
      <c r="A2504"/>
      <c r="AC2504"/>
      <c r="AD2504"/>
    </row>
    <row r="2505" spans="1:30" ht="41.45" customHeight="1">
      <c r="A2505"/>
      <c r="AC2505"/>
      <c r="AD2505"/>
    </row>
    <row r="2506" spans="1:30" ht="41.45" customHeight="1">
      <c r="A2506"/>
      <c r="AC2506"/>
      <c r="AD2506"/>
    </row>
    <row r="2507" spans="1:30" ht="41.45" customHeight="1">
      <c r="A2507"/>
      <c r="AC2507"/>
      <c r="AD2507"/>
    </row>
    <row r="2508" spans="1:30" ht="41.45" customHeight="1">
      <c r="A2508"/>
      <c r="AC2508"/>
      <c r="AD2508"/>
    </row>
    <row r="2509" spans="1:30" ht="41.45" customHeight="1">
      <c r="A2509"/>
      <c r="AC2509"/>
      <c r="AD2509"/>
    </row>
    <row r="2510" spans="1:30" ht="41.45" customHeight="1">
      <c r="A2510"/>
      <c r="AC2510"/>
      <c r="AD2510"/>
    </row>
    <row r="2511" spans="1:30" ht="41.45" customHeight="1">
      <c r="A2511"/>
      <c r="AC2511"/>
      <c r="AD2511"/>
    </row>
    <row r="2512" spans="1:30" ht="41.45" customHeight="1">
      <c r="A2512"/>
      <c r="AC2512"/>
      <c r="AD2512"/>
    </row>
    <row r="2513" spans="1:30" ht="41.45" customHeight="1">
      <c r="A2513"/>
      <c r="AC2513"/>
      <c r="AD2513"/>
    </row>
    <row r="2514" spans="1:30" ht="41.45" customHeight="1">
      <c r="A2514"/>
      <c r="AC2514"/>
      <c r="AD2514"/>
    </row>
    <row r="2515" spans="1:30" ht="41.45" customHeight="1">
      <c r="A2515"/>
      <c r="AC2515"/>
      <c r="AD2515"/>
    </row>
    <row r="2516" spans="1:30" ht="41.45" customHeight="1">
      <c r="A2516"/>
      <c r="AC2516"/>
      <c r="AD2516"/>
    </row>
    <row r="2517" spans="1:30" ht="41.45" customHeight="1">
      <c r="A2517"/>
      <c r="AC2517"/>
      <c r="AD2517"/>
    </row>
    <row r="2518" spans="1:30" ht="41.45" customHeight="1">
      <c r="A2518"/>
      <c r="AC2518"/>
      <c r="AD2518"/>
    </row>
    <row r="2519" spans="1:30" ht="41.45" customHeight="1">
      <c r="A2519"/>
      <c r="AC2519"/>
      <c r="AD2519"/>
    </row>
    <row r="2520" spans="1:30" ht="41.45" customHeight="1">
      <c r="A2520"/>
      <c r="AC2520"/>
      <c r="AD2520"/>
    </row>
    <row r="2521" spans="1:30" ht="41.45" customHeight="1">
      <c r="A2521"/>
      <c r="AC2521"/>
      <c r="AD2521"/>
    </row>
    <row r="2522" spans="1:30" ht="41.45" customHeight="1">
      <c r="A2522"/>
      <c r="AC2522"/>
      <c r="AD2522"/>
    </row>
    <row r="2523" spans="1:30" ht="41.45" customHeight="1">
      <c r="A2523"/>
      <c r="AC2523"/>
      <c r="AD2523"/>
    </row>
    <row r="2524" spans="1:30" ht="41.45" customHeight="1">
      <c r="A2524"/>
      <c r="AC2524"/>
      <c r="AD2524"/>
    </row>
    <row r="2525" spans="1:30" ht="41.45" customHeight="1">
      <c r="A2525"/>
      <c r="AC2525"/>
      <c r="AD2525"/>
    </row>
    <row r="2526" spans="1:30" ht="41.45" customHeight="1">
      <c r="A2526"/>
      <c r="AC2526"/>
      <c r="AD2526"/>
    </row>
    <row r="2527" spans="1:30" ht="41.45" customHeight="1">
      <c r="A2527"/>
      <c r="AC2527"/>
      <c r="AD2527"/>
    </row>
    <row r="2528" spans="1:30" ht="41.45" customHeight="1">
      <c r="A2528"/>
      <c r="AC2528"/>
      <c r="AD2528"/>
    </row>
    <row r="2529" spans="1:30" ht="41.45" customHeight="1">
      <c r="A2529"/>
      <c r="AC2529"/>
      <c r="AD2529"/>
    </row>
    <row r="2530" spans="1:30" ht="41.45" customHeight="1">
      <c r="A2530"/>
      <c r="AC2530"/>
      <c r="AD2530"/>
    </row>
    <row r="2531" spans="1:30" ht="41.45" customHeight="1">
      <c r="A2531"/>
      <c r="AC2531"/>
      <c r="AD2531"/>
    </row>
    <row r="2532" spans="1:30" ht="41.45" customHeight="1">
      <c r="A2532"/>
      <c r="AC2532"/>
      <c r="AD2532"/>
    </row>
    <row r="2533" spans="1:30" ht="41.45" customHeight="1">
      <c r="A2533"/>
      <c r="AC2533"/>
      <c r="AD2533"/>
    </row>
    <row r="2534" spans="1:30" ht="41.45" customHeight="1">
      <c r="A2534"/>
      <c r="AC2534"/>
      <c r="AD2534"/>
    </row>
    <row r="2535" spans="1:30" ht="41.45" customHeight="1">
      <c r="A2535"/>
      <c r="AC2535"/>
      <c r="AD2535"/>
    </row>
    <row r="2536" spans="1:30" ht="41.45" customHeight="1">
      <c r="A2536"/>
      <c r="AC2536"/>
      <c r="AD2536"/>
    </row>
    <row r="2537" spans="1:30" ht="41.45" customHeight="1">
      <c r="A2537"/>
      <c r="AC2537"/>
      <c r="AD2537"/>
    </row>
    <row r="2538" spans="1:30" ht="41.45" customHeight="1">
      <c r="A2538"/>
      <c r="AC2538"/>
      <c r="AD2538"/>
    </row>
    <row r="2539" spans="1:30" ht="41.45" customHeight="1">
      <c r="A2539"/>
      <c r="AC2539"/>
      <c r="AD2539"/>
    </row>
    <row r="2540" spans="1:30" ht="41.45" customHeight="1">
      <c r="A2540"/>
      <c r="AC2540"/>
      <c r="AD2540"/>
    </row>
    <row r="2541" spans="1:30" ht="41.45" customHeight="1">
      <c r="A2541"/>
      <c r="AC2541"/>
      <c r="AD2541"/>
    </row>
    <row r="2542" spans="1:30" ht="41.45" customHeight="1">
      <c r="A2542"/>
      <c r="AC2542"/>
      <c r="AD2542"/>
    </row>
    <row r="2543" spans="1:30" ht="41.45" customHeight="1">
      <c r="A2543"/>
      <c r="AC2543"/>
      <c r="AD2543"/>
    </row>
    <row r="2544" spans="1:30" ht="41.45" customHeight="1">
      <c r="A2544"/>
      <c r="AC2544"/>
      <c r="AD2544"/>
    </row>
    <row r="2545" spans="1:30" ht="41.45" customHeight="1">
      <c r="A2545"/>
      <c r="AC2545"/>
      <c r="AD2545"/>
    </row>
    <row r="2546" spans="1:30" ht="41.45" customHeight="1">
      <c r="A2546"/>
      <c r="AC2546"/>
      <c r="AD2546"/>
    </row>
    <row r="2547" spans="1:30" ht="41.45" customHeight="1">
      <c r="A2547"/>
      <c r="AC2547"/>
      <c r="AD2547"/>
    </row>
    <row r="2548" spans="1:30" ht="41.45" customHeight="1">
      <c r="A2548"/>
      <c r="AC2548"/>
      <c r="AD2548"/>
    </row>
    <row r="2549" spans="1:30" ht="41.45" customHeight="1">
      <c r="A2549"/>
      <c r="AC2549"/>
      <c r="AD2549"/>
    </row>
    <row r="2550" spans="1:30" ht="41.45" customHeight="1">
      <c r="A2550"/>
      <c r="AC2550"/>
      <c r="AD2550"/>
    </row>
    <row r="2551" spans="1:30" ht="41.45" customHeight="1">
      <c r="A2551"/>
      <c r="AC2551"/>
      <c r="AD2551"/>
    </row>
    <row r="2552" spans="1:30" ht="41.45" customHeight="1">
      <c r="A2552"/>
      <c r="AC2552"/>
      <c r="AD2552"/>
    </row>
    <row r="2553" spans="1:30" ht="41.45" customHeight="1">
      <c r="A2553"/>
      <c r="AC2553"/>
      <c r="AD2553"/>
    </row>
    <row r="2554" spans="1:30" ht="41.45" customHeight="1">
      <c r="A2554"/>
      <c r="AC2554"/>
      <c r="AD2554"/>
    </row>
    <row r="2555" spans="1:30" ht="41.45" customHeight="1">
      <c r="A2555"/>
      <c r="AC2555"/>
      <c r="AD2555"/>
    </row>
    <row r="2556" spans="1:30" ht="41.45" customHeight="1">
      <c r="A2556"/>
      <c r="AC2556"/>
      <c r="AD2556"/>
    </row>
    <row r="2557" spans="1:30" ht="41.45" customHeight="1">
      <c r="A2557"/>
      <c r="AC2557"/>
      <c r="AD2557"/>
    </row>
    <row r="2558" spans="1:30" ht="41.45" customHeight="1">
      <c r="A2558"/>
      <c r="AC2558"/>
      <c r="AD2558"/>
    </row>
    <row r="2559" spans="1:30" ht="41.45" customHeight="1">
      <c r="A2559"/>
      <c r="AC2559"/>
      <c r="AD2559"/>
    </row>
    <row r="2560" spans="1:30" ht="41.45" customHeight="1">
      <c r="A2560"/>
      <c r="AC2560"/>
      <c r="AD2560"/>
    </row>
    <row r="2561" spans="1:30" ht="41.45" customHeight="1">
      <c r="A2561"/>
      <c r="AC2561"/>
      <c r="AD2561"/>
    </row>
    <row r="2562" spans="1:30" ht="41.45" customHeight="1">
      <c r="A2562"/>
      <c r="AC2562"/>
      <c r="AD2562"/>
    </row>
    <row r="2563" spans="1:30" ht="41.45" customHeight="1">
      <c r="A2563"/>
      <c r="AC2563"/>
      <c r="AD2563"/>
    </row>
    <row r="2564" spans="1:30" ht="41.45" customHeight="1">
      <c r="A2564"/>
      <c r="AC2564"/>
      <c r="AD2564"/>
    </row>
    <row r="2565" spans="1:30" ht="41.45" customHeight="1">
      <c r="A2565"/>
      <c r="AC2565"/>
      <c r="AD2565"/>
    </row>
    <row r="2566" spans="1:30" ht="41.45" customHeight="1">
      <c r="A2566"/>
      <c r="AC2566"/>
      <c r="AD2566"/>
    </row>
    <row r="2567" spans="1:30" ht="41.45" customHeight="1">
      <c r="A2567"/>
      <c r="AC2567"/>
      <c r="AD2567"/>
    </row>
    <row r="2568" spans="1:30" ht="41.45" customHeight="1">
      <c r="A2568"/>
      <c r="AC2568"/>
      <c r="AD2568"/>
    </row>
    <row r="2569" spans="1:30" ht="41.45" customHeight="1">
      <c r="A2569"/>
      <c r="AC2569"/>
      <c r="AD2569"/>
    </row>
    <row r="2570" spans="1:30" ht="41.45" customHeight="1">
      <c r="A2570"/>
      <c r="AC2570"/>
      <c r="AD2570"/>
    </row>
    <row r="2571" spans="1:30" ht="41.45" customHeight="1">
      <c r="A2571"/>
      <c r="AC2571"/>
      <c r="AD2571"/>
    </row>
    <row r="2572" spans="1:30" ht="41.45" customHeight="1">
      <c r="A2572"/>
      <c r="AC2572"/>
      <c r="AD2572"/>
    </row>
    <row r="2573" spans="1:30" ht="41.45" customHeight="1">
      <c r="A2573"/>
      <c r="AC2573"/>
      <c r="AD2573"/>
    </row>
    <row r="2574" spans="1:30" ht="41.45" customHeight="1">
      <c r="A2574"/>
      <c r="AC2574"/>
      <c r="AD2574"/>
    </row>
    <row r="2575" spans="1:30" ht="41.45" customHeight="1">
      <c r="A2575"/>
      <c r="AC2575"/>
      <c r="AD2575"/>
    </row>
    <row r="2576" spans="1:30" ht="41.45" customHeight="1">
      <c r="A2576"/>
      <c r="AC2576"/>
      <c r="AD2576"/>
    </row>
    <row r="2577" spans="1:30" ht="41.45" customHeight="1">
      <c r="A2577"/>
      <c r="AC2577"/>
      <c r="AD2577"/>
    </row>
    <row r="2578" spans="1:30" ht="41.45" customHeight="1">
      <c r="A2578"/>
      <c r="AC2578"/>
      <c r="AD2578"/>
    </row>
    <row r="2579" spans="1:30" ht="41.45" customHeight="1">
      <c r="A2579"/>
      <c r="AC2579"/>
      <c r="AD2579"/>
    </row>
    <row r="2580" spans="1:30" ht="41.45" customHeight="1">
      <c r="A2580"/>
      <c r="AC2580"/>
      <c r="AD2580"/>
    </row>
    <row r="2581" spans="1:30" ht="41.45" customHeight="1">
      <c r="A2581"/>
      <c r="AC2581"/>
      <c r="AD2581"/>
    </row>
    <row r="2582" spans="1:30" ht="41.45" customHeight="1">
      <c r="A2582"/>
      <c r="AC2582"/>
      <c r="AD2582"/>
    </row>
    <row r="2583" spans="1:30" ht="41.45" customHeight="1">
      <c r="A2583"/>
      <c r="AC2583"/>
      <c r="AD2583"/>
    </row>
    <row r="2584" spans="1:30" ht="41.45" customHeight="1">
      <c r="A2584"/>
      <c r="AC2584"/>
      <c r="AD2584"/>
    </row>
    <row r="2585" spans="1:30" ht="41.45" customHeight="1">
      <c r="A2585"/>
      <c r="AC2585"/>
      <c r="AD2585"/>
    </row>
    <row r="2586" spans="1:30" ht="41.45" customHeight="1">
      <c r="A2586"/>
      <c r="AC2586"/>
      <c r="AD2586"/>
    </row>
    <row r="2587" spans="1:30" ht="41.45" customHeight="1">
      <c r="A2587"/>
      <c r="AC2587"/>
      <c r="AD2587"/>
    </row>
    <row r="2588" spans="1:30" ht="41.45" customHeight="1">
      <c r="A2588"/>
      <c r="AC2588"/>
      <c r="AD2588"/>
    </row>
    <row r="2589" spans="1:30" ht="41.45" customHeight="1">
      <c r="A2589"/>
      <c r="AC2589"/>
      <c r="AD2589"/>
    </row>
    <row r="2590" spans="1:30" ht="41.45" customHeight="1">
      <c r="A2590"/>
      <c r="AC2590"/>
      <c r="AD2590"/>
    </row>
    <row r="2591" spans="1:30" ht="41.45" customHeight="1">
      <c r="A2591"/>
      <c r="AC2591"/>
      <c r="AD2591"/>
    </row>
    <row r="2592" spans="1:30" ht="41.45" customHeight="1">
      <c r="A2592"/>
      <c r="AC2592"/>
      <c r="AD2592"/>
    </row>
    <row r="2593" spans="1:30" ht="41.45" customHeight="1">
      <c r="A2593"/>
      <c r="AC2593"/>
      <c r="AD2593"/>
    </row>
    <row r="2594" spans="1:30" ht="41.45" customHeight="1">
      <c r="A2594"/>
      <c r="AC2594"/>
      <c r="AD2594"/>
    </row>
    <row r="2595" spans="1:30" ht="41.45" customHeight="1">
      <c r="A2595"/>
      <c r="AC2595"/>
      <c r="AD2595"/>
    </row>
    <row r="2596" spans="1:30" ht="41.45" customHeight="1">
      <c r="A2596"/>
      <c r="AC2596"/>
      <c r="AD2596"/>
    </row>
    <row r="2597" spans="1:30" ht="41.45" customHeight="1">
      <c r="A2597"/>
      <c r="AC2597"/>
      <c r="AD2597"/>
    </row>
    <row r="2598" spans="1:30" ht="41.45" customHeight="1">
      <c r="A2598"/>
      <c r="AC2598"/>
      <c r="AD2598"/>
    </row>
    <row r="2599" spans="1:30" ht="41.45" customHeight="1">
      <c r="A2599"/>
      <c r="AC2599"/>
      <c r="AD2599"/>
    </row>
    <row r="2600" spans="1:30" ht="41.45" customHeight="1">
      <c r="A2600"/>
      <c r="AC2600"/>
      <c r="AD2600"/>
    </row>
    <row r="2601" spans="1:30" ht="41.45" customHeight="1">
      <c r="A2601"/>
      <c r="AC2601"/>
      <c r="AD2601"/>
    </row>
    <row r="2602" spans="1:30" ht="41.45" customHeight="1">
      <c r="A2602"/>
      <c r="AC2602"/>
      <c r="AD2602"/>
    </row>
    <row r="2603" spans="1:30" ht="41.45" customHeight="1">
      <c r="A2603"/>
      <c r="AC2603"/>
      <c r="AD2603"/>
    </row>
    <row r="2604" spans="1:30" ht="41.45" customHeight="1">
      <c r="A2604"/>
      <c r="AC2604"/>
      <c r="AD2604"/>
    </row>
    <row r="2605" spans="1:30" ht="41.45" customHeight="1">
      <c r="A2605"/>
      <c r="AC2605"/>
      <c r="AD2605"/>
    </row>
    <row r="2606" spans="1:30" ht="41.45" customHeight="1">
      <c r="A2606"/>
      <c r="AC2606"/>
      <c r="AD2606"/>
    </row>
    <row r="2607" spans="1:30" ht="41.45" customHeight="1">
      <c r="A2607"/>
      <c r="AC2607"/>
      <c r="AD2607"/>
    </row>
    <row r="2608" spans="1:30" ht="41.45" customHeight="1">
      <c r="A2608"/>
      <c r="AC2608"/>
      <c r="AD2608"/>
    </row>
    <row r="2609" spans="1:30" ht="41.45" customHeight="1">
      <c r="A2609"/>
      <c r="AC2609"/>
      <c r="AD2609"/>
    </row>
    <row r="2610" spans="1:30" ht="41.45" customHeight="1">
      <c r="A2610"/>
      <c r="AC2610"/>
      <c r="AD2610"/>
    </row>
    <row r="2611" spans="1:30" ht="41.45" customHeight="1">
      <c r="A2611"/>
      <c r="AC2611"/>
      <c r="AD2611"/>
    </row>
    <row r="2612" spans="1:30" ht="41.45" customHeight="1">
      <c r="A2612"/>
      <c r="AC2612"/>
      <c r="AD2612"/>
    </row>
    <row r="2613" spans="1:30" ht="41.45" customHeight="1">
      <c r="A2613"/>
      <c r="AC2613"/>
      <c r="AD2613"/>
    </row>
    <row r="2614" spans="1:30" ht="41.45" customHeight="1">
      <c r="A2614"/>
      <c r="AC2614"/>
      <c r="AD2614"/>
    </row>
    <row r="2615" spans="1:30" ht="41.45" customHeight="1">
      <c r="A2615"/>
      <c r="AC2615"/>
      <c r="AD2615"/>
    </row>
    <row r="2616" spans="1:30" ht="41.45" customHeight="1">
      <c r="A2616"/>
      <c r="AC2616"/>
      <c r="AD2616"/>
    </row>
    <row r="2617" spans="1:30" ht="41.45" customHeight="1">
      <c r="A2617"/>
      <c r="AC2617"/>
      <c r="AD2617"/>
    </row>
    <row r="2618" spans="1:30" ht="41.45" customHeight="1">
      <c r="A2618"/>
      <c r="AC2618"/>
      <c r="AD2618"/>
    </row>
    <row r="2619" spans="1:30" ht="41.45" customHeight="1">
      <c r="A2619"/>
      <c r="AC2619"/>
      <c r="AD2619"/>
    </row>
    <row r="2620" spans="1:30" ht="41.45" customHeight="1">
      <c r="A2620"/>
      <c r="AC2620"/>
      <c r="AD2620"/>
    </row>
    <row r="2621" spans="1:30" ht="41.45" customHeight="1">
      <c r="A2621"/>
      <c r="AC2621"/>
      <c r="AD2621"/>
    </row>
    <row r="2622" spans="1:30" ht="41.45" customHeight="1">
      <c r="A2622"/>
      <c r="AC2622"/>
      <c r="AD2622"/>
    </row>
    <row r="2623" spans="1:30" ht="41.45" customHeight="1">
      <c r="A2623"/>
      <c r="AC2623"/>
      <c r="AD2623"/>
    </row>
    <row r="2624" spans="1:30" ht="41.45" customHeight="1">
      <c r="A2624"/>
      <c r="AC2624"/>
      <c r="AD2624"/>
    </row>
    <row r="2625" spans="1:30" ht="41.45" customHeight="1">
      <c r="A2625"/>
      <c r="AC2625"/>
      <c r="AD2625"/>
    </row>
    <row r="2626" spans="1:30" ht="41.45" customHeight="1">
      <c r="A2626"/>
      <c r="AC2626"/>
      <c r="AD2626"/>
    </row>
    <row r="2627" spans="1:30" ht="41.45" customHeight="1">
      <c r="A2627"/>
      <c r="AC2627"/>
      <c r="AD2627"/>
    </row>
    <row r="2628" spans="1:30" ht="41.45" customHeight="1">
      <c r="A2628"/>
      <c r="AC2628"/>
      <c r="AD2628"/>
    </row>
    <row r="2629" spans="1:30" ht="41.45" customHeight="1">
      <c r="A2629"/>
      <c r="AC2629"/>
      <c r="AD2629"/>
    </row>
    <row r="2630" spans="1:30" ht="41.45" customHeight="1">
      <c r="A2630"/>
      <c r="AC2630"/>
      <c r="AD2630"/>
    </row>
    <row r="2631" spans="1:30" ht="41.45" customHeight="1">
      <c r="A2631"/>
      <c r="AC2631"/>
      <c r="AD2631"/>
    </row>
    <row r="2632" spans="1:30" ht="41.45" customHeight="1">
      <c r="A2632"/>
      <c r="AC2632"/>
      <c r="AD2632"/>
    </row>
    <row r="2633" spans="1:30" ht="41.45" customHeight="1">
      <c r="A2633"/>
      <c r="AC2633"/>
      <c r="AD2633"/>
    </row>
    <row r="2634" spans="1:30" ht="41.45" customHeight="1">
      <c r="A2634"/>
      <c r="AC2634"/>
      <c r="AD2634"/>
    </row>
    <row r="2635" spans="1:30" ht="41.45" customHeight="1">
      <c r="A2635"/>
      <c r="AC2635"/>
      <c r="AD2635"/>
    </row>
    <row r="2636" spans="1:30" ht="41.45" customHeight="1">
      <c r="A2636"/>
      <c r="AC2636"/>
      <c r="AD2636"/>
    </row>
    <row r="2637" spans="1:30" ht="41.45" customHeight="1">
      <c r="A2637"/>
      <c r="AC2637"/>
      <c r="AD2637"/>
    </row>
    <row r="2638" spans="1:30" ht="41.45" customHeight="1">
      <c r="A2638"/>
      <c r="AC2638"/>
      <c r="AD2638"/>
    </row>
    <row r="2639" spans="1:30" ht="41.45" customHeight="1">
      <c r="A2639"/>
      <c r="AC2639"/>
      <c r="AD2639"/>
    </row>
    <row r="2640" spans="1:30" ht="41.45" customHeight="1">
      <c r="A2640"/>
      <c r="AC2640"/>
      <c r="AD2640"/>
    </row>
    <row r="2641" spans="1:30" ht="41.45" customHeight="1">
      <c r="A2641"/>
      <c r="AC2641"/>
      <c r="AD2641"/>
    </row>
    <row r="2642" spans="1:30" ht="41.45" customHeight="1">
      <c r="A2642"/>
      <c r="AC2642"/>
      <c r="AD2642"/>
    </row>
    <row r="2643" spans="1:30" ht="41.45" customHeight="1">
      <c r="A2643"/>
      <c r="AC2643"/>
      <c r="AD2643"/>
    </row>
    <row r="2644" spans="1:30" ht="41.45" customHeight="1">
      <c r="A2644"/>
      <c r="AC2644"/>
      <c r="AD2644"/>
    </row>
    <row r="2645" spans="1:30" ht="41.45" customHeight="1">
      <c r="A2645"/>
      <c r="AC2645"/>
      <c r="AD2645"/>
    </row>
    <row r="2646" spans="1:30" ht="41.45" customHeight="1">
      <c r="A2646"/>
      <c r="AC2646"/>
      <c r="AD2646"/>
    </row>
    <row r="2647" spans="1:30" ht="41.45" customHeight="1">
      <c r="A2647"/>
      <c r="AC2647"/>
      <c r="AD2647"/>
    </row>
    <row r="2648" spans="1:30" ht="41.45" customHeight="1">
      <c r="A2648"/>
      <c r="AC2648"/>
      <c r="AD2648"/>
    </row>
    <row r="2649" spans="1:30" ht="41.45" customHeight="1">
      <c r="A2649"/>
      <c r="AC2649"/>
      <c r="AD2649"/>
    </row>
    <row r="2650" spans="1:30" ht="41.45" customHeight="1">
      <c r="A2650"/>
      <c r="AC2650"/>
      <c r="AD2650"/>
    </row>
    <row r="2651" spans="1:30" ht="41.45" customHeight="1">
      <c r="A2651"/>
      <c r="AC2651"/>
      <c r="AD2651"/>
    </row>
    <row r="2652" spans="1:30" ht="41.45" customHeight="1">
      <c r="A2652"/>
      <c r="AC2652"/>
      <c r="AD2652"/>
    </row>
    <row r="2653" spans="1:30" ht="41.45" customHeight="1">
      <c r="A2653"/>
      <c r="AC2653"/>
      <c r="AD2653"/>
    </row>
    <row r="2654" spans="1:30" ht="41.45" customHeight="1">
      <c r="A2654"/>
      <c r="AC2654"/>
      <c r="AD2654"/>
    </row>
    <row r="2655" spans="1:30" ht="41.45" customHeight="1">
      <c r="A2655"/>
      <c r="AC2655"/>
      <c r="AD2655"/>
    </row>
    <row r="2656" spans="1:30" ht="41.45" customHeight="1">
      <c r="A2656"/>
      <c r="AC2656"/>
      <c r="AD2656"/>
    </row>
    <row r="2657" spans="1:30" ht="41.45" customHeight="1">
      <c r="A2657"/>
      <c r="AC2657"/>
      <c r="AD2657"/>
    </row>
    <row r="2658" spans="1:30" ht="41.45" customHeight="1">
      <c r="A2658"/>
      <c r="AC2658"/>
      <c r="AD2658"/>
    </row>
    <row r="2659" spans="1:30" ht="41.45" customHeight="1">
      <c r="A2659"/>
      <c r="AC2659"/>
      <c r="AD2659"/>
    </row>
    <row r="2660" spans="1:30" ht="41.45" customHeight="1">
      <c r="A2660"/>
      <c r="AC2660"/>
      <c r="AD2660"/>
    </row>
    <row r="2661" spans="1:30" ht="41.45" customHeight="1">
      <c r="A2661"/>
      <c r="AC2661"/>
      <c r="AD2661"/>
    </row>
    <row r="2662" spans="1:30" ht="41.45" customHeight="1">
      <c r="A2662"/>
      <c r="AC2662"/>
      <c r="AD2662"/>
    </row>
    <row r="2663" spans="1:30" ht="41.45" customHeight="1">
      <c r="A2663"/>
      <c r="AC2663"/>
      <c r="AD2663"/>
    </row>
    <row r="2664" spans="1:30" ht="41.45" customHeight="1">
      <c r="A2664"/>
      <c r="AC2664"/>
      <c r="AD2664"/>
    </row>
    <row r="2665" spans="1:30" ht="41.45" customHeight="1">
      <c r="A2665"/>
      <c r="AC2665"/>
      <c r="AD2665"/>
    </row>
    <row r="2666" spans="1:30" ht="41.45" customHeight="1">
      <c r="A2666"/>
      <c r="AC2666"/>
      <c r="AD2666"/>
    </row>
    <row r="2667" spans="1:30" ht="41.45" customHeight="1">
      <c r="A2667"/>
      <c r="AC2667"/>
      <c r="AD2667"/>
    </row>
    <row r="2668" spans="1:30" ht="41.45" customHeight="1">
      <c r="A2668"/>
      <c r="AC2668"/>
      <c r="AD2668"/>
    </row>
    <row r="2669" spans="1:30" ht="41.45" customHeight="1">
      <c r="A2669"/>
      <c r="AC2669"/>
      <c r="AD2669"/>
    </row>
    <row r="2670" spans="1:30" ht="41.45" customHeight="1">
      <c r="A2670"/>
      <c r="AC2670"/>
      <c r="AD2670"/>
    </row>
    <row r="2671" spans="1:30" ht="41.45" customHeight="1">
      <c r="A2671"/>
      <c r="AC2671"/>
      <c r="AD2671"/>
    </row>
    <row r="2672" spans="1:30" ht="41.45" customHeight="1">
      <c r="A2672"/>
      <c r="AC2672"/>
      <c r="AD2672"/>
    </row>
    <row r="2673" spans="1:30" ht="41.45" customHeight="1">
      <c r="A2673"/>
      <c r="AC2673"/>
      <c r="AD2673"/>
    </row>
    <row r="2674" spans="1:30" ht="41.45" customHeight="1">
      <c r="A2674"/>
      <c r="AC2674"/>
      <c r="AD2674"/>
    </row>
    <row r="2675" spans="1:30" ht="41.45" customHeight="1">
      <c r="A2675"/>
      <c r="AC2675"/>
      <c r="AD2675"/>
    </row>
    <row r="2676" spans="1:30" ht="41.45" customHeight="1">
      <c r="A2676"/>
      <c r="AC2676"/>
      <c r="AD2676"/>
    </row>
    <row r="2677" spans="1:30" ht="41.45" customHeight="1">
      <c r="A2677"/>
      <c r="AC2677"/>
      <c r="AD2677"/>
    </row>
    <row r="2678" spans="1:30" ht="41.45" customHeight="1">
      <c r="A2678"/>
      <c r="AC2678"/>
      <c r="AD2678"/>
    </row>
    <row r="2679" spans="1:30" ht="41.45" customHeight="1">
      <c r="A2679"/>
      <c r="AC2679"/>
      <c r="AD2679"/>
    </row>
    <row r="2680" spans="1:30" ht="41.45" customHeight="1">
      <c r="A2680"/>
      <c r="AC2680"/>
      <c r="AD2680"/>
    </row>
    <row r="2681" spans="1:30" ht="41.45" customHeight="1">
      <c r="A2681"/>
      <c r="AC2681"/>
      <c r="AD2681"/>
    </row>
    <row r="2682" spans="1:30" ht="41.45" customHeight="1">
      <c r="A2682"/>
      <c r="AC2682"/>
      <c r="AD2682"/>
    </row>
    <row r="2683" spans="1:30" ht="41.45" customHeight="1">
      <c r="A2683"/>
      <c r="AC2683"/>
      <c r="AD2683"/>
    </row>
    <row r="2684" spans="1:30" ht="41.45" customHeight="1">
      <c r="A2684"/>
      <c r="AC2684"/>
      <c r="AD2684"/>
    </row>
    <row r="2685" spans="1:30" ht="41.45" customHeight="1">
      <c r="A2685"/>
      <c r="AC2685"/>
      <c r="AD2685"/>
    </row>
    <row r="2686" spans="1:30" ht="41.45" customHeight="1">
      <c r="A2686"/>
      <c r="AC2686"/>
      <c r="AD2686"/>
    </row>
    <row r="2687" spans="1:30" ht="41.45" customHeight="1">
      <c r="A2687"/>
      <c r="AC2687"/>
      <c r="AD2687"/>
    </row>
    <row r="2688" spans="1:30" ht="41.45" customHeight="1">
      <c r="A2688"/>
      <c r="AC2688"/>
      <c r="AD2688"/>
    </row>
    <row r="2689" spans="1:30" ht="41.45" customHeight="1">
      <c r="A2689"/>
      <c r="AC2689"/>
      <c r="AD2689"/>
    </row>
    <row r="2690" spans="1:30" ht="41.45" customHeight="1">
      <c r="A2690"/>
      <c r="AC2690"/>
      <c r="AD2690"/>
    </row>
    <row r="2691" spans="1:30" ht="41.45" customHeight="1">
      <c r="A2691"/>
      <c r="AC2691"/>
      <c r="AD2691"/>
    </row>
    <row r="2692" spans="1:30" ht="41.45" customHeight="1">
      <c r="A2692"/>
      <c r="AC2692"/>
      <c r="AD2692"/>
    </row>
    <row r="2693" spans="1:30" ht="41.45" customHeight="1">
      <c r="A2693"/>
      <c r="AC2693"/>
      <c r="AD2693"/>
    </row>
    <row r="2694" spans="1:30" ht="41.45" customHeight="1">
      <c r="A2694"/>
      <c r="AC2694"/>
      <c r="AD2694"/>
    </row>
    <row r="2695" spans="1:30" ht="41.45" customHeight="1">
      <c r="A2695"/>
      <c r="AC2695"/>
      <c r="AD2695"/>
    </row>
    <row r="2696" spans="1:30" ht="41.45" customHeight="1">
      <c r="A2696"/>
      <c r="AC2696"/>
      <c r="AD2696"/>
    </row>
    <row r="2697" spans="1:30" ht="41.45" customHeight="1">
      <c r="A2697"/>
      <c r="AC2697"/>
      <c r="AD2697"/>
    </row>
    <row r="2698" spans="1:30" ht="41.45" customHeight="1">
      <c r="A2698"/>
      <c r="AC2698"/>
      <c r="AD2698"/>
    </row>
    <row r="2699" spans="1:30" ht="41.45" customHeight="1">
      <c r="A2699"/>
      <c r="AC2699"/>
      <c r="AD2699"/>
    </row>
    <row r="2700" spans="1:30" ht="41.45" customHeight="1">
      <c r="A2700"/>
      <c r="AC2700"/>
      <c r="AD2700"/>
    </row>
    <row r="2701" spans="1:30" ht="41.45" customHeight="1">
      <c r="A2701"/>
      <c r="AC2701"/>
      <c r="AD2701"/>
    </row>
    <row r="2702" spans="1:30" ht="41.45" customHeight="1">
      <c r="A2702"/>
      <c r="AC2702"/>
      <c r="AD2702"/>
    </row>
    <row r="2703" spans="1:30" ht="41.45" customHeight="1">
      <c r="A2703"/>
      <c r="AC2703"/>
      <c r="AD2703"/>
    </row>
    <row r="2704" spans="1:30" ht="41.45" customHeight="1">
      <c r="A2704"/>
      <c r="AC2704"/>
      <c r="AD2704"/>
    </row>
    <row r="2705" spans="1:30" ht="41.45" customHeight="1">
      <c r="A2705"/>
      <c r="AC2705"/>
      <c r="AD2705"/>
    </row>
    <row r="2706" spans="1:30" ht="41.45" customHeight="1">
      <c r="A2706"/>
      <c r="AC2706"/>
      <c r="AD2706"/>
    </row>
    <row r="2707" spans="1:30" ht="41.45" customHeight="1">
      <c r="A2707"/>
      <c r="AC2707"/>
      <c r="AD2707"/>
    </row>
    <row r="2708" spans="1:30" ht="41.45" customHeight="1">
      <c r="A2708"/>
      <c r="AC2708"/>
      <c r="AD2708"/>
    </row>
    <row r="2709" spans="1:30" ht="41.45" customHeight="1">
      <c r="A2709"/>
      <c r="AC2709"/>
      <c r="AD2709"/>
    </row>
    <row r="2710" spans="1:30" ht="41.45" customHeight="1">
      <c r="A2710"/>
      <c r="AC2710"/>
      <c r="AD2710"/>
    </row>
    <row r="2711" spans="1:30" ht="41.45" customHeight="1">
      <c r="A2711"/>
      <c r="AC2711"/>
      <c r="AD2711"/>
    </row>
    <row r="2712" spans="1:30" ht="41.45" customHeight="1">
      <c r="A2712"/>
      <c r="AC2712"/>
      <c r="AD2712"/>
    </row>
    <row r="2713" spans="1:30" ht="41.45" customHeight="1">
      <c r="A2713"/>
      <c r="AC2713"/>
      <c r="AD2713"/>
    </row>
    <row r="2714" spans="1:30" ht="41.45" customHeight="1">
      <c r="A2714"/>
      <c r="AC2714"/>
      <c r="AD2714"/>
    </row>
    <row r="2715" spans="1:30" ht="41.45" customHeight="1">
      <c r="A2715"/>
      <c r="AC2715"/>
      <c r="AD2715"/>
    </row>
    <row r="2716" spans="1:30" ht="41.45" customHeight="1">
      <c r="A2716"/>
      <c r="AC2716"/>
      <c r="AD2716"/>
    </row>
    <row r="2717" spans="1:30" ht="41.45" customHeight="1">
      <c r="A2717"/>
      <c r="AC2717"/>
      <c r="AD2717"/>
    </row>
    <row r="2718" spans="1:30" ht="41.45" customHeight="1">
      <c r="A2718"/>
      <c r="AC2718"/>
      <c r="AD2718"/>
    </row>
    <row r="2719" spans="1:30" ht="41.45" customHeight="1">
      <c r="A2719"/>
      <c r="AC2719"/>
      <c r="AD2719"/>
    </row>
    <row r="2720" spans="1:30" ht="41.45" customHeight="1">
      <c r="A2720"/>
      <c r="AC2720"/>
      <c r="AD2720"/>
    </row>
    <row r="2721" spans="1:30" ht="41.45" customHeight="1">
      <c r="A2721"/>
      <c r="AC2721"/>
      <c r="AD2721"/>
    </row>
    <row r="2722" spans="1:30" ht="41.45" customHeight="1">
      <c r="A2722"/>
      <c r="AC2722"/>
      <c r="AD2722"/>
    </row>
    <row r="2723" spans="1:30" ht="41.45" customHeight="1">
      <c r="A2723"/>
      <c r="AC2723"/>
      <c r="AD2723"/>
    </row>
    <row r="2724" spans="1:30" ht="41.45" customHeight="1">
      <c r="A2724"/>
      <c r="AC2724"/>
      <c r="AD2724"/>
    </row>
    <row r="2725" spans="1:30" ht="41.45" customHeight="1">
      <c r="A2725"/>
      <c r="AC2725"/>
      <c r="AD2725"/>
    </row>
    <row r="2726" spans="1:30" ht="41.45" customHeight="1">
      <c r="A2726"/>
      <c r="AC2726"/>
      <c r="AD2726"/>
    </row>
    <row r="2727" spans="1:30" ht="41.45" customHeight="1">
      <c r="A2727"/>
      <c r="AC2727"/>
      <c r="AD2727"/>
    </row>
    <row r="2728" spans="1:30" ht="41.45" customHeight="1">
      <c r="A2728"/>
      <c r="AC2728"/>
      <c r="AD2728"/>
    </row>
    <row r="2729" spans="1:30" ht="41.45" customHeight="1">
      <c r="A2729"/>
      <c r="AC2729"/>
      <c r="AD2729"/>
    </row>
    <row r="2730" spans="1:30" ht="41.45" customHeight="1">
      <c r="A2730"/>
      <c r="AC2730"/>
      <c r="AD2730"/>
    </row>
    <row r="2731" spans="1:30" ht="41.45" customHeight="1">
      <c r="A2731"/>
      <c r="AC2731"/>
      <c r="AD2731"/>
    </row>
    <row r="2732" spans="1:30" ht="41.45" customHeight="1">
      <c r="A2732"/>
      <c r="AC2732"/>
      <c r="AD2732"/>
    </row>
    <row r="2733" spans="1:30" ht="41.45" customHeight="1">
      <c r="A2733"/>
      <c r="AC2733"/>
      <c r="AD2733"/>
    </row>
    <row r="2734" spans="1:30" ht="41.45" customHeight="1">
      <c r="A2734"/>
      <c r="AC2734"/>
      <c r="AD2734"/>
    </row>
    <row r="2735" spans="1:30" ht="41.45" customHeight="1">
      <c r="A2735"/>
      <c r="AC2735"/>
      <c r="AD2735"/>
    </row>
    <row r="2736" spans="1:30" ht="41.45" customHeight="1">
      <c r="A2736"/>
      <c r="AC2736"/>
      <c r="AD2736"/>
    </row>
    <row r="2737" spans="1:30" ht="41.45" customHeight="1">
      <c r="A2737"/>
      <c r="AC2737"/>
      <c r="AD2737"/>
    </row>
    <row r="2738" spans="1:30" ht="41.45" customHeight="1">
      <c r="A2738"/>
      <c r="AC2738"/>
      <c r="AD2738"/>
    </row>
    <row r="2739" spans="1:30" ht="41.45" customHeight="1">
      <c r="A2739"/>
      <c r="AC2739"/>
      <c r="AD2739"/>
    </row>
    <row r="2740" spans="1:30" ht="41.45" customHeight="1">
      <c r="A2740"/>
      <c r="AC2740"/>
      <c r="AD2740"/>
    </row>
    <row r="2741" spans="1:30" ht="41.45" customHeight="1">
      <c r="A2741"/>
      <c r="AC2741"/>
      <c r="AD2741"/>
    </row>
    <row r="2742" spans="1:30" ht="41.45" customHeight="1">
      <c r="A2742"/>
      <c r="AC2742"/>
      <c r="AD2742"/>
    </row>
    <row r="2743" spans="1:30" ht="41.45" customHeight="1">
      <c r="A2743"/>
      <c r="AC2743"/>
      <c r="AD2743"/>
    </row>
    <row r="2744" spans="1:30" ht="41.45" customHeight="1">
      <c r="A2744"/>
      <c r="AC2744"/>
      <c r="AD2744"/>
    </row>
    <row r="2745" spans="1:30" ht="41.45" customHeight="1">
      <c r="A2745"/>
      <c r="AC2745"/>
      <c r="AD2745"/>
    </row>
    <row r="2746" spans="1:30" ht="41.45" customHeight="1">
      <c r="A2746"/>
      <c r="AC2746"/>
      <c r="AD2746"/>
    </row>
    <row r="2747" spans="1:30" ht="41.45" customHeight="1">
      <c r="A2747"/>
      <c r="AC2747"/>
      <c r="AD2747"/>
    </row>
    <row r="2748" spans="1:30" ht="41.45" customHeight="1">
      <c r="A2748"/>
      <c r="AC2748"/>
      <c r="AD2748"/>
    </row>
    <row r="2749" spans="1:30" ht="41.45" customHeight="1">
      <c r="A2749"/>
      <c r="AC2749"/>
      <c r="AD2749"/>
    </row>
    <row r="2750" spans="1:30" ht="41.45" customHeight="1">
      <c r="A2750"/>
      <c r="AC2750"/>
      <c r="AD2750"/>
    </row>
    <row r="2751" spans="1:30" ht="41.45" customHeight="1">
      <c r="A2751"/>
      <c r="AC2751"/>
      <c r="AD2751"/>
    </row>
    <row r="2752" spans="1:30" ht="41.45" customHeight="1">
      <c r="A2752"/>
      <c r="AC2752"/>
      <c r="AD2752"/>
    </row>
    <row r="2753" spans="1:30" ht="41.45" customHeight="1">
      <c r="A2753"/>
      <c r="AC2753"/>
      <c r="AD2753"/>
    </row>
    <row r="2754" spans="1:30" ht="41.45" customHeight="1">
      <c r="A2754"/>
      <c r="AC2754"/>
      <c r="AD2754"/>
    </row>
    <row r="2755" spans="1:30" ht="41.45" customHeight="1">
      <c r="A2755"/>
      <c r="AC2755"/>
      <c r="AD2755"/>
    </row>
    <row r="2756" spans="1:30" ht="41.45" customHeight="1">
      <c r="A2756"/>
      <c r="AC2756"/>
      <c r="AD2756"/>
    </row>
    <row r="2757" spans="1:30" ht="41.45" customHeight="1">
      <c r="A2757"/>
      <c r="AC2757"/>
      <c r="AD2757"/>
    </row>
    <row r="2758" spans="1:30" ht="41.45" customHeight="1">
      <c r="A2758"/>
      <c r="AC2758"/>
      <c r="AD2758"/>
    </row>
    <row r="2759" spans="1:30" ht="41.45" customHeight="1">
      <c r="A2759"/>
      <c r="AC2759"/>
      <c r="AD2759"/>
    </row>
    <row r="2760" spans="1:30" ht="41.45" customHeight="1">
      <c r="A2760"/>
      <c r="AC2760"/>
      <c r="AD2760"/>
    </row>
    <row r="2761" spans="1:30" ht="41.45" customHeight="1">
      <c r="A2761"/>
      <c r="AC2761"/>
      <c r="AD2761"/>
    </row>
    <row r="2762" spans="1:30" ht="41.45" customHeight="1">
      <c r="A2762"/>
      <c r="AC2762"/>
      <c r="AD2762"/>
    </row>
    <row r="2763" spans="1:30" ht="41.45" customHeight="1">
      <c r="A2763"/>
      <c r="AC2763"/>
      <c r="AD2763"/>
    </row>
    <row r="2764" spans="1:30" ht="41.45" customHeight="1">
      <c r="A2764"/>
      <c r="AC2764"/>
      <c r="AD2764"/>
    </row>
    <row r="2765" spans="1:30" ht="41.45" customHeight="1">
      <c r="A2765"/>
      <c r="AC2765"/>
      <c r="AD2765"/>
    </row>
    <row r="2766" spans="1:30" ht="41.45" customHeight="1">
      <c r="A2766"/>
      <c r="AC2766"/>
      <c r="AD2766"/>
    </row>
    <row r="2767" spans="1:30" ht="41.45" customHeight="1">
      <c r="A2767"/>
      <c r="AC2767"/>
      <c r="AD2767"/>
    </row>
    <row r="2768" spans="1:30" ht="41.45" customHeight="1">
      <c r="A2768"/>
      <c r="AC2768"/>
      <c r="AD2768"/>
    </row>
    <row r="2769" spans="1:30" ht="41.45" customHeight="1">
      <c r="A2769"/>
      <c r="AC2769"/>
      <c r="AD2769"/>
    </row>
    <row r="2770" spans="1:30" ht="41.45" customHeight="1">
      <c r="A2770"/>
      <c r="AC2770"/>
      <c r="AD2770"/>
    </row>
    <row r="2771" spans="1:30" ht="41.45" customHeight="1">
      <c r="A2771"/>
      <c r="AC2771"/>
      <c r="AD2771"/>
    </row>
    <row r="2772" spans="1:30" ht="41.45" customHeight="1">
      <c r="A2772"/>
      <c r="AC2772"/>
      <c r="AD2772"/>
    </row>
    <row r="2773" spans="1:30" ht="41.45" customHeight="1">
      <c r="A2773"/>
      <c r="AC2773"/>
      <c r="AD2773"/>
    </row>
    <row r="2774" spans="1:30" ht="41.45" customHeight="1">
      <c r="A2774"/>
      <c r="AC2774"/>
      <c r="AD2774"/>
    </row>
    <row r="2775" spans="1:30" ht="41.45" customHeight="1">
      <c r="A2775"/>
      <c r="AC2775"/>
      <c r="AD2775"/>
    </row>
    <row r="2776" spans="1:30" ht="41.45" customHeight="1">
      <c r="A2776"/>
      <c r="AC2776"/>
      <c r="AD2776"/>
    </row>
    <row r="2777" spans="1:30" ht="41.45" customHeight="1">
      <c r="A2777"/>
      <c r="AC2777"/>
      <c r="AD2777"/>
    </row>
    <row r="2778" spans="1:30" ht="41.45" customHeight="1">
      <c r="A2778"/>
      <c r="AC2778"/>
      <c r="AD2778"/>
    </row>
    <row r="2779" spans="1:30" ht="41.45" customHeight="1">
      <c r="A2779"/>
      <c r="AC2779"/>
      <c r="AD2779"/>
    </row>
    <row r="2780" spans="1:30" ht="41.45" customHeight="1">
      <c r="A2780"/>
      <c r="AC2780"/>
      <c r="AD2780"/>
    </row>
    <row r="2781" spans="1:30" ht="41.45" customHeight="1">
      <c r="A2781"/>
      <c r="AC2781"/>
      <c r="AD2781"/>
    </row>
    <row r="2782" spans="1:30" ht="41.45" customHeight="1">
      <c r="A2782"/>
      <c r="AC2782"/>
      <c r="AD2782"/>
    </row>
    <row r="2783" spans="1:30" ht="41.45" customHeight="1">
      <c r="A2783"/>
      <c r="AC2783"/>
      <c r="AD2783"/>
    </row>
    <row r="2784" spans="1:30" ht="41.45" customHeight="1">
      <c r="A2784"/>
      <c r="AC2784"/>
      <c r="AD2784"/>
    </row>
    <row r="2785" spans="1:30" ht="41.45" customHeight="1">
      <c r="A2785"/>
      <c r="AC2785"/>
      <c r="AD2785"/>
    </row>
    <row r="2786" spans="1:30" ht="41.45" customHeight="1">
      <c r="A2786"/>
      <c r="AC2786"/>
      <c r="AD2786"/>
    </row>
    <row r="2787" spans="1:30" ht="41.45" customHeight="1">
      <c r="A2787"/>
      <c r="AC2787"/>
      <c r="AD2787"/>
    </row>
    <row r="2788" spans="1:30" ht="41.45" customHeight="1">
      <c r="A2788"/>
      <c r="AC2788"/>
      <c r="AD2788"/>
    </row>
    <row r="2789" spans="1:30" ht="41.45" customHeight="1">
      <c r="A2789"/>
      <c r="AC2789"/>
      <c r="AD2789"/>
    </row>
    <row r="2790" spans="1:30" ht="41.45" customHeight="1">
      <c r="A2790"/>
      <c r="AC2790"/>
      <c r="AD2790"/>
    </row>
    <row r="2791" spans="1:30" ht="41.45" customHeight="1">
      <c r="A2791"/>
      <c r="AC2791"/>
      <c r="AD2791"/>
    </row>
    <row r="2792" spans="1:30" ht="41.45" customHeight="1">
      <c r="A2792"/>
      <c r="AC2792"/>
      <c r="AD2792"/>
    </row>
    <row r="2793" spans="1:30" ht="41.45" customHeight="1">
      <c r="A2793"/>
      <c r="AC2793"/>
      <c r="AD2793"/>
    </row>
    <row r="2794" spans="1:30" ht="41.45" customHeight="1">
      <c r="A2794"/>
      <c r="AC2794"/>
      <c r="AD2794"/>
    </row>
    <row r="2795" spans="1:30" ht="41.45" customHeight="1">
      <c r="A2795"/>
      <c r="AC2795"/>
      <c r="AD2795"/>
    </row>
    <row r="2796" spans="1:30" ht="41.45" customHeight="1">
      <c r="A2796"/>
      <c r="AC2796"/>
      <c r="AD2796"/>
    </row>
    <row r="2797" spans="1:30" ht="41.45" customHeight="1">
      <c r="A2797"/>
      <c r="AC2797"/>
      <c r="AD2797"/>
    </row>
    <row r="2798" spans="1:30" ht="41.45" customHeight="1">
      <c r="A2798"/>
      <c r="AC2798"/>
      <c r="AD2798"/>
    </row>
    <row r="2799" spans="1:30" ht="41.45" customHeight="1">
      <c r="A2799"/>
      <c r="AC2799"/>
      <c r="AD2799"/>
    </row>
    <row r="2800" spans="1:30" ht="41.45" customHeight="1">
      <c r="A2800"/>
      <c r="AC2800"/>
      <c r="AD2800"/>
    </row>
    <row r="2801" spans="1:30" ht="41.45" customHeight="1">
      <c r="A2801"/>
      <c r="AC2801"/>
      <c r="AD2801"/>
    </row>
    <row r="2802" spans="1:30" ht="41.45" customHeight="1">
      <c r="A2802"/>
      <c r="AC2802"/>
      <c r="AD2802"/>
    </row>
    <row r="2803" spans="1:30" ht="41.45" customHeight="1">
      <c r="A2803"/>
      <c r="AC2803"/>
      <c r="AD2803"/>
    </row>
    <row r="2804" spans="1:30" ht="41.45" customHeight="1">
      <c r="A2804"/>
      <c r="AC2804"/>
      <c r="AD2804"/>
    </row>
    <row r="2805" spans="1:30" ht="41.45" customHeight="1">
      <c r="A2805"/>
      <c r="AC2805"/>
      <c r="AD2805"/>
    </row>
    <row r="2806" spans="1:30" ht="41.45" customHeight="1">
      <c r="A2806"/>
      <c r="AC2806"/>
      <c r="AD2806"/>
    </row>
    <row r="2807" spans="1:30" ht="41.45" customHeight="1">
      <c r="A2807"/>
      <c r="AC2807"/>
      <c r="AD2807"/>
    </row>
    <row r="2808" spans="1:30" ht="41.45" customHeight="1">
      <c r="A2808"/>
      <c r="AC2808"/>
      <c r="AD2808"/>
    </row>
    <row r="2809" spans="1:30" ht="41.45" customHeight="1">
      <c r="A2809"/>
      <c r="AC2809"/>
      <c r="AD2809"/>
    </row>
    <row r="2810" spans="1:30" ht="41.45" customHeight="1">
      <c r="A2810"/>
      <c r="AC2810"/>
      <c r="AD2810"/>
    </row>
    <row r="2811" spans="1:30" ht="41.45" customHeight="1">
      <c r="A2811"/>
      <c r="AC2811"/>
      <c r="AD2811"/>
    </row>
    <row r="2812" spans="1:30" ht="41.45" customHeight="1">
      <c r="A2812"/>
      <c r="AC2812"/>
      <c r="AD2812"/>
    </row>
    <row r="2813" spans="1:30" ht="41.45" customHeight="1">
      <c r="A2813"/>
      <c r="AC2813"/>
      <c r="AD2813"/>
    </row>
    <row r="2814" spans="1:30" ht="41.45" customHeight="1">
      <c r="A2814"/>
      <c r="AC2814"/>
      <c r="AD2814"/>
    </row>
    <row r="2815" spans="1:30" ht="41.45" customHeight="1">
      <c r="A2815"/>
      <c r="AC2815"/>
      <c r="AD2815"/>
    </row>
    <row r="2816" spans="1:30" ht="41.45" customHeight="1">
      <c r="A2816"/>
      <c r="AC2816"/>
      <c r="AD2816"/>
    </row>
    <row r="2817" spans="1:30" ht="41.45" customHeight="1">
      <c r="A2817"/>
      <c r="AC2817"/>
      <c r="AD2817"/>
    </row>
    <row r="2818" spans="1:30" ht="41.45" customHeight="1">
      <c r="A2818"/>
      <c r="AC2818"/>
      <c r="AD2818"/>
    </row>
    <row r="2819" spans="1:30" ht="41.45" customHeight="1">
      <c r="A2819"/>
      <c r="AC2819"/>
      <c r="AD2819"/>
    </row>
    <row r="2820" spans="1:30" ht="41.45" customHeight="1">
      <c r="A2820"/>
      <c r="AC2820"/>
      <c r="AD2820"/>
    </row>
    <row r="2821" spans="1:30" ht="41.45" customHeight="1">
      <c r="A2821"/>
      <c r="AC2821"/>
      <c r="AD2821"/>
    </row>
    <row r="2822" spans="1:30" ht="41.45" customHeight="1">
      <c r="A2822"/>
      <c r="AC2822"/>
      <c r="AD2822"/>
    </row>
    <row r="2823" spans="1:30" ht="41.45" customHeight="1">
      <c r="A2823"/>
      <c r="AC2823"/>
      <c r="AD2823"/>
    </row>
    <row r="2824" spans="1:30" ht="41.45" customHeight="1">
      <c r="A2824"/>
      <c r="AC2824"/>
      <c r="AD2824"/>
    </row>
    <row r="2825" spans="1:30" ht="41.45" customHeight="1">
      <c r="A2825"/>
      <c r="AC2825"/>
      <c r="AD2825"/>
    </row>
    <row r="2826" spans="1:30" ht="41.45" customHeight="1">
      <c r="A2826"/>
      <c r="AC2826"/>
      <c r="AD2826"/>
    </row>
    <row r="2827" spans="1:30" ht="41.45" customHeight="1">
      <c r="A2827"/>
      <c r="AC2827"/>
      <c r="AD2827"/>
    </row>
    <row r="2828" spans="1:30" ht="41.45" customHeight="1">
      <c r="A2828"/>
      <c r="AC2828"/>
      <c r="AD2828"/>
    </row>
    <row r="2829" spans="1:30" ht="41.45" customHeight="1">
      <c r="A2829"/>
      <c r="AC2829"/>
      <c r="AD2829"/>
    </row>
    <row r="2830" spans="1:30" ht="41.45" customHeight="1">
      <c r="A2830"/>
      <c r="AC2830"/>
      <c r="AD2830"/>
    </row>
    <row r="2831" spans="1:30" ht="41.45" customHeight="1">
      <c r="A2831"/>
      <c r="AC2831"/>
      <c r="AD2831"/>
    </row>
    <row r="2832" spans="1:30" ht="41.45" customHeight="1">
      <c r="A2832"/>
      <c r="AC2832"/>
      <c r="AD2832"/>
    </row>
    <row r="2833" spans="1:30" ht="41.45" customHeight="1">
      <c r="A2833"/>
      <c r="AC2833"/>
      <c r="AD2833"/>
    </row>
    <row r="2834" spans="1:30" ht="41.45" customHeight="1">
      <c r="A2834"/>
      <c r="AC2834"/>
      <c r="AD2834"/>
    </row>
    <row r="2835" spans="1:30" ht="41.45" customHeight="1">
      <c r="A2835"/>
      <c r="AC2835"/>
      <c r="AD2835"/>
    </row>
    <row r="2836" spans="1:30" ht="41.45" customHeight="1">
      <c r="A2836"/>
      <c r="AC2836"/>
      <c r="AD2836"/>
    </row>
    <row r="2837" spans="1:30" ht="41.45" customHeight="1">
      <c r="A2837"/>
      <c r="AC2837"/>
      <c r="AD2837"/>
    </row>
    <row r="2838" spans="1:30" ht="41.45" customHeight="1">
      <c r="A2838"/>
      <c r="AC2838"/>
      <c r="AD2838"/>
    </row>
    <row r="2839" spans="1:30" ht="41.45" customHeight="1">
      <c r="A2839"/>
      <c r="AC2839"/>
      <c r="AD2839"/>
    </row>
    <row r="2840" spans="1:30" ht="41.45" customHeight="1">
      <c r="A2840"/>
      <c r="AC2840"/>
      <c r="AD2840"/>
    </row>
    <row r="2841" spans="1:30" ht="41.45" customHeight="1">
      <c r="A2841"/>
      <c r="AC2841"/>
      <c r="AD2841"/>
    </row>
    <row r="2842" spans="1:30" ht="41.45" customHeight="1">
      <c r="A2842"/>
      <c r="AC2842"/>
      <c r="AD2842"/>
    </row>
    <row r="2843" spans="1:30" ht="41.45" customHeight="1">
      <c r="A2843"/>
      <c r="AC2843"/>
      <c r="AD2843"/>
    </row>
    <row r="2844" spans="1:30" ht="41.45" customHeight="1">
      <c r="A2844"/>
      <c r="AC2844"/>
      <c r="AD2844"/>
    </row>
    <row r="2845" spans="1:30" ht="41.45" customHeight="1">
      <c r="A2845"/>
      <c r="AC2845"/>
      <c r="AD2845"/>
    </row>
    <row r="2846" spans="1:30" ht="41.45" customHeight="1">
      <c r="A2846"/>
      <c r="AC2846"/>
      <c r="AD2846"/>
    </row>
    <row r="2847" spans="1:30" ht="41.45" customHeight="1">
      <c r="A2847"/>
      <c r="AC2847"/>
      <c r="AD2847"/>
    </row>
    <row r="2848" spans="1:30" ht="41.45" customHeight="1">
      <c r="A2848"/>
      <c r="AC2848"/>
      <c r="AD2848"/>
    </row>
    <row r="2849" spans="1:30" ht="41.45" customHeight="1">
      <c r="A2849"/>
      <c r="AC2849"/>
      <c r="AD2849"/>
    </row>
    <row r="2850" spans="1:30" ht="41.45" customHeight="1">
      <c r="A2850"/>
      <c r="AC2850"/>
      <c r="AD2850"/>
    </row>
    <row r="2851" spans="1:30" ht="41.45" customHeight="1">
      <c r="A2851"/>
      <c r="AC2851"/>
      <c r="AD2851"/>
    </row>
    <row r="2852" spans="1:30" ht="41.45" customHeight="1">
      <c r="A2852"/>
      <c r="AC2852"/>
      <c r="AD2852"/>
    </row>
    <row r="2853" spans="1:30" ht="41.45" customHeight="1">
      <c r="A2853"/>
      <c r="AC2853"/>
      <c r="AD2853"/>
    </row>
    <row r="2854" spans="1:30" ht="41.45" customHeight="1">
      <c r="A2854"/>
      <c r="AC2854"/>
      <c r="AD2854"/>
    </row>
    <row r="2855" spans="1:30" ht="41.45" customHeight="1">
      <c r="A2855"/>
      <c r="AC2855"/>
      <c r="AD2855"/>
    </row>
    <row r="2856" spans="1:30" ht="41.45" customHeight="1">
      <c r="A2856"/>
      <c r="AC2856"/>
      <c r="AD2856"/>
    </row>
    <row r="2857" spans="1:30" ht="41.45" customHeight="1">
      <c r="A2857"/>
      <c r="AC2857"/>
      <c r="AD2857"/>
    </row>
    <row r="2858" spans="1:30" ht="41.45" customHeight="1">
      <c r="A2858"/>
      <c r="AC2858"/>
      <c r="AD2858"/>
    </row>
    <row r="2859" spans="1:30" ht="41.45" customHeight="1">
      <c r="A2859"/>
      <c r="AC2859"/>
      <c r="AD2859"/>
    </row>
    <row r="2860" spans="1:30" ht="41.45" customHeight="1">
      <c r="A2860"/>
      <c r="AC2860"/>
      <c r="AD2860"/>
    </row>
    <row r="2861" spans="1:30" ht="41.45" customHeight="1">
      <c r="A2861"/>
      <c r="AC2861"/>
      <c r="AD2861"/>
    </row>
    <row r="2862" spans="1:30" ht="41.45" customHeight="1">
      <c r="A2862"/>
      <c r="AC2862"/>
      <c r="AD2862"/>
    </row>
    <row r="2863" spans="1:30" ht="41.45" customHeight="1">
      <c r="A2863"/>
      <c r="AC2863"/>
      <c r="AD2863"/>
    </row>
    <row r="2864" spans="1:30" ht="41.45" customHeight="1">
      <c r="A2864"/>
      <c r="AC2864"/>
      <c r="AD2864"/>
    </row>
    <row r="2865" spans="1:30" ht="41.45" customHeight="1">
      <c r="A2865"/>
      <c r="AC2865"/>
      <c r="AD2865"/>
    </row>
    <row r="2866" spans="1:30" ht="41.45" customHeight="1">
      <c r="A2866"/>
      <c r="AC2866"/>
      <c r="AD2866"/>
    </row>
    <row r="2867" spans="1:30" ht="41.45" customHeight="1">
      <c r="A2867"/>
      <c r="AC2867"/>
      <c r="AD2867"/>
    </row>
    <row r="2868" spans="1:30" ht="41.45" customHeight="1">
      <c r="A2868"/>
      <c r="AC2868"/>
      <c r="AD2868"/>
    </row>
    <row r="2869" spans="1:30" ht="41.45" customHeight="1">
      <c r="A2869"/>
      <c r="AC2869"/>
      <c r="AD2869"/>
    </row>
    <row r="2870" spans="1:30" ht="41.45" customHeight="1">
      <c r="A2870"/>
      <c r="AC2870"/>
      <c r="AD2870"/>
    </row>
    <row r="2871" spans="1:30" ht="41.45" customHeight="1">
      <c r="A2871"/>
      <c r="AC2871"/>
      <c r="AD2871"/>
    </row>
    <row r="2872" spans="1:30" ht="41.45" customHeight="1">
      <c r="A2872"/>
      <c r="AC2872"/>
      <c r="AD2872"/>
    </row>
    <row r="2873" spans="1:30" ht="41.45" customHeight="1">
      <c r="A2873"/>
      <c r="AC2873"/>
      <c r="AD2873"/>
    </row>
    <row r="2874" spans="1:30" ht="41.45" customHeight="1">
      <c r="A2874"/>
      <c r="AC2874"/>
      <c r="AD2874"/>
    </row>
    <row r="2875" spans="1:30" ht="41.45" customHeight="1">
      <c r="A2875"/>
      <c r="AC2875"/>
      <c r="AD2875"/>
    </row>
    <row r="2876" spans="1:30" ht="41.45" customHeight="1">
      <c r="A2876"/>
      <c r="AC2876"/>
      <c r="AD2876"/>
    </row>
    <row r="2877" spans="1:30" ht="41.45" customHeight="1">
      <c r="A2877"/>
      <c r="AC2877"/>
      <c r="AD2877"/>
    </row>
    <row r="2878" spans="1:30" ht="41.45" customHeight="1">
      <c r="A2878"/>
      <c r="AC2878"/>
      <c r="AD2878"/>
    </row>
    <row r="2879" spans="1:30" ht="41.45" customHeight="1">
      <c r="A2879"/>
      <c r="AC2879"/>
      <c r="AD2879"/>
    </row>
    <row r="2880" spans="1:30" ht="41.45" customHeight="1">
      <c r="A2880"/>
      <c r="AC2880"/>
      <c r="AD2880"/>
    </row>
    <row r="2881" spans="1:30" ht="41.45" customHeight="1">
      <c r="A2881"/>
      <c r="AC2881"/>
      <c r="AD2881"/>
    </row>
    <row r="2882" spans="1:30" ht="41.45" customHeight="1">
      <c r="A2882"/>
      <c r="AC2882"/>
      <c r="AD2882"/>
    </row>
    <row r="2883" spans="1:30" ht="41.45" customHeight="1">
      <c r="A2883"/>
      <c r="AC2883"/>
      <c r="AD2883"/>
    </row>
    <row r="2884" spans="1:30" ht="41.45" customHeight="1">
      <c r="A2884"/>
      <c r="AC2884"/>
      <c r="AD2884"/>
    </row>
    <row r="2885" spans="1:30" ht="41.45" customHeight="1">
      <c r="A2885"/>
      <c r="AC2885"/>
      <c r="AD2885"/>
    </row>
    <row r="2886" spans="1:30" ht="41.45" customHeight="1">
      <c r="A2886"/>
      <c r="AC2886"/>
      <c r="AD2886"/>
    </row>
    <row r="2887" spans="1:30" ht="41.45" customHeight="1">
      <c r="A2887"/>
      <c r="AC2887"/>
      <c r="AD2887"/>
    </row>
    <row r="2888" spans="1:30" ht="41.45" customHeight="1">
      <c r="A2888"/>
      <c r="AC2888"/>
      <c r="AD2888"/>
    </row>
    <row r="2889" spans="1:30" ht="41.45" customHeight="1">
      <c r="A2889"/>
      <c r="AC2889"/>
      <c r="AD2889"/>
    </row>
    <row r="2890" spans="1:30" ht="41.45" customHeight="1">
      <c r="A2890"/>
      <c r="AC2890"/>
      <c r="AD2890"/>
    </row>
    <row r="2891" spans="1:30" ht="41.45" customHeight="1">
      <c r="A2891"/>
      <c r="AC2891"/>
      <c r="AD2891"/>
    </row>
    <row r="2892" spans="1:30" ht="41.45" customHeight="1">
      <c r="A2892"/>
      <c r="AC2892"/>
      <c r="AD2892"/>
    </row>
    <row r="2893" spans="1:30" ht="41.45" customHeight="1">
      <c r="A2893"/>
      <c r="AC2893"/>
      <c r="AD2893"/>
    </row>
    <row r="2894" spans="1:30" ht="41.45" customHeight="1">
      <c r="A2894"/>
      <c r="AC2894"/>
      <c r="AD2894"/>
    </row>
    <row r="2895" spans="1:30" ht="41.45" customHeight="1">
      <c r="A2895"/>
      <c r="AC2895"/>
      <c r="AD2895"/>
    </row>
    <row r="2896" spans="1:30" ht="41.45" customHeight="1">
      <c r="A2896"/>
      <c r="AC2896"/>
      <c r="AD2896"/>
    </row>
    <row r="2897" spans="1:30" ht="41.45" customHeight="1">
      <c r="A2897"/>
      <c r="AC2897"/>
      <c r="AD2897"/>
    </row>
    <row r="2898" spans="1:30" ht="41.45" customHeight="1">
      <c r="A2898"/>
      <c r="AC2898"/>
      <c r="AD2898"/>
    </row>
    <row r="2899" spans="1:30" ht="41.45" customHeight="1">
      <c r="A2899"/>
      <c r="AC2899"/>
      <c r="AD2899"/>
    </row>
    <row r="2900" spans="1:30" ht="41.45" customHeight="1">
      <c r="A2900"/>
      <c r="AC2900"/>
      <c r="AD2900"/>
    </row>
    <row r="2901" spans="1:30" ht="41.45" customHeight="1">
      <c r="A2901"/>
      <c r="AC2901"/>
      <c r="AD2901"/>
    </row>
    <row r="2902" spans="1:30" ht="41.45" customHeight="1">
      <c r="A2902"/>
      <c r="AC2902"/>
      <c r="AD2902"/>
    </row>
    <row r="2903" spans="1:30" ht="41.45" customHeight="1">
      <c r="A2903"/>
      <c r="AC2903"/>
      <c r="AD2903"/>
    </row>
    <row r="2904" spans="1:30" ht="41.45" customHeight="1">
      <c r="A2904"/>
      <c r="AC2904"/>
      <c r="AD2904"/>
    </row>
    <row r="2905" spans="1:30" ht="41.45" customHeight="1">
      <c r="A2905"/>
      <c r="AC2905"/>
      <c r="AD2905"/>
    </row>
    <row r="2906" spans="1:30" ht="41.45" customHeight="1">
      <c r="A2906"/>
      <c r="AC2906"/>
      <c r="AD2906"/>
    </row>
    <row r="2907" spans="1:30" ht="41.45" customHeight="1">
      <c r="A2907"/>
      <c r="AC2907"/>
      <c r="AD2907"/>
    </row>
    <row r="2908" spans="1:30" ht="41.45" customHeight="1">
      <c r="A2908"/>
      <c r="AC2908"/>
      <c r="AD2908"/>
    </row>
    <row r="2909" spans="1:30" ht="41.45" customHeight="1">
      <c r="A2909"/>
      <c r="AC2909"/>
      <c r="AD2909"/>
    </row>
    <row r="2910" spans="1:30" ht="41.45" customHeight="1">
      <c r="A2910"/>
      <c r="AC2910"/>
      <c r="AD2910"/>
    </row>
    <row r="2911" spans="1:30" ht="41.45" customHeight="1">
      <c r="A2911"/>
      <c r="AC2911"/>
      <c r="AD2911"/>
    </row>
    <row r="2912" spans="1:30" ht="41.45" customHeight="1">
      <c r="A2912"/>
      <c r="AC2912"/>
      <c r="AD2912"/>
    </row>
    <row r="2913" spans="1:30" ht="41.45" customHeight="1">
      <c r="A2913"/>
      <c r="AC2913"/>
      <c r="AD2913"/>
    </row>
    <row r="2914" spans="1:30" ht="41.45" customHeight="1">
      <c r="A2914"/>
      <c r="AC2914"/>
      <c r="AD2914"/>
    </row>
    <row r="2915" spans="1:30" ht="41.45" customHeight="1">
      <c r="A2915"/>
      <c r="AC2915"/>
      <c r="AD2915"/>
    </row>
    <row r="2916" spans="1:30" ht="41.45" customHeight="1">
      <c r="A2916"/>
      <c r="AC2916"/>
      <c r="AD2916"/>
    </row>
    <row r="2917" spans="1:30" ht="41.45" customHeight="1">
      <c r="A2917"/>
      <c r="AC2917"/>
      <c r="AD2917"/>
    </row>
    <row r="2918" spans="1:30" ht="41.45" customHeight="1">
      <c r="A2918"/>
      <c r="AC2918"/>
      <c r="AD2918"/>
    </row>
    <row r="2919" spans="1:30" ht="41.45" customHeight="1">
      <c r="A2919"/>
      <c r="AC2919"/>
      <c r="AD2919"/>
    </row>
    <row r="2920" spans="1:30" ht="41.45" customHeight="1">
      <c r="A2920"/>
      <c r="AC2920"/>
      <c r="AD2920"/>
    </row>
    <row r="2921" spans="1:30" ht="41.45" customHeight="1">
      <c r="A2921"/>
      <c r="AC2921"/>
      <c r="AD2921"/>
    </row>
    <row r="2922" spans="1:30" ht="41.45" customHeight="1">
      <c r="A2922"/>
      <c r="AC2922"/>
      <c r="AD2922"/>
    </row>
    <row r="2923" spans="1:30" ht="41.45" customHeight="1">
      <c r="A2923"/>
      <c r="AC2923"/>
      <c r="AD2923"/>
    </row>
    <row r="2924" spans="1:30" ht="41.45" customHeight="1">
      <c r="A2924"/>
      <c r="AC2924"/>
      <c r="AD2924"/>
    </row>
    <row r="2925" spans="1:30" ht="41.45" customHeight="1">
      <c r="A2925"/>
      <c r="AC2925"/>
      <c r="AD2925"/>
    </row>
    <row r="2926" spans="1:30" ht="41.45" customHeight="1">
      <c r="A2926"/>
      <c r="AC2926"/>
      <c r="AD2926"/>
    </row>
    <row r="2927" spans="1:30" ht="41.45" customHeight="1">
      <c r="A2927"/>
      <c r="AC2927"/>
      <c r="AD2927"/>
    </row>
    <row r="2928" spans="1:30" ht="41.45" customHeight="1">
      <c r="A2928"/>
      <c r="AC2928"/>
      <c r="AD2928"/>
    </row>
    <row r="2929" spans="1:30" ht="41.45" customHeight="1">
      <c r="A2929"/>
      <c r="AC2929"/>
      <c r="AD2929"/>
    </row>
    <row r="2930" spans="1:30" ht="41.45" customHeight="1">
      <c r="A2930"/>
      <c r="AC2930"/>
      <c r="AD2930"/>
    </row>
    <row r="2931" spans="1:30" ht="41.45" customHeight="1">
      <c r="A2931"/>
      <c r="AC2931"/>
      <c r="AD2931"/>
    </row>
    <row r="2932" spans="1:30" ht="41.45" customHeight="1">
      <c r="A2932"/>
      <c r="AC2932"/>
      <c r="AD2932"/>
    </row>
    <row r="2933" spans="1:30" ht="41.45" customHeight="1">
      <c r="A2933"/>
      <c r="AC2933"/>
      <c r="AD2933"/>
    </row>
    <row r="2934" spans="1:30" ht="41.45" customHeight="1">
      <c r="A2934"/>
      <c r="AC2934"/>
      <c r="AD2934"/>
    </row>
    <row r="2935" spans="1:30" ht="41.45" customHeight="1">
      <c r="A2935"/>
      <c r="AC2935"/>
      <c r="AD2935"/>
    </row>
    <row r="2936" spans="1:30" ht="41.45" customHeight="1">
      <c r="A2936"/>
      <c r="AC2936"/>
      <c r="AD2936"/>
    </row>
    <row r="2937" spans="1:30" ht="41.45" customHeight="1">
      <c r="A2937"/>
      <c r="AC2937"/>
      <c r="AD2937"/>
    </row>
    <row r="2938" spans="1:30" ht="41.45" customHeight="1">
      <c r="A2938"/>
      <c r="AC2938"/>
      <c r="AD2938"/>
    </row>
    <row r="2939" spans="1:30" ht="41.45" customHeight="1">
      <c r="A2939"/>
      <c r="AC2939"/>
      <c r="AD2939"/>
    </row>
    <row r="2940" spans="1:30" ht="41.45" customHeight="1">
      <c r="A2940"/>
      <c r="AC2940"/>
      <c r="AD2940"/>
    </row>
    <row r="2941" spans="1:30" ht="41.45" customHeight="1">
      <c r="A2941"/>
      <c r="AC2941"/>
      <c r="AD2941"/>
    </row>
    <row r="2942" spans="1:30" ht="41.45" customHeight="1">
      <c r="A2942"/>
      <c r="AC2942"/>
      <c r="AD2942"/>
    </row>
    <row r="2943" spans="1:30" ht="41.45" customHeight="1">
      <c r="A2943"/>
      <c r="AC2943"/>
      <c r="AD2943"/>
    </row>
    <row r="2944" spans="1:30" ht="41.45" customHeight="1">
      <c r="A2944"/>
      <c r="AC2944"/>
      <c r="AD2944"/>
    </row>
    <row r="2945" spans="1:30" ht="41.45" customHeight="1">
      <c r="A2945"/>
      <c r="AC2945"/>
      <c r="AD2945"/>
    </row>
    <row r="2946" spans="1:30" ht="41.45" customHeight="1">
      <c r="A2946"/>
      <c r="AC2946"/>
      <c r="AD2946"/>
    </row>
    <row r="2947" spans="1:30" ht="41.45" customHeight="1">
      <c r="A2947"/>
      <c r="AC2947"/>
      <c r="AD2947"/>
    </row>
    <row r="2948" spans="1:30" ht="41.45" customHeight="1">
      <c r="A2948"/>
      <c r="AC2948"/>
      <c r="AD2948"/>
    </row>
    <row r="2949" spans="1:30" ht="41.45" customHeight="1">
      <c r="A2949"/>
      <c r="AC2949"/>
      <c r="AD2949"/>
    </row>
    <row r="2950" spans="1:30" ht="41.45" customHeight="1">
      <c r="A2950"/>
      <c r="AC2950"/>
      <c r="AD2950"/>
    </row>
    <row r="2951" spans="1:30" ht="41.45" customHeight="1">
      <c r="A2951"/>
      <c r="AC2951"/>
      <c r="AD2951"/>
    </row>
    <row r="2952" spans="1:30" ht="41.45" customHeight="1">
      <c r="A2952"/>
      <c r="AC2952"/>
      <c r="AD2952"/>
    </row>
    <row r="2953" spans="1:30" ht="41.45" customHeight="1">
      <c r="A2953"/>
      <c r="AC2953"/>
      <c r="AD2953"/>
    </row>
    <row r="2954" spans="1:30" ht="41.45" customHeight="1">
      <c r="A2954"/>
      <c r="AC2954"/>
      <c r="AD2954"/>
    </row>
    <row r="2955" spans="1:30" ht="41.45" customHeight="1">
      <c r="A2955"/>
      <c r="AC2955"/>
      <c r="AD2955"/>
    </row>
    <row r="2956" spans="1:30" ht="41.45" customHeight="1">
      <c r="A2956"/>
      <c r="AC2956"/>
      <c r="AD2956"/>
    </row>
    <row r="2957" spans="1:30" ht="41.45" customHeight="1">
      <c r="A2957"/>
      <c r="AC2957"/>
      <c r="AD2957"/>
    </row>
    <row r="2958" spans="1:30" ht="41.45" customHeight="1">
      <c r="A2958"/>
      <c r="AC2958"/>
      <c r="AD2958"/>
    </row>
    <row r="2959" spans="1:30" ht="41.45" customHeight="1">
      <c r="A2959"/>
      <c r="AC2959"/>
      <c r="AD2959"/>
    </row>
    <row r="2960" spans="1:30" ht="41.45" customHeight="1">
      <c r="A2960"/>
      <c r="AC2960"/>
      <c r="AD2960"/>
    </row>
    <row r="2961" spans="1:30" ht="41.45" customHeight="1">
      <c r="A2961"/>
      <c r="AC2961"/>
      <c r="AD2961"/>
    </row>
    <row r="2962" spans="1:30" ht="41.45" customHeight="1">
      <c r="A2962"/>
      <c r="AC2962"/>
      <c r="AD2962"/>
    </row>
    <row r="2963" spans="1:30" ht="41.45" customHeight="1">
      <c r="A2963"/>
      <c r="AC2963"/>
      <c r="AD2963"/>
    </row>
    <row r="2964" spans="1:30" ht="41.45" customHeight="1">
      <c r="A2964"/>
      <c r="AC2964"/>
      <c r="AD2964"/>
    </row>
    <row r="2965" spans="1:30" ht="41.45" customHeight="1">
      <c r="A2965"/>
      <c r="AC2965"/>
      <c r="AD2965"/>
    </row>
    <row r="2966" spans="1:30" ht="41.45" customHeight="1">
      <c r="A2966"/>
      <c r="AC2966"/>
      <c r="AD2966"/>
    </row>
    <row r="2967" spans="1:30" ht="41.45" customHeight="1">
      <c r="A2967"/>
      <c r="AC2967"/>
      <c r="AD2967"/>
    </row>
    <row r="2968" spans="1:30" ht="41.45" customHeight="1">
      <c r="A2968"/>
      <c r="AC2968"/>
      <c r="AD2968"/>
    </row>
    <row r="2969" spans="1:30" ht="41.45" customHeight="1">
      <c r="A2969"/>
      <c r="AC2969"/>
      <c r="AD2969"/>
    </row>
    <row r="2970" spans="1:30" ht="41.45" customHeight="1">
      <c r="A2970"/>
      <c r="AC2970"/>
      <c r="AD2970"/>
    </row>
    <row r="2971" spans="1:30" ht="41.45" customHeight="1">
      <c r="A2971"/>
      <c r="AC2971"/>
      <c r="AD2971"/>
    </row>
    <row r="2972" spans="1:30" ht="41.45" customHeight="1">
      <c r="A2972"/>
      <c r="AC2972"/>
      <c r="AD2972"/>
    </row>
    <row r="2973" spans="1:30" ht="41.45" customHeight="1">
      <c r="A2973"/>
      <c r="AC2973"/>
      <c r="AD2973"/>
    </row>
    <row r="2974" spans="1:30" ht="41.45" customHeight="1">
      <c r="A2974"/>
      <c r="AC2974"/>
      <c r="AD2974"/>
    </row>
    <row r="2975" spans="1:30" ht="41.45" customHeight="1">
      <c r="A2975"/>
      <c r="AC2975"/>
      <c r="AD2975"/>
    </row>
    <row r="2976" spans="1:30" ht="41.45" customHeight="1">
      <c r="A2976"/>
      <c r="AC2976"/>
      <c r="AD2976"/>
    </row>
    <row r="2977" spans="1:30" ht="41.45" customHeight="1">
      <c r="A2977"/>
      <c r="AC2977"/>
      <c r="AD2977"/>
    </row>
    <row r="2978" spans="1:30" ht="41.45" customHeight="1">
      <c r="A2978"/>
      <c r="AC2978"/>
      <c r="AD2978"/>
    </row>
    <row r="2979" spans="1:30" ht="41.45" customHeight="1">
      <c r="A2979"/>
      <c r="AC2979"/>
      <c r="AD2979"/>
    </row>
    <row r="2980" spans="1:30" ht="41.45" customHeight="1">
      <c r="A2980"/>
      <c r="AC2980"/>
      <c r="AD2980"/>
    </row>
    <row r="2981" spans="1:30" ht="41.45" customHeight="1">
      <c r="A2981"/>
      <c r="AC2981"/>
      <c r="AD2981"/>
    </row>
    <row r="2982" spans="1:30" ht="41.45" customHeight="1">
      <c r="A2982"/>
      <c r="AC2982"/>
      <c r="AD2982"/>
    </row>
    <row r="2983" spans="1:30" ht="41.45" customHeight="1">
      <c r="A2983"/>
      <c r="AC2983"/>
      <c r="AD2983"/>
    </row>
    <row r="2984" spans="1:30" ht="41.45" customHeight="1">
      <c r="A2984"/>
      <c r="AC2984"/>
      <c r="AD2984"/>
    </row>
    <row r="2985" spans="1:30" ht="41.45" customHeight="1">
      <c r="A2985"/>
      <c r="AC2985"/>
      <c r="AD2985"/>
    </row>
    <row r="2986" spans="1:30" ht="41.45" customHeight="1">
      <c r="A2986"/>
      <c r="AC2986"/>
      <c r="AD2986"/>
    </row>
    <row r="2987" spans="1:30" ht="41.45" customHeight="1">
      <c r="A2987"/>
      <c r="AC2987"/>
      <c r="AD2987"/>
    </row>
    <row r="2988" spans="1:30" ht="41.45" customHeight="1">
      <c r="A2988"/>
      <c r="AC2988"/>
      <c r="AD2988"/>
    </row>
    <row r="2989" spans="1:30" ht="41.45" customHeight="1">
      <c r="A2989"/>
      <c r="AC2989"/>
      <c r="AD2989"/>
    </row>
    <row r="2990" spans="1:30" ht="41.45" customHeight="1">
      <c r="A2990"/>
      <c r="AC2990"/>
      <c r="AD2990"/>
    </row>
    <row r="2991" spans="1:30" ht="41.45" customHeight="1">
      <c r="A2991"/>
      <c r="AC2991"/>
      <c r="AD2991"/>
    </row>
    <row r="2992" spans="1:30" ht="41.45" customHeight="1">
      <c r="A2992"/>
      <c r="AC2992"/>
      <c r="AD2992"/>
    </row>
    <row r="2993" spans="1:30" ht="41.45" customHeight="1">
      <c r="A2993"/>
      <c r="AC2993"/>
      <c r="AD2993"/>
    </row>
    <row r="2994" spans="1:30" ht="41.45" customHeight="1">
      <c r="A2994"/>
      <c r="AC2994"/>
      <c r="AD2994"/>
    </row>
    <row r="2995" spans="1:30" ht="41.45" customHeight="1">
      <c r="A2995"/>
      <c r="AC2995"/>
      <c r="AD2995"/>
    </row>
    <row r="2996" spans="1:30" ht="41.45" customHeight="1">
      <c r="A2996"/>
      <c r="AC2996"/>
      <c r="AD2996"/>
    </row>
    <row r="2997" spans="1:30" ht="41.45" customHeight="1">
      <c r="A2997"/>
      <c r="AC2997"/>
      <c r="AD2997"/>
    </row>
    <row r="2998" spans="1:30" ht="41.45" customHeight="1">
      <c r="A2998"/>
      <c r="AC2998"/>
      <c r="AD2998"/>
    </row>
    <row r="2999" spans="1:30" ht="41.45" customHeight="1">
      <c r="A2999"/>
      <c r="AC2999"/>
      <c r="AD2999"/>
    </row>
    <row r="3000" spans="1:30" ht="41.45" customHeight="1">
      <c r="A3000"/>
      <c r="AC3000"/>
      <c r="AD3000"/>
    </row>
    <row r="3001" spans="1:30" ht="41.45" customHeight="1">
      <c r="A3001"/>
      <c r="AC3001"/>
      <c r="AD3001"/>
    </row>
    <row r="3002" spans="1:30" ht="41.45" customHeight="1">
      <c r="A3002"/>
      <c r="AC3002"/>
      <c r="AD3002"/>
    </row>
    <row r="3003" spans="1:30" ht="41.45" customHeight="1">
      <c r="A3003"/>
      <c r="AC3003"/>
      <c r="AD3003"/>
    </row>
    <row r="3004" spans="1:30" ht="41.45" customHeight="1">
      <c r="A3004"/>
      <c r="AC3004"/>
      <c r="AD3004"/>
    </row>
    <row r="3005" spans="1:30" ht="41.45" customHeight="1">
      <c r="A3005"/>
      <c r="AC3005"/>
      <c r="AD3005"/>
    </row>
    <row r="3006" spans="1:30" ht="41.45" customHeight="1">
      <c r="A3006"/>
      <c r="AC3006"/>
      <c r="AD3006"/>
    </row>
    <row r="3007" spans="1:30" ht="41.45" customHeight="1">
      <c r="A3007"/>
      <c r="AC3007"/>
      <c r="AD3007"/>
    </row>
    <row r="3008" spans="1:30" ht="41.45" customHeight="1">
      <c r="A3008"/>
      <c r="AC3008"/>
      <c r="AD3008"/>
    </row>
    <row r="3009" spans="1:30" ht="41.45" customHeight="1">
      <c r="A3009"/>
      <c r="AC3009"/>
      <c r="AD3009"/>
    </row>
    <row r="3010" spans="1:30" ht="41.45" customHeight="1">
      <c r="A3010"/>
      <c r="AC3010"/>
      <c r="AD3010"/>
    </row>
    <row r="3011" spans="1:30" ht="41.45" customHeight="1">
      <c r="A3011"/>
      <c r="AC3011"/>
      <c r="AD3011"/>
    </row>
    <row r="3012" spans="1:30" ht="41.45" customHeight="1">
      <c r="A3012"/>
      <c r="AC3012"/>
      <c r="AD3012"/>
    </row>
    <row r="3013" spans="1:30" ht="41.45" customHeight="1">
      <c r="A3013"/>
      <c r="AC3013"/>
      <c r="AD3013"/>
    </row>
    <row r="3014" spans="1:30" ht="41.45" customHeight="1">
      <c r="A3014"/>
      <c r="AC3014"/>
      <c r="AD3014"/>
    </row>
    <row r="3015" spans="1:30" ht="41.45" customHeight="1">
      <c r="A3015"/>
      <c r="AC3015"/>
      <c r="AD3015"/>
    </row>
    <row r="3016" spans="1:30" ht="41.45" customHeight="1">
      <c r="A3016"/>
      <c r="AC3016"/>
      <c r="AD3016"/>
    </row>
    <row r="3017" spans="1:30" ht="41.45" customHeight="1">
      <c r="A3017"/>
      <c r="AC3017"/>
      <c r="AD3017"/>
    </row>
    <row r="3018" spans="1:30" ht="41.45" customHeight="1">
      <c r="A3018"/>
      <c r="AC3018"/>
      <c r="AD3018"/>
    </row>
    <row r="3019" spans="1:30" ht="41.45" customHeight="1">
      <c r="A3019"/>
      <c r="AC3019"/>
      <c r="AD3019"/>
    </row>
    <row r="3020" spans="1:30" ht="41.45" customHeight="1">
      <c r="A3020"/>
      <c r="AC3020"/>
      <c r="AD3020"/>
    </row>
    <row r="3021" spans="1:30" ht="41.45" customHeight="1">
      <c r="A3021"/>
      <c r="AC3021"/>
      <c r="AD3021"/>
    </row>
    <row r="3022" spans="1:30" ht="41.45" customHeight="1">
      <c r="A3022"/>
      <c r="AC3022"/>
      <c r="AD3022"/>
    </row>
    <row r="3023" spans="1:30" ht="41.45" customHeight="1">
      <c r="A3023"/>
      <c r="AC3023"/>
      <c r="AD3023"/>
    </row>
    <row r="3024" spans="1:30" ht="41.45" customHeight="1">
      <c r="A3024"/>
      <c r="AC3024"/>
      <c r="AD3024"/>
    </row>
    <row r="3025" spans="1:30" ht="41.45" customHeight="1">
      <c r="A3025"/>
      <c r="AC3025"/>
      <c r="AD3025"/>
    </row>
    <row r="3026" spans="1:30" ht="41.45" customHeight="1">
      <c r="A3026"/>
      <c r="AC3026"/>
      <c r="AD3026"/>
    </row>
    <row r="3027" spans="1:30" ht="41.45" customHeight="1">
      <c r="A3027"/>
      <c r="AC3027"/>
      <c r="AD3027"/>
    </row>
    <row r="3028" spans="1:30" ht="41.45" customHeight="1">
      <c r="A3028"/>
      <c r="AC3028"/>
      <c r="AD3028"/>
    </row>
    <row r="3029" spans="1:30" ht="41.45" customHeight="1">
      <c r="A3029"/>
      <c r="AC3029"/>
      <c r="AD3029"/>
    </row>
    <row r="3030" spans="1:30" ht="41.45" customHeight="1">
      <c r="A3030"/>
      <c r="AC3030"/>
      <c r="AD3030"/>
    </row>
    <row r="3031" spans="1:30" ht="41.45" customHeight="1">
      <c r="A3031"/>
      <c r="AC3031"/>
      <c r="AD3031"/>
    </row>
    <row r="3032" spans="1:30" ht="41.45" customHeight="1">
      <c r="A3032"/>
      <c r="AC3032"/>
      <c r="AD3032"/>
    </row>
    <row r="3033" spans="1:30" ht="41.45" customHeight="1">
      <c r="A3033"/>
      <c r="AC3033"/>
      <c r="AD3033"/>
    </row>
    <row r="3034" spans="1:30" ht="41.45" customHeight="1">
      <c r="A3034"/>
      <c r="AC3034"/>
      <c r="AD3034"/>
    </row>
    <row r="3035" spans="1:30" ht="41.45" customHeight="1">
      <c r="A3035"/>
      <c r="AC3035"/>
      <c r="AD3035"/>
    </row>
    <row r="3036" spans="1:30" ht="41.45" customHeight="1">
      <c r="A3036"/>
      <c r="AC3036"/>
      <c r="AD3036"/>
    </row>
    <row r="3037" spans="1:30" ht="41.45" customHeight="1">
      <c r="A3037"/>
      <c r="AC3037"/>
      <c r="AD3037"/>
    </row>
    <row r="3038" spans="1:30" ht="41.45" customHeight="1">
      <c r="A3038"/>
      <c r="AC3038"/>
      <c r="AD3038"/>
    </row>
    <row r="3039" spans="1:30" ht="41.45" customHeight="1">
      <c r="A3039"/>
      <c r="AC3039"/>
      <c r="AD3039"/>
    </row>
    <row r="3040" spans="1:30" ht="41.45" customHeight="1">
      <c r="A3040"/>
      <c r="AC3040"/>
      <c r="AD3040"/>
    </row>
    <row r="3041" spans="1:30" ht="41.45" customHeight="1">
      <c r="A3041"/>
      <c r="AC3041"/>
      <c r="AD3041"/>
    </row>
    <row r="3042" spans="1:30" ht="41.45" customHeight="1">
      <c r="A3042"/>
      <c r="AC3042"/>
      <c r="AD3042"/>
    </row>
    <row r="3043" spans="1:30" ht="41.45" customHeight="1">
      <c r="A3043"/>
      <c r="AC3043"/>
      <c r="AD3043"/>
    </row>
    <row r="3044" spans="1:30" ht="41.45" customHeight="1">
      <c r="A3044"/>
      <c r="AC3044"/>
      <c r="AD3044"/>
    </row>
    <row r="3045" spans="1:30" ht="41.45" customHeight="1">
      <c r="A3045"/>
      <c r="AC3045"/>
      <c r="AD3045"/>
    </row>
    <row r="3046" spans="1:30" ht="41.45" customHeight="1">
      <c r="A3046"/>
      <c r="AC3046"/>
      <c r="AD3046"/>
    </row>
    <row r="3047" spans="1:30" ht="41.45" customHeight="1">
      <c r="A3047"/>
      <c r="AC3047"/>
      <c r="AD3047"/>
    </row>
    <row r="3048" spans="1:30" ht="41.45" customHeight="1">
      <c r="A3048"/>
      <c r="AC3048"/>
      <c r="AD3048"/>
    </row>
    <row r="3049" spans="1:30" ht="41.45" customHeight="1">
      <c r="A3049"/>
      <c r="AC3049"/>
      <c r="AD3049"/>
    </row>
    <row r="3050" spans="1:30" ht="41.45" customHeight="1">
      <c r="A3050"/>
      <c r="AC3050"/>
      <c r="AD3050"/>
    </row>
    <row r="3051" spans="1:30" ht="41.45" customHeight="1">
      <c r="A3051"/>
      <c r="AC3051"/>
      <c r="AD3051"/>
    </row>
    <row r="3052" spans="1:30" ht="41.45" customHeight="1">
      <c r="A3052"/>
      <c r="AC3052"/>
      <c r="AD3052"/>
    </row>
    <row r="3053" spans="1:30" ht="41.45" customHeight="1">
      <c r="A3053"/>
      <c r="AC3053"/>
      <c r="AD3053"/>
    </row>
    <row r="3054" spans="1:30" ht="41.45" customHeight="1">
      <c r="A3054"/>
      <c r="AC3054"/>
      <c r="AD3054"/>
    </row>
    <row r="3055" spans="1:30" ht="41.45" customHeight="1">
      <c r="A3055"/>
      <c r="AC3055"/>
      <c r="AD3055"/>
    </row>
    <row r="3056" spans="1:30" ht="41.45" customHeight="1">
      <c r="A3056"/>
      <c r="AC3056"/>
      <c r="AD3056"/>
    </row>
    <row r="3057" spans="1:30" ht="41.45" customHeight="1">
      <c r="A3057"/>
      <c r="AC3057"/>
      <c r="AD3057"/>
    </row>
    <row r="3058" spans="1:30" ht="41.45" customHeight="1">
      <c r="A3058"/>
      <c r="AC3058"/>
      <c r="AD3058"/>
    </row>
    <row r="3059" spans="1:30" ht="41.45" customHeight="1">
      <c r="A3059"/>
      <c r="AC3059"/>
      <c r="AD3059"/>
    </row>
    <row r="3060" spans="1:30" ht="41.45" customHeight="1">
      <c r="A3060"/>
      <c r="AC3060"/>
      <c r="AD3060"/>
    </row>
    <row r="3061" spans="1:30" ht="41.45" customHeight="1">
      <c r="A3061"/>
      <c r="AC3061"/>
      <c r="AD3061"/>
    </row>
    <row r="3062" spans="1:30" ht="41.45" customHeight="1">
      <c r="A3062"/>
      <c r="AC3062"/>
      <c r="AD3062"/>
    </row>
    <row r="3063" spans="1:30" ht="41.45" customHeight="1">
      <c r="A3063"/>
      <c r="AC3063"/>
      <c r="AD3063"/>
    </row>
    <row r="3064" spans="1:30" ht="41.45" customHeight="1">
      <c r="A3064"/>
      <c r="AC3064"/>
      <c r="AD3064"/>
    </row>
    <row r="3065" spans="1:30" ht="41.45" customHeight="1">
      <c r="A3065"/>
      <c r="AC3065"/>
      <c r="AD3065"/>
    </row>
    <row r="3066" spans="1:30" ht="41.45" customHeight="1">
      <c r="A3066"/>
      <c r="AC3066"/>
      <c r="AD3066"/>
    </row>
    <row r="3067" spans="1:30" ht="41.45" customHeight="1">
      <c r="A3067"/>
      <c r="AC3067"/>
      <c r="AD3067"/>
    </row>
    <row r="3068" spans="1:30" ht="41.45" customHeight="1">
      <c r="A3068"/>
      <c r="AC3068"/>
      <c r="AD3068"/>
    </row>
    <row r="3069" spans="1:30" ht="41.45" customHeight="1">
      <c r="A3069"/>
      <c r="AC3069"/>
      <c r="AD3069"/>
    </row>
    <row r="3070" spans="1:30" ht="41.45" customHeight="1">
      <c r="A3070"/>
      <c r="AC3070"/>
      <c r="AD3070"/>
    </row>
    <row r="3071" spans="1:30" ht="41.45" customHeight="1">
      <c r="A3071"/>
      <c r="AC3071"/>
      <c r="AD3071"/>
    </row>
    <row r="3072" spans="1:30" ht="41.45" customHeight="1">
      <c r="A3072"/>
      <c r="AC3072"/>
      <c r="AD3072"/>
    </row>
    <row r="3073" spans="1:30" ht="41.45" customHeight="1">
      <c r="A3073"/>
      <c r="AC3073"/>
      <c r="AD3073"/>
    </row>
    <row r="3074" spans="1:30" ht="41.45" customHeight="1">
      <c r="A3074"/>
      <c r="AC3074"/>
      <c r="AD3074"/>
    </row>
    <row r="3075" spans="1:30" ht="41.45" customHeight="1">
      <c r="A3075"/>
      <c r="AC3075"/>
      <c r="AD3075"/>
    </row>
    <row r="3076" spans="1:30" ht="41.45" customHeight="1">
      <c r="A3076"/>
      <c r="AC3076"/>
      <c r="AD3076"/>
    </row>
    <row r="3077" spans="1:30" ht="41.45" customHeight="1">
      <c r="A3077"/>
      <c r="AC3077"/>
      <c r="AD3077"/>
    </row>
    <row r="3078" spans="1:30" ht="41.45" customHeight="1">
      <c r="A3078"/>
      <c r="AC3078"/>
      <c r="AD3078"/>
    </row>
    <row r="3079" spans="1:30" ht="41.45" customHeight="1">
      <c r="A3079"/>
      <c r="AC3079"/>
      <c r="AD3079"/>
    </row>
    <row r="3080" spans="1:30" ht="41.45" customHeight="1">
      <c r="A3080"/>
      <c r="AC3080"/>
      <c r="AD3080"/>
    </row>
    <row r="3081" spans="1:30" ht="41.45" customHeight="1">
      <c r="A3081"/>
      <c r="AC3081"/>
      <c r="AD3081"/>
    </row>
    <row r="3082" spans="1:30" ht="41.45" customHeight="1">
      <c r="A3082"/>
      <c r="AC3082"/>
      <c r="AD3082"/>
    </row>
    <row r="3083" spans="1:30" ht="41.45" customHeight="1">
      <c r="A3083"/>
      <c r="AC3083"/>
      <c r="AD3083"/>
    </row>
    <row r="3084" spans="1:30" ht="41.45" customHeight="1">
      <c r="A3084"/>
      <c r="AC3084"/>
      <c r="AD3084"/>
    </row>
    <row r="3085" spans="1:30" ht="41.45" customHeight="1">
      <c r="A3085"/>
      <c r="AC3085"/>
      <c r="AD3085"/>
    </row>
    <row r="3086" spans="1:30" ht="41.45" customHeight="1">
      <c r="A3086"/>
      <c r="AC3086"/>
      <c r="AD3086"/>
    </row>
    <row r="3087" spans="1:30" ht="41.45" customHeight="1">
      <c r="A3087"/>
      <c r="AC3087"/>
      <c r="AD3087"/>
    </row>
    <row r="3088" spans="1:30" ht="41.45" customHeight="1">
      <c r="A3088"/>
      <c r="AC3088"/>
      <c r="AD3088"/>
    </row>
    <row r="3089" spans="1:30" ht="41.45" customHeight="1">
      <c r="A3089"/>
      <c r="AC3089"/>
      <c r="AD3089"/>
    </row>
    <row r="3090" spans="1:30" ht="41.45" customHeight="1">
      <c r="A3090"/>
      <c r="AC3090"/>
      <c r="AD3090"/>
    </row>
    <row r="3091" spans="1:30" ht="41.45" customHeight="1">
      <c r="A3091"/>
      <c r="AC3091"/>
      <c r="AD3091"/>
    </row>
    <row r="3092" spans="1:30" ht="41.45" customHeight="1">
      <c r="A3092"/>
      <c r="AC3092"/>
      <c r="AD3092"/>
    </row>
    <row r="3093" spans="1:30" ht="41.45" customHeight="1">
      <c r="A3093"/>
      <c r="AC3093"/>
      <c r="AD3093"/>
    </row>
    <row r="3094" spans="1:30" ht="41.45" customHeight="1">
      <c r="A3094"/>
      <c r="AC3094"/>
      <c r="AD3094"/>
    </row>
    <row r="3095" spans="1:30" ht="41.45" customHeight="1">
      <c r="A3095"/>
      <c r="AC3095"/>
      <c r="AD3095"/>
    </row>
    <row r="3096" spans="1:30" ht="41.45" customHeight="1">
      <c r="A3096"/>
      <c r="AC3096"/>
      <c r="AD3096"/>
    </row>
    <row r="3097" spans="1:30" ht="41.45" customHeight="1">
      <c r="A3097"/>
      <c r="AC3097"/>
      <c r="AD3097"/>
    </row>
    <row r="3098" spans="1:30" ht="41.45" customHeight="1">
      <c r="A3098"/>
      <c r="AC3098"/>
      <c r="AD3098"/>
    </row>
    <row r="3099" spans="1:30" ht="41.45" customHeight="1">
      <c r="A3099"/>
      <c r="AC3099"/>
      <c r="AD3099"/>
    </row>
    <row r="3100" spans="1:30" ht="41.45" customHeight="1">
      <c r="A3100"/>
      <c r="AC3100"/>
      <c r="AD3100"/>
    </row>
    <row r="3101" spans="1:30" ht="41.45" customHeight="1">
      <c r="A3101"/>
      <c r="AC3101"/>
      <c r="AD3101"/>
    </row>
    <row r="3102" spans="1:30" ht="41.45" customHeight="1">
      <c r="A3102"/>
      <c r="AC3102"/>
      <c r="AD3102"/>
    </row>
    <row r="3103" spans="1:30" ht="41.45" customHeight="1">
      <c r="A3103"/>
      <c r="AC3103"/>
      <c r="AD3103"/>
    </row>
    <row r="3104" spans="1:30" ht="41.45" customHeight="1">
      <c r="A3104"/>
      <c r="AC3104"/>
      <c r="AD3104"/>
    </row>
    <row r="3105" spans="1:30" ht="41.45" customHeight="1">
      <c r="A3105"/>
      <c r="AC3105"/>
      <c r="AD3105"/>
    </row>
    <row r="3106" spans="1:30" ht="41.45" customHeight="1">
      <c r="A3106"/>
      <c r="AC3106"/>
      <c r="AD3106"/>
    </row>
    <row r="3107" spans="1:30" ht="41.45" customHeight="1">
      <c r="A3107"/>
      <c r="AC3107"/>
      <c r="AD3107"/>
    </row>
    <row r="3108" spans="1:30" ht="41.45" customHeight="1">
      <c r="A3108"/>
      <c r="AC3108"/>
      <c r="AD3108"/>
    </row>
    <row r="3109" spans="1:30" ht="41.45" customHeight="1">
      <c r="A3109"/>
      <c r="AC3109"/>
      <c r="AD3109"/>
    </row>
    <row r="3110" spans="1:30" ht="41.45" customHeight="1">
      <c r="A3110"/>
      <c r="AC3110"/>
      <c r="AD3110"/>
    </row>
    <row r="3111" spans="1:30" ht="41.45" customHeight="1">
      <c r="A3111"/>
      <c r="AC3111"/>
      <c r="AD3111"/>
    </row>
    <row r="3112" spans="1:30" ht="41.45" customHeight="1">
      <c r="A3112"/>
      <c r="AC3112"/>
      <c r="AD3112"/>
    </row>
    <row r="3113" spans="1:30" ht="41.45" customHeight="1">
      <c r="A3113"/>
      <c r="AC3113"/>
      <c r="AD3113"/>
    </row>
    <row r="3114" spans="1:30" ht="41.45" customHeight="1">
      <c r="A3114"/>
      <c r="AC3114"/>
      <c r="AD3114"/>
    </row>
    <row r="3115" spans="1:30" ht="41.45" customHeight="1">
      <c r="A3115"/>
      <c r="AC3115"/>
      <c r="AD3115"/>
    </row>
    <row r="3116" spans="1:30" ht="41.45" customHeight="1">
      <c r="A3116"/>
      <c r="AC3116"/>
      <c r="AD3116"/>
    </row>
    <row r="3117" spans="1:30" ht="41.45" customHeight="1">
      <c r="A3117"/>
      <c r="AC3117"/>
      <c r="AD3117"/>
    </row>
    <row r="3118" spans="1:30" ht="41.45" customHeight="1">
      <c r="A3118"/>
      <c r="AC3118"/>
      <c r="AD3118"/>
    </row>
    <row r="3119" spans="1:30" ht="41.45" customHeight="1">
      <c r="A3119"/>
      <c r="AC3119"/>
      <c r="AD3119"/>
    </row>
    <row r="3120" spans="1:30" ht="41.45" customHeight="1">
      <c r="A3120"/>
      <c r="AC3120"/>
      <c r="AD3120"/>
    </row>
    <row r="3121" spans="1:30" ht="41.45" customHeight="1">
      <c r="A3121"/>
      <c r="AC3121"/>
      <c r="AD3121"/>
    </row>
    <row r="3122" spans="1:30" ht="41.45" customHeight="1">
      <c r="A3122"/>
      <c r="AC3122"/>
      <c r="AD3122"/>
    </row>
    <row r="3123" spans="1:30" ht="41.45" customHeight="1">
      <c r="A3123"/>
      <c r="AC3123"/>
      <c r="AD3123"/>
    </row>
    <row r="3124" spans="1:30" ht="41.45" customHeight="1">
      <c r="A3124"/>
      <c r="AC3124"/>
      <c r="AD3124"/>
    </row>
    <row r="3125" spans="1:30" ht="41.45" customHeight="1">
      <c r="A3125"/>
      <c r="AC3125"/>
      <c r="AD3125"/>
    </row>
    <row r="3126" spans="1:30" ht="41.45" customHeight="1">
      <c r="A3126"/>
      <c r="AC3126"/>
      <c r="AD3126"/>
    </row>
    <row r="3127" spans="1:30" ht="41.45" customHeight="1">
      <c r="A3127"/>
      <c r="AC3127"/>
      <c r="AD3127"/>
    </row>
    <row r="3128" spans="1:30" ht="41.45" customHeight="1">
      <c r="A3128"/>
      <c r="AC3128"/>
      <c r="AD3128"/>
    </row>
    <row r="3129" spans="1:30" ht="41.45" customHeight="1">
      <c r="A3129"/>
      <c r="AC3129"/>
      <c r="AD3129"/>
    </row>
    <row r="3130" spans="1:30" ht="41.45" customHeight="1">
      <c r="A3130"/>
      <c r="AC3130"/>
      <c r="AD3130"/>
    </row>
    <row r="3131" spans="1:30" ht="41.45" customHeight="1">
      <c r="A3131"/>
      <c r="AC3131"/>
      <c r="AD3131"/>
    </row>
    <row r="3132" spans="1:30" ht="41.45" customHeight="1">
      <c r="A3132"/>
      <c r="AC3132"/>
      <c r="AD3132"/>
    </row>
    <row r="3133" spans="1:30" ht="41.45" customHeight="1">
      <c r="A3133"/>
      <c r="AC3133"/>
      <c r="AD3133"/>
    </row>
    <row r="3134" spans="1:30" ht="41.45" customHeight="1">
      <c r="A3134"/>
      <c r="AC3134"/>
      <c r="AD3134"/>
    </row>
    <row r="3135" spans="1:30" ht="41.45" customHeight="1">
      <c r="A3135"/>
      <c r="AC3135"/>
      <c r="AD3135"/>
    </row>
    <row r="3136" spans="1:30" ht="41.45" customHeight="1">
      <c r="A3136"/>
      <c r="AC3136"/>
      <c r="AD3136"/>
    </row>
    <row r="3137" spans="1:30" ht="41.45" customHeight="1">
      <c r="A3137"/>
      <c r="AC3137"/>
      <c r="AD3137"/>
    </row>
    <row r="3138" spans="1:30" ht="41.45" customHeight="1">
      <c r="A3138"/>
      <c r="AC3138"/>
      <c r="AD3138"/>
    </row>
    <row r="3139" spans="1:30" ht="41.45" customHeight="1">
      <c r="A3139"/>
      <c r="AC3139"/>
      <c r="AD3139"/>
    </row>
    <row r="3140" spans="1:30" ht="41.45" customHeight="1">
      <c r="A3140"/>
      <c r="AC3140"/>
      <c r="AD3140"/>
    </row>
    <row r="3141" spans="1:30" ht="41.45" customHeight="1">
      <c r="A3141"/>
      <c r="AC3141"/>
      <c r="AD3141"/>
    </row>
    <row r="3142" spans="1:30" ht="41.45" customHeight="1">
      <c r="A3142"/>
      <c r="AC3142"/>
      <c r="AD3142"/>
    </row>
    <row r="3143" spans="1:30" ht="41.45" customHeight="1">
      <c r="A3143"/>
      <c r="AC3143"/>
      <c r="AD3143"/>
    </row>
    <row r="3144" spans="1:30" ht="41.45" customHeight="1">
      <c r="A3144"/>
      <c r="AC3144"/>
      <c r="AD3144"/>
    </row>
    <row r="3145" spans="1:30" ht="41.45" customHeight="1">
      <c r="A3145"/>
      <c r="AC3145"/>
      <c r="AD3145"/>
    </row>
    <row r="3146" spans="1:30" ht="41.45" customHeight="1">
      <c r="A3146"/>
      <c r="AC3146"/>
      <c r="AD3146"/>
    </row>
    <row r="3147" spans="1:30" ht="41.45" customHeight="1">
      <c r="A3147"/>
      <c r="AC3147"/>
      <c r="AD3147"/>
    </row>
    <row r="3148" spans="1:30" ht="41.45" customHeight="1">
      <c r="A3148"/>
      <c r="AC3148"/>
      <c r="AD3148"/>
    </row>
    <row r="3149" spans="1:30" ht="41.45" customHeight="1">
      <c r="A3149"/>
      <c r="AC3149"/>
      <c r="AD3149"/>
    </row>
    <row r="3150" spans="1:30" ht="41.45" customHeight="1">
      <c r="A3150"/>
      <c r="AC3150"/>
      <c r="AD3150"/>
    </row>
    <row r="3151" spans="1:30" ht="41.45" customHeight="1">
      <c r="A3151"/>
      <c r="AC3151"/>
      <c r="AD3151"/>
    </row>
    <row r="3152" spans="1:30" ht="41.45" customHeight="1">
      <c r="A3152"/>
      <c r="AC3152"/>
      <c r="AD3152"/>
    </row>
    <row r="3153" spans="1:30" ht="41.45" customHeight="1">
      <c r="A3153"/>
      <c r="AC3153"/>
      <c r="AD3153"/>
    </row>
    <row r="3154" spans="1:30" ht="41.45" customHeight="1">
      <c r="A3154"/>
      <c r="AC3154"/>
      <c r="AD3154"/>
    </row>
    <row r="3155" spans="1:30" ht="41.45" customHeight="1">
      <c r="A3155"/>
      <c r="AC3155"/>
      <c r="AD3155"/>
    </row>
    <row r="3156" spans="1:30" ht="41.45" customHeight="1">
      <c r="A3156"/>
      <c r="AC3156"/>
      <c r="AD3156"/>
    </row>
    <row r="3157" spans="1:30" ht="41.45" customHeight="1">
      <c r="A3157"/>
      <c r="AC3157"/>
      <c r="AD3157"/>
    </row>
    <row r="3158" spans="1:30" ht="41.45" customHeight="1">
      <c r="A3158"/>
      <c r="AC3158"/>
      <c r="AD3158"/>
    </row>
    <row r="3159" spans="1:30" ht="41.45" customHeight="1">
      <c r="A3159"/>
      <c r="AC3159"/>
      <c r="AD3159"/>
    </row>
    <row r="3160" spans="1:30" ht="41.45" customHeight="1">
      <c r="A3160"/>
      <c r="AC3160"/>
      <c r="AD3160"/>
    </row>
    <row r="3161" spans="1:30" ht="41.45" customHeight="1">
      <c r="A3161"/>
      <c r="AC3161"/>
      <c r="AD3161"/>
    </row>
    <row r="3162" spans="1:30" ht="41.45" customHeight="1">
      <c r="A3162"/>
      <c r="AC3162"/>
      <c r="AD3162"/>
    </row>
    <row r="3163" spans="1:30" ht="41.45" customHeight="1">
      <c r="A3163"/>
      <c r="AC3163"/>
      <c r="AD3163"/>
    </row>
    <row r="3164" spans="1:30" ht="41.45" customHeight="1">
      <c r="A3164"/>
      <c r="AC3164"/>
      <c r="AD3164"/>
    </row>
    <row r="3165" spans="1:30" ht="41.45" customHeight="1">
      <c r="A3165"/>
      <c r="AC3165"/>
      <c r="AD3165"/>
    </row>
    <row r="3166" spans="1:30" ht="41.45" customHeight="1">
      <c r="A3166"/>
      <c r="AC3166"/>
      <c r="AD3166"/>
    </row>
    <row r="3167" spans="1:30" ht="41.45" customHeight="1">
      <c r="A3167"/>
      <c r="AC3167"/>
      <c r="AD3167"/>
    </row>
    <row r="3168" spans="1:30" ht="41.45" customHeight="1">
      <c r="A3168"/>
      <c r="AC3168"/>
      <c r="AD3168"/>
    </row>
    <row r="3169" spans="1:30" ht="41.45" customHeight="1">
      <c r="A3169"/>
      <c r="AC3169"/>
      <c r="AD3169"/>
    </row>
    <row r="3170" spans="1:30" ht="41.45" customHeight="1">
      <c r="A3170"/>
      <c r="AC3170"/>
      <c r="AD3170"/>
    </row>
    <row r="3171" spans="1:30" ht="41.45" customHeight="1">
      <c r="A3171"/>
      <c r="AC3171"/>
      <c r="AD3171"/>
    </row>
    <row r="3172" spans="1:30" ht="41.45" customHeight="1">
      <c r="A3172"/>
      <c r="AC3172"/>
      <c r="AD3172"/>
    </row>
    <row r="3173" spans="1:30" ht="41.45" customHeight="1">
      <c r="A3173"/>
      <c r="AC3173"/>
      <c r="AD3173"/>
    </row>
    <row r="3174" spans="1:30" ht="41.45" customHeight="1">
      <c r="A3174"/>
      <c r="AC3174"/>
      <c r="AD3174"/>
    </row>
    <row r="3175" spans="1:30" ht="41.45" customHeight="1">
      <c r="A3175"/>
      <c r="AC3175"/>
      <c r="AD3175"/>
    </row>
    <row r="3176" spans="1:30" ht="41.45" customHeight="1">
      <c r="A3176"/>
      <c r="AC3176"/>
      <c r="AD3176"/>
    </row>
    <row r="3177" spans="1:30" ht="41.45" customHeight="1">
      <c r="A3177"/>
      <c r="AC3177"/>
      <c r="AD3177"/>
    </row>
    <row r="3178" spans="1:30" ht="41.45" customHeight="1">
      <c r="A3178"/>
      <c r="AC3178"/>
      <c r="AD3178"/>
    </row>
    <row r="3179" spans="1:30" ht="41.45" customHeight="1">
      <c r="A3179"/>
      <c r="AC3179"/>
      <c r="AD3179"/>
    </row>
    <row r="3180" spans="1:30" ht="41.45" customHeight="1">
      <c r="A3180"/>
      <c r="AC3180"/>
      <c r="AD3180"/>
    </row>
    <row r="3181" spans="1:30" ht="41.45" customHeight="1">
      <c r="A3181"/>
      <c r="AC3181"/>
      <c r="AD3181"/>
    </row>
    <row r="3182" spans="1:30" ht="41.45" customHeight="1">
      <c r="A3182"/>
      <c r="AC3182"/>
      <c r="AD3182"/>
    </row>
    <row r="3183" spans="1:30" ht="41.45" customHeight="1">
      <c r="A3183"/>
      <c r="AC3183"/>
      <c r="AD3183"/>
    </row>
    <row r="3184" spans="1:30" ht="41.45" customHeight="1">
      <c r="A3184"/>
      <c r="AC3184"/>
      <c r="AD3184"/>
    </row>
    <row r="3185" spans="1:30" ht="41.45" customHeight="1">
      <c r="A3185"/>
      <c r="AC3185"/>
      <c r="AD3185"/>
    </row>
    <row r="3186" spans="1:30" ht="41.45" customHeight="1">
      <c r="A3186"/>
      <c r="AC3186"/>
      <c r="AD3186"/>
    </row>
    <row r="3187" spans="1:30" ht="41.45" customHeight="1">
      <c r="A3187"/>
      <c r="AC3187"/>
      <c r="AD3187"/>
    </row>
    <row r="3188" spans="1:30" ht="41.45" customHeight="1">
      <c r="A3188"/>
      <c r="AC3188"/>
      <c r="AD3188"/>
    </row>
    <row r="3189" spans="1:30" ht="41.45" customHeight="1">
      <c r="A3189"/>
      <c r="AC3189"/>
      <c r="AD3189"/>
    </row>
    <row r="3190" spans="1:30" ht="41.45" customHeight="1">
      <c r="A3190"/>
      <c r="AC3190"/>
      <c r="AD3190"/>
    </row>
    <row r="3191" spans="1:30" ht="41.45" customHeight="1">
      <c r="A3191"/>
      <c r="AC3191"/>
      <c r="AD3191"/>
    </row>
    <row r="3192" spans="1:30" ht="41.45" customHeight="1">
      <c r="A3192"/>
      <c r="AC3192"/>
      <c r="AD3192"/>
    </row>
    <row r="3193" spans="1:30" ht="41.45" customHeight="1">
      <c r="A3193"/>
      <c r="AC3193"/>
      <c r="AD3193"/>
    </row>
    <row r="3194" spans="1:30" ht="41.45" customHeight="1">
      <c r="A3194"/>
      <c r="AC3194"/>
      <c r="AD3194"/>
    </row>
    <row r="3195" spans="1:30" ht="41.45" customHeight="1">
      <c r="A3195"/>
      <c r="AC3195"/>
      <c r="AD3195"/>
    </row>
    <row r="3196" spans="1:30" ht="41.45" customHeight="1">
      <c r="A3196"/>
      <c r="AC3196"/>
      <c r="AD3196"/>
    </row>
    <row r="3197" spans="1:30" ht="41.45" customHeight="1">
      <c r="A3197"/>
      <c r="AC3197"/>
      <c r="AD3197"/>
    </row>
    <row r="3198" spans="1:30" ht="41.45" customHeight="1">
      <c r="A3198"/>
      <c r="AC3198"/>
      <c r="AD3198"/>
    </row>
    <row r="3199" spans="1:30" ht="41.45" customHeight="1">
      <c r="A3199"/>
      <c r="AC3199"/>
      <c r="AD3199"/>
    </row>
    <row r="3200" spans="1:30" ht="41.45" customHeight="1">
      <c r="A3200"/>
      <c r="AC3200"/>
      <c r="AD3200"/>
    </row>
    <row r="3201" spans="1:30" ht="41.45" customHeight="1">
      <c r="A3201"/>
      <c r="AC3201"/>
      <c r="AD3201"/>
    </row>
    <row r="3202" spans="1:30" ht="41.45" customHeight="1">
      <c r="A3202"/>
      <c r="AC3202"/>
      <c r="AD3202"/>
    </row>
    <row r="3203" spans="1:30" ht="41.45" customHeight="1">
      <c r="A3203"/>
      <c r="AC3203"/>
      <c r="AD3203"/>
    </row>
    <row r="3204" spans="1:30" ht="41.45" customHeight="1">
      <c r="A3204"/>
      <c r="AC3204"/>
      <c r="AD3204"/>
    </row>
    <row r="3205" spans="1:30" ht="41.45" customHeight="1">
      <c r="A3205"/>
      <c r="AC3205"/>
      <c r="AD3205"/>
    </row>
    <row r="3206" spans="1:30" ht="41.45" customHeight="1">
      <c r="A3206"/>
      <c r="AC3206"/>
      <c r="AD3206"/>
    </row>
    <row r="3207" spans="1:30" ht="41.45" customHeight="1">
      <c r="A3207"/>
      <c r="AC3207"/>
      <c r="AD3207"/>
    </row>
    <row r="3208" spans="1:30" ht="41.45" customHeight="1">
      <c r="A3208"/>
      <c r="AC3208"/>
      <c r="AD3208"/>
    </row>
    <row r="3209" spans="1:30" ht="41.45" customHeight="1">
      <c r="A3209"/>
      <c r="AC3209"/>
      <c r="AD3209"/>
    </row>
    <row r="3210" spans="1:30" ht="41.45" customHeight="1">
      <c r="A3210"/>
      <c r="AC3210"/>
      <c r="AD3210"/>
    </row>
    <row r="3211" spans="1:30" ht="41.45" customHeight="1">
      <c r="A3211"/>
      <c r="AC3211"/>
      <c r="AD3211"/>
    </row>
    <row r="3212" spans="1:30" ht="41.45" customHeight="1">
      <c r="A3212"/>
      <c r="AC3212"/>
      <c r="AD3212"/>
    </row>
    <row r="3213" spans="1:30" ht="41.45" customHeight="1">
      <c r="A3213"/>
      <c r="AC3213"/>
      <c r="AD3213"/>
    </row>
    <row r="3214" spans="1:30" ht="41.45" customHeight="1">
      <c r="A3214"/>
      <c r="AC3214"/>
      <c r="AD3214"/>
    </row>
    <row r="3215" spans="1:30" ht="41.45" customHeight="1">
      <c r="A3215"/>
      <c r="AC3215"/>
      <c r="AD3215"/>
    </row>
    <row r="3216" spans="1:30" ht="41.45" customHeight="1">
      <c r="A3216"/>
      <c r="AC3216"/>
      <c r="AD3216"/>
    </row>
    <row r="3217" spans="1:30" ht="41.45" customHeight="1">
      <c r="A3217"/>
      <c r="AC3217"/>
      <c r="AD3217"/>
    </row>
    <row r="3218" spans="1:30" ht="41.45" customHeight="1">
      <c r="A3218"/>
      <c r="AC3218"/>
      <c r="AD3218"/>
    </row>
    <row r="3219" spans="1:30" ht="41.45" customHeight="1">
      <c r="A3219"/>
      <c r="AC3219"/>
      <c r="AD3219"/>
    </row>
    <row r="3220" spans="1:30" ht="41.45" customHeight="1">
      <c r="A3220"/>
      <c r="AC3220"/>
      <c r="AD3220"/>
    </row>
    <row r="3221" spans="1:30" ht="41.45" customHeight="1">
      <c r="A3221"/>
      <c r="AC3221"/>
      <c r="AD3221"/>
    </row>
    <row r="3222" spans="1:30" ht="41.45" customHeight="1">
      <c r="A3222"/>
      <c r="AC3222"/>
      <c r="AD3222"/>
    </row>
    <row r="3223" spans="1:30" ht="41.45" customHeight="1">
      <c r="A3223"/>
      <c r="AC3223"/>
      <c r="AD3223"/>
    </row>
    <row r="3224" spans="1:30" ht="41.45" customHeight="1">
      <c r="A3224"/>
      <c r="AC3224"/>
      <c r="AD3224"/>
    </row>
    <row r="3225" spans="1:30" ht="41.45" customHeight="1">
      <c r="A3225"/>
      <c r="AC3225"/>
      <c r="AD3225"/>
    </row>
    <row r="3226" spans="1:30" ht="41.45" customHeight="1">
      <c r="A3226"/>
      <c r="AC3226"/>
      <c r="AD3226"/>
    </row>
    <row r="3227" spans="1:30" ht="41.45" customHeight="1">
      <c r="A3227"/>
      <c r="AC3227"/>
      <c r="AD3227"/>
    </row>
    <row r="3228" spans="1:30" ht="41.45" customHeight="1">
      <c r="A3228"/>
      <c r="AC3228"/>
      <c r="AD3228"/>
    </row>
    <row r="3229" spans="1:30" ht="41.45" customHeight="1">
      <c r="A3229"/>
      <c r="AC3229"/>
      <c r="AD3229"/>
    </row>
    <row r="3230" spans="1:30" ht="41.45" customHeight="1">
      <c r="A3230"/>
      <c r="AC3230"/>
      <c r="AD3230"/>
    </row>
    <row r="3231" spans="1:30" ht="41.45" customHeight="1">
      <c r="A3231"/>
      <c r="AC3231"/>
      <c r="AD3231"/>
    </row>
    <row r="3232" spans="1:30" ht="41.45" customHeight="1">
      <c r="A3232"/>
      <c r="AC3232"/>
      <c r="AD3232"/>
    </row>
    <row r="3233" spans="1:30" ht="41.45" customHeight="1">
      <c r="A3233"/>
      <c r="AC3233"/>
      <c r="AD3233"/>
    </row>
    <row r="3234" spans="1:30" ht="41.45" customHeight="1">
      <c r="A3234"/>
      <c r="AC3234"/>
      <c r="AD3234"/>
    </row>
    <row r="3235" spans="1:30" ht="41.45" customHeight="1">
      <c r="A3235"/>
      <c r="AC3235"/>
      <c r="AD3235"/>
    </row>
    <row r="3236" spans="1:30" ht="41.45" customHeight="1">
      <c r="A3236"/>
      <c r="AC3236"/>
      <c r="AD3236"/>
    </row>
    <row r="3237" spans="1:30" ht="41.45" customHeight="1">
      <c r="A3237"/>
      <c r="AC3237"/>
      <c r="AD3237"/>
    </row>
    <row r="3238" spans="1:30" ht="41.45" customHeight="1">
      <c r="A3238"/>
      <c r="AC3238"/>
      <c r="AD3238"/>
    </row>
    <row r="3239" spans="1:30" ht="41.45" customHeight="1">
      <c r="A3239"/>
      <c r="AC3239"/>
      <c r="AD3239"/>
    </row>
    <row r="3240" spans="1:30" ht="41.45" customHeight="1">
      <c r="A3240"/>
      <c r="AC3240"/>
      <c r="AD3240"/>
    </row>
    <row r="3241" spans="1:30" ht="41.45" customHeight="1">
      <c r="A3241"/>
      <c r="AC3241"/>
      <c r="AD3241"/>
    </row>
    <row r="3242" spans="1:30" ht="41.45" customHeight="1">
      <c r="A3242"/>
      <c r="AC3242"/>
      <c r="AD3242"/>
    </row>
    <row r="3243" spans="1:30" ht="41.45" customHeight="1">
      <c r="A3243"/>
      <c r="AC3243"/>
      <c r="AD3243"/>
    </row>
    <row r="3244" spans="1:30" ht="41.45" customHeight="1">
      <c r="A3244"/>
      <c r="AC3244"/>
      <c r="AD3244"/>
    </row>
    <row r="3245" spans="1:30" ht="41.45" customHeight="1">
      <c r="A3245"/>
      <c r="AC3245"/>
      <c r="AD3245"/>
    </row>
    <row r="3246" spans="1:30" ht="41.45" customHeight="1">
      <c r="A3246"/>
      <c r="AC3246"/>
      <c r="AD3246"/>
    </row>
    <row r="3247" spans="1:30" ht="41.45" customHeight="1">
      <c r="A3247"/>
      <c r="AC3247"/>
      <c r="AD3247"/>
    </row>
    <row r="3248" spans="1:30" ht="41.45" customHeight="1">
      <c r="A3248"/>
      <c r="AC3248"/>
      <c r="AD3248"/>
    </row>
    <row r="3249" spans="1:30" ht="41.45" customHeight="1">
      <c r="A3249"/>
      <c r="AC3249"/>
      <c r="AD3249"/>
    </row>
    <row r="3250" spans="1:30" ht="41.45" customHeight="1">
      <c r="A3250"/>
      <c r="AC3250"/>
      <c r="AD3250"/>
    </row>
    <row r="3251" spans="1:30" ht="41.45" customHeight="1">
      <c r="A3251"/>
      <c r="AC3251"/>
      <c r="AD3251"/>
    </row>
    <row r="3252" spans="1:30" ht="41.45" customHeight="1">
      <c r="A3252"/>
      <c r="AC3252"/>
      <c r="AD3252"/>
    </row>
    <row r="3253" spans="1:30" ht="41.45" customHeight="1">
      <c r="A3253"/>
      <c r="AC3253"/>
      <c r="AD3253"/>
    </row>
    <row r="3254" spans="1:30" ht="41.45" customHeight="1">
      <c r="A3254"/>
      <c r="AC3254"/>
      <c r="AD3254"/>
    </row>
    <row r="3255" spans="1:30" ht="41.45" customHeight="1">
      <c r="A3255"/>
      <c r="AC3255"/>
      <c r="AD3255"/>
    </row>
    <row r="3256" spans="1:30" ht="41.45" customHeight="1">
      <c r="A3256"/>
      <c r="AC3256"/>
      <c r="AD3256"/>
    </row>
    <row r="3257" spans="1:30" ht="41.45" customHeight="1">
      <c r="A3257"/>
      <c r="AC3257"/>
      <c r="AD3257"/>
    </row>
    <row r="3258" spans="1:30" ht="41.45" customHeight="1">
      <c r="A3258"/>
      <c r="AC3258"/>
      <c r="AD3258"/>
    </row>
    <row r="3259" spans="1:30" ht="41.45" customHeight="1">
      <c r="A3259"/>
      <c r="AC3259"/>
      <c r="AD3259"/>
    </row>
    <row r="3260" spans="1:30" ht="41.45" customHeight="1">
      <c r="A3260"/>
      <c r="AC3260"/>
      <c r="AD3260"/>
    </row>
    <row r="3261" spans="1:30" ht="41.45" customHeight="1">
      <c r="A3261"/>
      <c r="AC3261"/>
      <c r="AD3261"/>
    </row>
    <row r="3262" spans="1:30" ht="41.45" customHeight="1">
      <c r="A3262"/>
      <c r="AC3262"/>
      <c r="AD3262"/>
    </row>
    <row r="3263" spans="1:30" ht="41.45" customHeight="1">
      <c r="A3263"/>
      <c r="AC3263"/>
      <c r="AD3263"/>
    </row>
    <row r="3264" spans="1:30" ht="41.45" customHeight="1">
      <c r="A3264"/>
      <c r="AC3264"/>
      <c r="AD3264"/>
    </row>
    <row r="3265" spans="1:30" ht="41.45" customHeight="1">
      <c r="A3265"/>
      <c r="AC3265"/>
      <c r="AD3265"/>
    </row>
    <row r="3266" spans="1:30" ht="41.45" customHeight="1">
      <c r="A3266"/>
      <c r="AC3266"/>
      <c r="AD3266"/>
    </row>
    <row r="3267" spans="1:30" ht="41.45" customHeight="1">
      <c r="A3267"/>
      <c r="AC3267"/>
      <c r="AD3267"/>
    </row>
    <row r="3268" spans="1:30" ht="41.45" customHeight="1">
      <c r="A3268"/>
      <c r="AC3268"/>
      <c r="AD3268"/>
    </row>
    <row r="3269" spans="1:30" ht="41.45" customHeight="1">
      <c r="A3269"/>
      <c r="AC3269"/>
      <c r="AD3269"/>
    </row>
    <row r="3270" spans="1:30" ht="41.45" customHeight="1">
      <c r="A3270"/>
      <c r="AC3270"/>
      <c r="AD3270"/>
    </row>
    <row r="3271" spans="1:30" ht="41.45" customHeight="1">
      <c r="A3271"/>
      <c r="AC3271"/>
      <c r="AD3271"/>
    </row>
    <row r="3272" spans="1:30" ht="41.45" customHeight="1">
      <c r="A3272"/>
      <c r="AC3272"/>
      <c r="AD3272"/>
    </row>
    <row r="3273" spans="1:30" ht="41.45" customHeight="1">
      <c r="A3273"/>
      <c r="AC3273"/>
      <c r="AD3273"/>
    </row>
    <row r="3274" spans="1:30" ht="41.45" customHeight="1">
      <c r="A3274"/>
      <c r="AC3274"/>
      <c r="AD3274"/>
    </row>
    <row r="3275" spans="1:30" ht="41.45" customHeight="1">
      <c r="A3275"/>
      <c r="AC3275"/>
      <c r="AD3275"/>
    </row>
    <row r="3276" spans="1:30" ht="41.45" customHeight="1">
      <c r="A3276"/>
      <c r="AC3276"/>
      <c r="AD3276"/>
    </row>
    <row r="3277" spans="1:30" ht="41.45" customHeight="1">
      <c r="A3277"/>
      <c r="AC3277"/>
      <c r="AD3277"/>
    </row>
    <row r="3278" spans="1:30" ht="41.45" customHeight="1">
      <c r="A3278"/>
      <c r="AC3278"/>
      <c r="AD3278"/>
    </row>
    <row r="3279" spans="1:30" ht="41.45" customHeight="1">
      <c r="A3279"/>
      <c r="AC3279"/>
      <c r="AD3279"/>
    </row>
    <row r="3280" spans="1:30" ht="41.45" customHeight="1">
      <c r="A3280"/>
      <c r="AC3280"/>
      <c r="AD3280"/>
    </row>
    <row r="3281" spans="1:30" ht="41.45" customHeight="1">
      <c r="A3281"/>
      <c r="AC3281"/>
      <c r="AD3281"/>
    </row>
    <row r="3282" spans="1:30" ht="41.45" customHeight="1">
      <c r="A3282"/>
      <c r="AC3282"/>
      <c r="AD3282"/>
    </row>
    <row r="3283" spans="1:30" ht="41.45" customHeight="1">
      <c r="A3283"/>
      <c r="AC3283"/>
      <c r="AD3283"/>
    </row>
    <row r="3284" spans="1:30" ht="41.45" customHeight="1">
      <c r="A3284"/>
      <c r="AC3284"/>
      <c r="AD3284"/>
    </row>
    <row r="3285" spans="1:30" ht="41.45" customHeight="1">
      <c r="A3285"/>
      <c r="AC3285"/>
      <c r="AD3285"/>
    </row>
    <row r="3286" spans="1:30" ht="41.45" customHeight="1">
      <c r="A3286"/>
      <c r="AC3286"/>
      <c r="AD3286"/>
    </row>
    <row r="3287" spans="1:30" ht="41.45" customHeight="1">
      <c r="A3287"/>
      <c r="AC3287"/>
      <c r="AD3287"/>
    </row>
    <row r="3288" spans="1:30" ht="41.45" customHeight="1">
      <c r="A3288"/>
      <c r="AC3288"/>
      <c r="AD3288"/>
    </row>
    <row r="3289" spans="1:30" ht="41.45" customHeight="1">
      <c r="A3289"/>
      <c r="AC3289"/>
      <c r="AD3289"/>
    </row>
    <row r="3290" spans="1:30" ht="41.45" customHeight="1">
      <c r="A3290"/>
      <c r="AC3290"/>
      <c r="AD3290"/>
    </row>
    <row r="3291" spans="1:30" ht="41.45" customHeight="1">
      <c r="A3291"/>
      <c r="AC3291"/>
      <c r="AD3291"/>
    </row>
    <row r="3292" spans="1:30" ht="41.45" customHeight="1">
      <c r="A3292"/>
      <c r="AC3292"/>
      <c r="AD3292"/>
    </row>
    <row r="3293" spans="1:30" ht="41.45" customHeight="1">
      <c r="A3293"/>
      <c r="AC3293"/>
      <c r="AD3293"/>
    </row>
    <row r="3294" spans="1:30" ht="41.45" customHeight="1">
      <c r="A3294"/>
      <c r="AC3294"/>
      <c r="AD3294"/>
    </row>
    <row r="3295" spans="1:30" ht="41.45" customHeight="1">
      <c r="A3295"/>
      <c r="AC3295"/>
      <c r="AD3295"/>
    </row>
    <row r="3296" spans="1:30" ht="41.45" customHeight="1">
      <c r="A3296"/>
      <c r="AC3296"/>
      <c r="AD3296"/>
    </row>
    <row r="3297" spans="1:30" ht="41.45" customHeight="1">
      <c r="A3297"/>
      <c r="AC3297"/>
      <c r="AD3297"/>
    </row>
    <row r="3298" spans="1:30" ht="41.45" customHeight="1">
      <c r="A3298"/>
      <c r="AC3298"/>
      <c r="AD3298"/>
    </row>
    <row r="3299" spans="1:30" ht="41.45" customHeight="1">
      <c r="A3299"/>
      <c r="AC3299"/>
      <c r="AD3299"/>
    </row>
    <row r="3300" spans="1:30" ht="41.45" customHeight="1">
      <c r="A3300"/>
      <c r="AC3300"/>
      <c r="AD3300"/>
    </row>
    <row r="3301" spans="1:30" ht="41.45" customHeight="1">
      <c r="A3301"/>
      <c r="AC3301"/>
      <c r="AD3301"/>
    </row>
    <row r="3302" spans="1:30" ht="41.45" customHeight="1">
      <c r="A3302"/>
      <c r="AC3302"/>
      <c r="AD3302"/>
    </row>
    <row r="3303" spans="1:30" ht="41.45" customHeight="1">
      <c r="A3303"/>
      <c r="AC3303"/>
      <c r="AD3303"/>
    </row>
    <row r="3304" spans="1:30" ht="41.45" customHeight="1">
      <c r="A3304"/>
      <c r="AC3304"/>
      <c r="AD3304"/>
    </row>
    <row r="3305" spans="1:30" ht="41.45" customHeight="1">
      <c r="A3305"/>
      <c r="AC3305"/>
      <c r="AD3305"/>
    </row>
    <row r="3306" spans="1:30" ht="41.45" customHeight="1">
      <c r="A3306"/>
      <c r="AC3306"/>
      <c r="AD3306"/>
    </row>
    <row r="3307" spans="1:30" ht="41.45" customHeight="1">
      <c r="A3307"/>
      <c r="AC3307"/>
      <c r="AD3307"/>
    </row>
    <row r="3308" spans="1:30" ht="41.45" customHeight="1">
      <c r="A3308"/>
      <c r="AC3308"/>
      <c r="AD3308"/>
    </row>
    <row r="3309" spans="1:30" ht="41.45" customHeight="1">
      <c r="A3309"/>
      <c r="AC3309"/>
      <c r="AD3309"/>
    </row>
    <row r="3310" spans="1:30" ht="41.45" customHeight="1">
      <c r="A3310"/>
      <c r="AC3310"/>
      <c r="AD3310"/>
    </row>
    <row r="3311" spans="1:30" ht="41.45" customHeight="1">
      <c r="A3311"/>
      <c r="AC3311"/>
      <c r="AD3311"/>
    </row>
    <row r="3312" spans="1:30" ht="41.45" customHeight="1">
      <c r="A3312"/>
      <c r="AC3312"/>
      <c r="AD3312"/>
    </row>
    <row r="3313" spans="1:30" ht="41.45" customHeight="1">
      <c r="A3313"/>
      <c r="AC3313"/>
      <c r="AD3313"/>
    </row>
    <row r="3314" spans="1:30" ht="41.45" customHeight="1">
      <c r="A3314"/>
      <c r="AC3314"/>
      <c r="AD3314"/>
    </row>
    <row r="3315" spans="1:30" ht="41.45" customHeight="1">
      <c r="A3315"/>
      <c r="AC3315"/>
      <c r="AD3315"/>
    </row>
    <row r="3316" spans="1:30" ht="41.45" customHeight="1">
      <c r="A3316"/>
      <c r="AC3316"/>
      <c r="AD3316"/>
    </row>
    <row r="3317" spans="1:30" ht="41.45" customHeight="1">
      <c r="A3317"/>
      <c r="AC3317"/>
      <c r="AD3317"/>
    </row>
    <row r="3318" spans="1:30" ht="41.45" customHeight="1">
      <c r="A3318"/>
      <c r="AC3318"/>
      <c r="AD3318"/>
    </row>
    <row r="3319" spans="1:30" ht="41.45" customHeight="1">
      <c r="A3319"/>
      <c r="AC3319"/>
      <c r="AD3319"/>
    </row>
    <row r="3320" spans="1:30" ht="41.45" customHeight="1">
      <c r="A3320"/>
      <c r="AC3320"/>
      <c r="AD3320"/>
    </row>
    <row r="3321" spans="1:30" ht="41.45" customHeight="1">
      <c r="A3321"/>
      <c r="AC3321"/>
      <c r="AD3321"/>
    </row>
    <row r="3322" spans="1:30" ht="41.45" customHeight="1">
      <c r="A3322"/>
      <c r="AC3322"/>
      <c r="AD3322"/>
    </row>
    <row r="3323" spans="1:30" ht="41.45" customHeight="1">
      <c r="A3323"/>
      <c r="AC3323"/>
      <c r="AD3323"/>
    </row>
    <row r="3324" spans="1:30" ht="41.45" customHeight="1">
      <c r="A3324"/>
      <c r="AC3324"/>
      <c r="AD3324"/>
    </row>
    <row r="3325" spans="1:30" ht="41.45" customHeight="1">
      <c r="A3325"/>
      <c r="AC3325"/>
      <c r="AD3325"/>
    </row>
    <row r="3326" spans="1:30" ht="41.45" customHeight="1">
      <c r="A3326"/>
      <c r="AC3326"/>
      <c r="AD3326"/>
    </row>
    <row r="3327" spans="1:30" ht="41.45" customHeight="1">
      <c r="A3327"/>
      <c r="AC3327"/>
      <c r="AD3327"/>
    </row>
    <row r="3328" spans="1:30" ht="41.45" customHeight="1">
      <c r="A3328"/>
      <c r="AC3328"/>
      <c r="AD3328"/>
    </row>
    <row r="3329" spans="1:30" ht="41.45" customHeight="1">
      <c r="A3329"/>
      <c r="AC3329"/>
      <c r="AD3329"/>
    </row>
    <row r="3330" spans="1:30" ht="41.45" customHeight="1">
      <c r="A3330"/>
      <c r="AC3330"/>
      <c r="AD3330"/>
    </row>
    <row r="3331" spans="1:30" ht="41.45" customHeight="1">
      <c r="A3331"/>
      <c r="AC3331"/>
      <c r="AD3331"/>
    </row>
    <row r="3332" spans="1:30" ht="41.45" customHeight="1">
      <c r="A3332"/>
      <c r="AC3332"/>
      <c r="AD3332"/>
    </row>
    <row r="3333" spans="1:30" ht="41.45" customHeight="1">
      <c r="A3333"/>
      <c r="AC3333"/>
      <c r="AD3333"/>
    </row>
    <row r="3334" spans="1:30" ht="41.45" customHeight="1">
      <c r="A3334"/>
      <c r="AC3334"/>
      <c r="AD3334"/>
    </row>
    <row r="3335" spans="1:30" ht="41.45" customHeight="1">
      <c r="A3335"/>
      <c r="AC3335"/>
      <c r="AD3335"/>
    </row>
    <row r="3336" spans="1:30" ht="41.45" customHeight="1">
      <c r="A3336"/>
      <c r="AC3336"/>
      <c r="AD3336"/>
    </row>
    <row r="3337" spans="1:30" ht="41.45" customHeight="1">
      <c r="A3337"/>
      <c r="AC3337"/>
      <c r="AD3337"/>
    </row>
    <row r="3338" spans="1:30" ht="41.45" customHeight="1">
      <c r="A3338"/>
      <c r="AC3338"/>
      <c r="AD3338"/>
    </row>
    <row r="3339" spans="1:30" ht="41.45" customHeight="1">
      <c r="A3339"/>
      <c r="AC3339"/>
      <c r="AD3339"/>
    </row>
    <row r="3340" spans="1:30" ht="41.45" customHeight="1">
      <c r="A3340"/>
      <c r="AC3340"/>
      <c r="AD3340"/>
    </row>
    <row r="3341" spans="1:30" ht="41.45" customHeight="1">
      <c r="A3341"/>
      <c r="AC3341"/>
      <c r="AD3341"/>
    </row>
    <row r="3342" spans="1:30" ht="41.45" customHeight="1">
      <c r="A3342"/>
      <c r="AC3342"/>
      <c r="AD3342"/>
    </row>
    <row r="3343" spans="1:30" ht="41.45" customHeight="1">
      <c r="A3343"/>
      <c r="AC3343"/>
      <c r="AD3343"/>
    </row>
    <row r="3344" spans="1:30" ht="41.45" customHeight="1">
      <c r="A3344"/>
      <c r="AC3344"/>
      <c r="AD3344"/>
    </row>
    <row r="3345" spans="1:30" ht="41.45" customHeight="1">
      <c r="A3345"/>
      <c r="AC3345"/>
      <c r="AD3345"/>
    </row>
    <row r="3346" spans="1:30" ht="41.45" customHeight="1">
      <c r="A3346"/>
      <c r="AC3346"/>
      <c r="AD3346"/>
    </row>
    <row r="3347" spans="1:30" ht="41.45" customHeight="1">
      <c r="A3347"/>
      <c r="AC3347"/>
      <c r="AD3347"/>
    </row>
    <row r="3348" spans="1:30" ht="41.45" customHeight="1">
      <c r="A3348"/>
      <c r="AC3348"/>
      <c r="AD3348"/>
    </row>
    <row r="3349" spans="1:30" ht="41.45" customHeight="1">
      <c r="A3349"/>
      <c r="AC3349"/>
      <c r="AD3349"/>
    </row>
    <row r="3350" spans="1:30" ht="41.45" customHeight="1">
      <c r="A3350"/>
      <c r="AC3350"/>
      <c r="AD3350"/>
    </row>
    <row r="3351" spans="1:30" ht="41.45" customHeight="1">
      <c r="A3351"/>
      <c r="AC3351"/>
      <c r="AD3351"/>
    </row>
    <row r="3352" spans="1:30" ht="41.45" customHeight="1">
      <c r="A3352"/>
      <c r="AC3352"/>
      <c r="AD3352"/>
    </row>
    <row r="3353" spans="1:30" ht="41.45" customHeight="1">
      <c r="A3353"/>
      <c r="AC3353"/>
      <c r="AD3353"/>
    </row>
    <row r="3354" spans="1:30" ht="41.45" customHeight="1">
      <c r="A3354"/>
      <c r="AC3354"/>
      <c r="AD3354"/>
    </row>
    <row r="3355" spans="1:30" ht="41.45" customHeight="1">
      <c r="A3355"/>
      <c r="AC3355"/>
      <c r="AD3355"/>
    </row>
    <row r="3356" spans="1:30" ht="41.45" customHeight="1">
      <c r="A3356"/>
      <c r="AC3356"/>
      <c r="AD3356"/>
    </row>
    <row r="3357" spans="1:30" ht="41.45" customHeight="1">
      <c r="A3357"/>
      <c r="AC3357"/>
      <c r="AD3357"/>
    </row>
    <row r="3358" spans="1:30" ht="41.45" customHeight="1">
      <c r="A3358"/>
      <c r="AC3358"/>
      <c r="AD3358"/>
    </row>
    <row r="3359" spans="1:30" ht="41.45" customHeight="1">
      <c r="A3359"/>
      <c r="AC3359"/>
      <c r="AD3359"/>
    </row>
    <row r="3360" spans="1:30" ht="41.45" customHeight="1">
      <c r="A3360"/>
      <c r="AC3360"/>
      <c r="AD3360"/>
    </row>
    <row r="3361" spans="1:30" ht="41.45" customHeight="1">
      <c r="A3361"/>
      <c r="AC3361"/>
      <c r="AD3361"/>
    </row>
    <row r="3362" spans="1:30" ht="41.45" customHeight="1">
      <c r="A3362"/>
      <c r="AC3362"/>
      <c r="AD3362"/>
    </row>
    <row r="3363" spans="1:30" ht="41.45" customHeight="1">
      <c r="A3363"/>
      <c r="AC3363"/>
      <c r="AD3363"/>
    </row>
    <row r="3364" spans="1:30" ht="41.45" customHeight="1">
      <c r="A3364"/>
      <c r="AC3364"/>
      <c r="AD3364"/>
    </row>
    <row r="3365" spans="1:30" ht="41.45" customHeight="1">
      <c r="A3365"/>
      <c r="AC3365"/>
      <c r="AD3365"/>
    </row>
    <row r="3366" spans="1:30" ht="41.45" customHeight="1">
      <c r="A3366"/>
      <c r="AC3366"/>
      <c r="AD3366"/>
    </row>
    <row r="3367" spans="1:30" ht="41.45" customHeight="1">
      <c r="A3367"/>
      <c r="AC3367"/>
      <c r="AD3367"/>
    </row>
    <row r="3368" spans="1:30" ht="41.45" customHeight="1">
      <c r="A3368"/>
      <c r="AC3368"/>
      <c r="AD3368"/>
    </row>
    <row r="3369" spans="1:30" ht="41.45" customHeight="1">
      <c r="A3369"/>
      <c r="AC3369"/>
      <c r="AD3369"/>
    </row>
    <row r="3370" spans="1:30" ht="41.45" customHeight="1">
      <c r="A3370"/>
      <c r="AC3370"/>
      <c r="AD3370"/>
    </row>
    <row r="3371" spans="1:30" ht="41.45" customHeight="1">
      <c r="A3371"/>
      <c r="AC3371"/>
      <c r="AD3371"/>
    </row>
    <row r="3372" spans="1:30" ht="41.45" customHeight="1">
      <c r="A3372"/>
      <c r="AC3372"/>
      <c r="AD3372"/>
    </row>
    <row r="3373" spans="1:30" ht="41.45" customHeight="1">
      <c r="A3373"/>
      <c r="AC3373"/>
      <c r="AD3373"/>
    </row>
    <row r="3374" spans="1:30" ht="41.45" customHeight="1">
      <c r="A3374"/>
      <c r="AC3374"/>
      <c r="AD3374"/>
    </row>
    <row r="3375" spans="1:30" ht="41.45" customHeight="1">
      <c r="A3375"/>
      <c r="AC3375"/>
      <c r="AD3375"/>
    </row>
    <row r="3376" spans="1:30" ht="41.45" customHeight="1">
      <c r="A3376"/>
      <c r="AC3376"/>
      <c r="AD3376"/>
    </row>
    <row r="3377" spans="1:30" ht="41.45" customHeight="1">
      <c r="A3377"/>
      <c r="AC3377"/>
      <c r="AD3377"/>
    </row>
    <row r="3378" spans="1:30" ht="41.45" customHeight="1">
      <c r="A3378"/>
      <c r="AC3378"/>
      <c r="AD3378"/>
    </row>
    <row r="3379" spans="1:30" ht="41.45" customHeight="1">
      <c r="A3379"/>
      <c r="AC3379"/>
      <c r="AD3379"/>
    </row>
    <row r="3380" spans="1:30" ht="41.45" customHeight="1">
      <c r="A3380"/>
      <c r="AC3380"/>
      <c r="AD3380"/>
    </row>
    <row r="3381" spans="1:30" ht="41.45" customHeight="1">
      <c r="A3381"/>
      <c r="AC3381"/>
      <c r="AD3381"/>
    </row>
    <row r="3382" spans="1:30" ht="41.45" customHeight="1">
      <c r="A3382"/>
      <c r="AC3382"/>
      <c r="AD3382"/>
    </row>
    <row r="3383" spans="1:30" ht="41.45" customHeight="1">
      <c r="A3383"/>
      <c r="AC3383"/>
      <c r="AD3383"/>
    </row>
    <row r="3384" spans="1:30" ht="41.45" customHeight="1">
      <c r="A3384"/>
      <c r="AC3384"/>
      <c r="AD3384"/>
    </row>
    <row r="3385" spans="1:30" ht="41.45" customHeight="1">
      <c r="A3385"/>
      <c r="AC3385"/>
      <c r="AD3385"/>
    </row>
    <row r="3386" spans="1:30" ht="41.45" customHeight="1">
      <c r="A3386"/>
      <c r="AC3386"/>
      <c r="AD3386"/>
    </row>
    <row r="3387" spans="1:30" ht="41.45" customHeight="1">
      <c r="A3387"/>
      <c r="AC3387"/>
      <c r="AD3387"/>
    </row>
    <row r="3388" spans="1:30" ht="41.45" customHeight="1">
      <c r="A3388"/>
      <c r="AC3388"/>
      <c r="AD3388"/>
    </row>
    <row r="3389" spans="1:30" ht="41.45" customHeight="1">
      <c r="A3389"/>
      <c r="AC3389"/>
      <c r="AD3389"/>
    </row>
    <row r="3390" spans="1:30" ht="41.45" customHeight="1">
      <c r="A3390"/>
      <c r="AC3390"/>
      <c r="AD3390"/>
    </row>
    <row r="3391" spans="1:30" ht="41.45" customHeight="1">
      <c r="A3391"/>
      <c r="AC3391"/>
      <c r="AD3391"/>
    </row>
    <row r="3392" spans="1:30" ht="41.45" customHeight="1">
      <c r="A3392"/>
      <c r="AC3392"/>
      <c r="AD3392"/>
    </row>
    <row r="3393" spans="1:30" ht="41.45" customHeight="1">
      <c r="A3393"/>
      <c r="AC3393"/>
      <c r="AD3393"/>
    </row>
    <row r="3394" spans="1:30" ht="41.45" customHeight="1">
      <c r="A3394"/>
      <c r="AC3394"/>
      <c r="AD3394"/>
    </row>
    <row r="3395" spans="1:30" ht="41.45" customHeight="1">
      <c r="A3395"/>
      <c r="AC3395"/>
      <c r="AD3395"/>
    </row>
    <row r="3396" spans="1:30" ht="41.45" customHeight="1">
      <c r="A3396"/>
      <c r="AC3396"/>
      <c r="AD3396"/>
    </row>
    <row r="3397" spans="1:30" ht="41.45" customHeight="1">
      <c r="A3397"/>
      <c r="AC3397"/>
      <c r="AD3397"/>
    </row>
    <row r="3398" spans="1:30" ht="41.45" customHeight="1">
      <c r="A3398"/>
      <c r="AC3398"/>
      <c r="AD3398"/>
    </row>
    <row r="3399" spans="1:30" ht="41.45" customHeight="1">
      <c r="A3399"/>
      <c r="AC3399"/>
      <c r="AD3399"/>
    </row>
    <row r="3400" spans="1:30" ht="41.45" customHeight="1">
      <c r="A3400"/>
      <c r="AC3400"/>
      <c r="AD3400"/>
    </row>
    <row r="3401" spans="1:30" ht="41.45" customHeight="1">
      <c r="A3401"/>
      <c r="AC3401"/>
      <c r="AD3401"/>
    </row>
    <row r="3402" spans="1:30" ht="41.45" customHeight="1">
      <c r="A3402"/>
      <c r="AC3402"/>
      <c r="AD3402"/>
    </row>
    <row r="3403" spans="1:30" ht="41.45" customHeight="1">
      <c r="A3403"/>
      <c r="AC3403"/>
      <c r="AD3403"/>
    </row>
    <row r="3404" spans="1:30" ht="41.45" customHeight="1">
      <c r="A3404"/>
      <c r="AC3404"/>
      <c r="AD3404"/>
    </row>
    <row r="3405" spans="1:30" ht="41.45" customHeight="1">
      <c r="A3405"/>
      <c r="AC3405"/>
      <c r="AD3405"/>
    </row>
    <row r="3406" spans="1:30" ht="41.45" customHeight="1">
      <c r="A3406"/>
      <c r="AC3406"/>
      <c r="AD3406"/>
    </row>
    <row r="3407" spans="1:30" ht="41.45" customHeight="1">
      <c r="A3407"/>
      <c r="AC3407"/>
      <c r="AD3407"/>
    </row>
    <row r="3408" spans="1:30" ht="41.45" customHeight="1">
      <c r="A3408"/>
      <c r="AC3408"/>
      <c r="AD3408"/>
    </row>
    <row r="3409" spans="1:30" ht="41.45" customHeight="1">
      <c r="A3409"/>
      <c r="AC3409"/>
      <c r="AD3409"/>
    </row>
    <row r="3410" spans="1:30" ht="41.45" customHeight="1">
      <c r="A3410"/>
      <c r="AC3410"/>
      <c r="AD3410"/>
    </row>
    <row r="3411" spans="1:30" ht="41.45" customHeight="1">
      <c r="A3411"/>
      <c r="AC3411"/>
      <c r="AD3411"/>
    </row>
    <row r="3412" spans="1:30" ht="41.45" customHeight="1">
      <c r="A3412"/>
      <c r="AC3412"/>
      <c r="AD3412"/>
    </row>
    <row r="3413" spans="1:30" ht="41.45" customHeight="1">
      <c r="A3413"/>
      <c r="AC3413"/>
      <c r="AD3413"/>
    </row>
    <row r="3414" spans="1:30" ht="41.45" customHeight="1">
      <c r="A3414"/>
      <c r="AC3414"/>
      <c r="AD3414"/>
    </row>
    <row r="3415" spans="1:30" ht="41.45" customHeight="1">
      <c r="A3415"/>
      <c r="AC3415"/>
      <c r="AD3415"/>
    </row>
    <row r="3416" spans="1:30" ht="41.45" customHeight="1">
      <c r="A3416"/>
      <c r="AC3416"/>
      <c r="AD3416"/>
    </row>
    <row r="3417" spans="1:30" ht="41.45" customHeight="1">
      <c r="A3417"/>
      <c r="AC3417"/>
      <c r="AD3417"/>
    </row>
    <row r="3418" spans="1:30" ht="41.45" customHeight="1">
      <c r="A3418"/>
      <c r="AC3418"/>
      <c r="AD3418"/>
    </row>
    <row r="3419" spans="1:30" ht="41.45" customHeight="1">
      <c r="A3419"/>
      <c r="AC3419"/>
      <c r="AD3419"/>
    </row>
    <row r="3420" spans="1:30" ht="41.45" customHeight="1">
      <c r="A3420"/>
      <c r="AC3420"/>
      <c r="AD3420"/>
    </row>
    <row r="3421" spans="1:30" ht="41.45" customHeight="1">
      <c r="A3421"/>
      <c r="AC3421"/>
      <c r="AD3421"/>
    </row>
    <row r="3422" spans="1:30" ht="41.45" customHeight="1">
      <c r="A3422"/>
      <c r="AC3422"/>
      <c r="AD3422"/>
    </row>
    <row r="3423" spans="1:30" ht="41.45" customHeight="1">
      <c r="A3423"/>
      <c r="AC3423"/>
      <c r="AD3423"/>
    </row>
    <row r="3424" spans="1:30" ht="41.45" customHeight="1">
      <c r="A3424"/>
      <c r="AC3424"/>
      <c r="AD3424"/>
    </row>
    <row r="3425" spans="1:30" ht="41.45" customHeight="1">
      <c r="A3425"/>
      <c r="AC3425"/>
      <c r="AD3425"/>
    </row>
    <row r="3426" spans="1:30" ht="41.45" customHeight="1">
      <c r="A3426"/>
      <c r="AC3426"/>
      <c r="AD3426"/>
    </row>
    <row r="3427" spans="1:30" ht="41.45" customHeight="1">
      <c r="A3427"/>
      <c r="AC3427"/>
      <c r="AD3427"/>
    </row>
    <row r="3428" spans="1:30" ht="41.45" customHeight="1">
      <c r="A3428"/>
      <c r="AC3428"/>
      <c r="AD3428"/>
    </row>
    <row r="3429" spans="1:30" ht="41.45" customHeight="1">
      <c r="A3429"/>
      <c r="AC3429"/>
      <c r="AD3429"/>
    </row>
    <row r="3430" spans="1:30" ht="41.45" customHeight="1">
      <c r="A3430"/>
      <c r="AC3430"/>
      <c r="AD3430"/>
    </row>
    <row r="3431" spans="1:30" ht="41.45" customHeight="1">
      <c r="A3431"/>
      <c r="AC3431"/>
      <c r="AD3431"/>
    </row>
    <row r="3432" spans="1:30" ht="41.45" customHeight="1">
      <c r="A3432"/>
      <c r="AC3432"/>
      <c r="AD3432"/>
    </row>
    <row r="3433" spans="1:30" ht="41.45" customHeight="1">
      <c r="A3433"/>
      <c r="AC3433"/>
      <c r="AD3433"/>
    </row>
    <row r="3434" spans="1:30" ht="41.45" customHeight="1">
      <c r="A3434"/>
      <c r="AC3434"/>
      <c r="AD3434"/>
    </row>
    <row r="3435" spans="1:30" ht="41.45" customHeight="1">
      <c r="A3435"/>
      <c r="AC3435"/>
      <c r="AD3435"/>
    </row>
    <row r="3436" spans="1:30" ht="41.45" customHeight="1">
      <c r="A3436"/>
      <c r="AC3436"/>
      <c r="AD3436"/>
    </row>
    <row r="3437" spans="1:30" ht="41.45" customHeight="1">
      <c r="A3437"/>
      <c r="AC3437"/>
      <c r="AD3437"/>
    </row>
    <row r="3438" spans="1:30" ht="41.45" customHeight="1">
      <c r="A3438"/>
      <c r="AC3438"/>
      <c r="AD3438"/>
    </row>
    <row r="3439" spans="1:30" ht="41.45" customHeight="1">
      <c r="A3439"/>
      <c r="AC3439"/>
      <c r="AD3439"/>
    </row>
    <row r="3440" spans="1:30" ht="41.45" customHeight="1">
      <c r="A3440"/>
      <c r="AC3440"/>
      <c r="AD3440"/>
    </row>
    <row r="3441" spans="1:30" ht="41.45" customHeight="1">
      <c r="A3441"/>
      <c r="AC3441"/>
      <c r="AD3441"/>
    </row>
    <row r="3442" spans="1:30" ht="41.45" customHeight="1">
      <c r="A3442"/>
      <c r="AC3442"/>
      <c r="AD3442"/>
    </row>
    <row r="3443" spans="1:30" ht="41.45" customHeight="1">
      <c r="A3443"/>
      <c r="AC3443"/>
      <c r="AD3443"/>
    </row>
    <row r="3444" spans="1:30" ht="41.45" customHeight="1">
      <c r="A3444"/>
      <c r="AC3444"/>
      <c r="AD3444"/>
    </row>
    <row r="3445" spans="1:30" ht="41.45" customHeight="1">
      <c r="A3445"/>
      <c r="AC3445"/>
      <c r="AD3445"/>
    </row>
    <row r="3446" spans="1:30" ht="41.45" customHeight="1">
      <c r="A3446"/>
      <c r="AC3446"/>
      <c r="AD3446"/>
    </row>
    <row r="3447" spans="1:30" ht="41.45" customHeight="1">
      <c r="A3447"/>
      <c r="AC3447"/>
      <c r="AD3447"/>
    </row>
    <row r="3448" spans="1:30" ht="41.45" customHeight="1">
      <c r="A3448"/>
      <c r="AC3448"/>
      <c r="AD3448"/>
    </row>
    <row r="3449" spans="1:30" ht="41.45" customHeight="1">
      <c r="A3449"/>
      <c r="AC3449"/>
      <c r="AD3449"/>
    </row>
    <row r="3450" spans="1:30" ht="41.45" customHeight="1">
      <c r="A3450"/>
      <c r="AC3450"/>
      <c r="AD3450"/>
    </row>
    <row r="3451" spans="1:30" ht="41.45" customHeight="1">
      <c r="A3451"/>
      <c r="AC3451"/>
      <c r="AD3451"/>
    </row>
    <row r="3452" spans="1:30" ht="41.45" customHeight="1">
      <c r="A3452"/>
      <c r="AC3452"/>
      <c r="AD3452"/>
    </row>
    <row r="3453" spans="1:30" ht="41.45" customHeight="1">
      <c r="A3453"/>
      <c r="AC3453"/>
      <c r="AD3453"/>
    </row>
    <row r="3454" spans="1:30" ht="41.45" customHeight="1">
      <c r="A3454"/>
      <c r="AC3454"/>
      <c r="AD3454"/>
    </row>
    <row r="3455" spans="1:30" ht="41.45" customHeight="1">
      <c r="A3455"/>
      <c r="AC3455"/>
      <c r="AD3455"/>
    </row>
    <row r="3456" spans="1:30" ht="41.45" customHeight="1">
      <c r="A3456"/>
      <c r="AC3456"/>
      <c r="AD3456"/>
    </row>
    <row r="3457" spans="1:30" ht="41.45" customHeight="1">
      <c r="A3457"/>
      <c r="AC3457"/>
      <c r="AD3457"/>
    </row>
    <row r="3458" spans="1:30" ht="41.45" customHeight="1">
      <c r="A3458"/>
      <c r="AC3458"/>
      <c r="AD3458"/>
    </row>
    <row r="3459" spans="1:30" ht="41.45" customHeight="1">
      <c r="A3459"/>
      <c r="AC3459"/>
      <c r="AD3459"/>
    </row>
    <row r="3460" spans="1:30" ht="41.45" customHeight="1">
      <c r="A3460"/>
      <c r="AC3460"/>
      <c r="AD3460"/>
    </row>
    <row r="3461" spans="1:30" ht="41.45" customHeight="1">
      <c r="A3461"/>
      <c r="AC3461"/>
      <c r="AD3461"/>
    </row>
    <row r="3462" spans="1:30" ht="41.45" customHeight="1">
      <c r="A3462"/>
      <c r="AC3462"/>
      <c r="AD3462"/>
    </row>
    <row r="3463" spans="1:30" ht="41.45" customHeight="1">
      <c r="A3463"/>
      <c r="AC3463"/>
      <c r="AD3463"/>
    </row>
    <row r="3464" spans="1:30" ht="41.45" customHeight="1">
      <c r="A3464"/>
      <c r="AC3464"/>
      <c r="AD3464"/>
    </row>
    <row r="3465" spans="1:30" ht="41.45" customHeight="1">
      <c r="A3465"/>
      <c r="AC3465"/>
      <c r="AD3465"/>
    </row>
    <row r="3466" spans="1:30" ht="41.45" customHeight="1">
      <c r="A3466"/>
      <c r="AC3466"/>
      <c r="AD3466"/>
    </row>
    <row r="3467" spans="1:30" ht="41.45" customHeight="1">
      <c r="A3467"/>
      <c r="AC3467"/>
      <c r="AD3467"/>
    </row>
    <row r="3468" spans="1:30" ht="41.45" customHeight="1">
      <c r="A3468"/>
      <c r="AC3468"/>
      <c r="AD3468"/>
    </row>
    <row r="3469" spans="1:30" ht="41.45" customHeight="1">
      <c r="A3469"/>
      <c r="AC3469"/>
      <c r="AD3469"/>
    </row>
    <row r="3470" spans="1:30" ht="41.45" customHeight="1">
      <c r="A3470"/>
      <c r="AC3470"/>
      <c r="AD3470"/>
    </row>
    <row r="3471" spans="1:30" ht="41.45" customHeight="1">
      <c r="A3471"/>
      <c r="AC3471"/>
      <c r="AD3471"/>
    </row>
    <row r="3472" spans="1:30" ht="41.45" customHeight="1">
      <c r="A3472"/>
      <c r="AC3472"/>
      <c r="AD3472"/>
    </row>
    <row r="3473" spans="1:30" ht="41.45" customHeight="1">
      <c r="A3473"/>
      <c r="AC3473"/>
      <c r="AD3473"/>
    </row>
    <row r="3474" spans="1:30" ht="41.45" customHeight="1">
      <c r="A3474"/>
      <c r="AC3474"/>
      <c r="AD3474"/>
    </row>
    <row r="3475" spans="1:30" ht="41.45" customHeight="1">
      <c r="A3475"/>
      <c r="AC3475"/>
      <c r="AD3475"/>
    </row>
    <row r="3476" spans="1:30" ht="41.45" customHeight="1">
      <c r="A3476"/>
      <c r="AC3476"/>
      <c r="AD3476"/>
    </row>
    <row r="3477" spans="1:30" ht="41.45" customHeight="1">
      <c r="A3477"/>
      <c r="AC3477"/>
      <c r="AD3477"/>
    </row>
    <row r="3478" spans="1:30" ht="41.45" customHeight="1">
      <c r="A3478"/>
      <c r="AC3478"/>
      <c r="AD3478"/>
    </row>
    <row r="3479" spans="1:30" ht="41.45" customHeight="1">
      <c r="A3479"/>
      <c r="AC3479"/>
      <c r="AD3479"/>
    </row>
    <row r="3480" spans="1:30" ht="41.45" customHeight="1">
      <c r="A3480"/>
      <c r="AC3480"/>
      <c r="AD3480"/>
    </row>
    <row r="3481" spans="1:30" ht="41.45" customHeight="1">
      <c r="A3481"/>
      <c r="AC3481"/>
      <c r="AD3481"/>
    </row>
    <row r="3482" spans="1:30" ht="41.45" customHeight="1">
      <c r="A3482"/>
      <c r="AC3482"/>
      <c r="AD3482"/>
    </row>
    <row r="3483" spans="1:30" ht="41.45" customHeight="1">
      <c r="A3483"/>
      <c r="AC3483"/>
      <c r="AD3483"/>
    </row>
    <row r="3484" spans="1:30" ht="41.45" customHeight="1">
      <c r="A3484"/>
      <c r="AC3484"/>
      <c r="AD3484"/>
    </row>
    <row r="3485" spans="1:30" ht="41.45" customHeight="1">
      <c r="A3485"/>
      <c r="AC3485"/>
      <c r="AD3485"/>
    </row>
    <row r="3486" spans="1:30" ht="41.45" customHeight="1">
      <c r="A3486"/>
      <c r="AC3486"/>
      <c r="AD3486"/>
    </row>
    <row r="3487" spans="1:30" ht="41.45" customHeight="1">
      <c r="A3487"/>
      <c r="AC3487"/>
      <c r="AD3487"/>
    </row>
    <row r="3488" spans="1:30" ht="41.45" customHeight="1">
      <c r="A3488"/>
      <c r="AC3488"/>
      <c r="AD3488"/>
    </row>
    <row r="3489" spans="1:30" ht="41.45" customHeight="1">
      <c r="A3489"/>
      <c r="AC3489"/>
      <c r="AD3489"/>
    </row>
    <row r="3490" spans="1:30" ht="41.45" customHeight="1">
      <c r="A3490"/>
      <c r="AC3490"/>
      <c r="AD3490"/>
    </row>
    <row r="3491" spans="1:30" ht="41.45" customHeight="1">
      <c r="A3491"/>
      <c r="AC3491"/>
      <c r="AD3491"/>
    </row>
    <row r="3492" spans="1:30" ht="41.45" customHeight="1">
      <c r="A3492"/>
      <c r="AC3492"/>
      <c r="AD3492"/>
    </row>
    <row r="3493" spans="1:30" ht="41.45" customHeight="1">
      <c r="A3493"/>
      <c r="AC3493"/>
      <c r="AD3493"/>
    </row>
    <row r="3494" spans="1:30" ht="41.45" customHeight="1">
      <c r="A3494"/>
      <c r="AC3494"/>
      <c r="AD3494"/>
    </row>
    <row r="3495" spans="1:30" ht="41.45" customHeight="1">
      <c r="A3495"/>
      <c r="AC3495"/>
      <c r="AD3495"/>
    </row>
    <row r="3496" spans="1:30" ht="41.45" customHeight="1">
      <c r="A3496"/>
      <c r="AC3496"/>
      <c r="AD3496"/>
    </row>
    <row r="3497" spans="1:30" ht="41.45" customHeight="1">
      <c r="A3497"/>
      <c r="AC3497"/>
      <c r="AD3497"/>
    </row>
    <row r="3498" spans="1:30" ht="41.45" customHeight="1">
      <c r="A3498"/>
      <c r="AC3498"/>
      <c r="AD3498"/>
    </row>
    <row r="3499" spans="1:30" ht="41.45" customHeight="1">
      <c r="A3499"/>
      <c r="AC3499"/>
      <c r="AD3499"/>
    </row>
    <row r="3500" spans="1:30" ht="41.45" customHeight="1">
      <c r="A3500"/>
      <c r="AC3500"/>
      <c r="AD3500"/>
    </row>
    <row r="3501" spans="1:30" ht="41.45" customHeight="1">
      <c r="A3501"/>
      <c r="AC3501"/>
      <c r="AD3501"/>
    </row>
    <row r="3502" spans="1:30" ht="41.45" customHeight="1">
      <c r="A3502"/>
      <c r="AC3502"/>
      <c r="AD3502"/>
    </row>
    <row r="3503" spans="1:30" ht="41.45" customHeight="1">
      <c r="A3503"/>
      <c r="AC3503"/>
      <c r="AD3503"/>
    </row>
    <row r="3504" spans="1:30" ht="41.45" customHeight="1">
      <c r="A3504"/>
      <c r="AC3504"/>
      <c r="AD3504"/>
    </row>
    <row r="3505" spans="1:30" ht="41.45" customHeight="1">
      <c r="A3505"/>
      <c r="AC3505"/>
      <c r="AD3505"/>
    </row>
    <row r="3506" spans="1:30" ht="41.45" customHeight="1">
      <c r="A3506"/>
      <c r="AC3506"/>
      <c r="AD3506"/>
    </row>
    <row r="3507" spans="1:30" ht="41.45" customHeight="1">
      <c r="A3507"/>
      <c r="AC3507"/>
      <c r="AD3507"/>
    </row>
    <row r="3508" spans="1:30" ht="41.45" customHeight="1">
      <c r="A3508"/>
      <c r="AC3508"/>
      <c r="AD3508"/>
    </row>
    <row r="3509" spans="1:30" ht="41.45" customHeight="1">
      <c r="A3509"/>
      <c r="AC3509"/>
      <c r="AD3509"/>
    </row>
    <row r="3510" spans="1:30" ht="41.45" customHeight="1">
      <c r="A3510"/>
      <c r="AC3510"/>
      <c r="AD3510"/>
    </row>
    <row r="3511" spans="1:30" ht="41.45" customHeight="1">
      <c r="A3511"/>
      <c r="AC3511"/>
      <c r="AD3511"/>
    </row>
    <row r="3512" spans="1:30" ht="41.45" customHeight="1">
      <c r="A3512"/>
      <c r="AC3512"/>
      <c r="AD3512"/>
    </row>
    <row r="3513" spans="1:30" ht="41.45" customHeight="1">
      <c r="A3513"/>
      <c r="AC3513"/>
      <c r="AD3513"/>
    </row>
    <row r="3514" spans="1:30" ht="41.45" customHeight="1">
      <c r="A3514"/>
      <c r="AC3514"/>
      <c r="AD3514"/>
    </row>
    <row r="3515" spans="1:30" ht="41.45" customHeight="1">
      <c r="A3515"/>
      <c r="AC3515"/>
      <c r="AD3515"/>
    </row>
    <row r="3516" spans="1:30" ht="41.45" customHeight="1">
      <c r="A3516"/>
      <c r="AC3516"/>
      <c r="AD3516"/>
    </row>
    <row r="3517" spans="1:30" ht="41.45" customHeight="1">
      <c r="A3517"/>
      <c r="AC3517"/>
      <c r="AD3517"/>
    </row>
    <row r="3518" spans="1:30" ht="41.45" customHeight="1">
      <c r="A3518"/>
      <c r="AC3518"/>
      <c r="AD3518"/>
    </row>
    <row r="3519" spans="1:30" ht="41.45" customHeight="1">
      <c r="A3519"/>
      <c r="AC3519"/>
      <c r="AD3519"/>
    </row>
    <row r="3520" spans="1:30" ht="41.45" customHeight="1">
      <c r="A3520"/>
      <c r="AC3520"/>
      <c r="AD3520"/>
    </row>
    <row r="3521" spans="1:30" ht="41.45" customHeight="1">
      <c r="A3521"/>
      <c r="AC3521"/>
      <c r="AD3521"/>
    </row>
    <row r="3522" spans="1:30" ht="41.45" customHeight="1">
      <c r="A3522"/>
      <c r="AC3522"/>
      <c r="AD3522"/>
    </row>
    <row r="3523" spans="1:30" ht="41.45" customHeight="1">
      <c r="A3523"/>
      <c r="AC3523"/>
      <c r="AD3523"/>
    </row>
    <row r="3524" spans="1:30" ht="41.45" customHeight="1">
      <c r="A3524"/>
      <c r="AC3524"/>
      <c r="AD3524"/>
    </row>
    <row r="3525" spans="1:30" ht="41.45" customHeight="1">
      <c r="A3525"/>
      <c r="AC3525"/>
      <c r="AD3525"/>
    </row>
    <row r="3526" spans="1:30" ht="41.45" customHeight="1">
      <c r="A3526"/>
      <c r="AC3526"/>
      <c r="AD3526"/>
    </row>
    <row r="3527" spans="1:30" ht="41.45" customHeight="1">
      <c r="A3527"/>
      <c r="AC3527"/>
      <c r="AD3527"/>
    </row>
    <row r="3528" spans="1:30" ht="41.45" customHeight="1">
      <c r="A3528"/>
      <c r="AC3528"/>
      <c r="AD3528"/>
    </row>
    <row r="3529" spans="1:30" ht="41.45" customHeight="1">
      <c r="A3529"/>
      <c r="AC3529"/>
      <c r="AD3529"/>
    </row>
    <row r="3530" spans="1:30" ht="41.45" customHeight="1">
      <c r="A3530"/>
      <c r="AC3530"/>
      <c r="AD3530"/>
    </row>
    <row r="3531" spans="1:30" ht="41.45" customHeight="1">
      <c r="A3531"/>
      <c r="AC3531"/>
      <c r="AD3531"/>
    </row>
    <row r="3532" spans="1:30" ht="41.45" customHeight="1">
      <c r="A3532"/>
      <c r="AC3532"/>
      <c r="AD3532"/>
    </row>
    <row r="3533" spans="1:30" ht="41.45" customHeight="1">
      <c r="A3533"/>
      <c r="AC3533"/>
      <c r="AD3533"/>
    </row>
    <row r="3534" spans="1:30" ht="41.45" customHeight="1">
      <c r="A3534"/>
      <c r="AC3534"/>
      <c r="AD3534"/>
    </row>
    <row r="3535" spans="1:30" ht="41.45" customHeight="1">
      <c r="A3535"/>
      <c r="AC3535"/>
      <c r="AD3535"/>
    </row>
    <row r="3536" spans="1:30" ht="41.45" customHeight="1">
      <c r="A3536"/>
      <c r="AC3536"/>
      <c r="AD3536"/>
    </row>
    <row r="3537" spans="1:30" ht="41.45" customHeight="1">
      <c r="A3537"/>
      <c r="AC3537"/>
      <c r="AD3537"/>
    </row>
    <row r="3538" spans="1:30" ht="41.45" customHeight="1">
      <c r="A3538"/>
      <c r="AC3538"/>
      <c r="AD3538"/>
    </row>
    <row r="3539" spans="1:30" ht="41.45" customHeight="1">
      <c r="A3539"/>
      <c r="AC3539"/>
      <c r="AD3539"/>
    </row>
    <row r="3540" spans="1:30" ht="41.45" customHeight="1">
      <c r="A3540"/>
      <c r="AC3540"/>
      <c r="AD3540"/>
    </row>
    <row r="3541" spans="1:30" ht="41.45" customHeight="1">
      <c r="A3541"/>
      <c r="AC3541"/>
      <c r="AD3541"/>
    </row>
    <row r="3542" spans="1:30" ht="41.45" customHeight="1">
      <c r="A3542"/>
      <c r="AC3542"/>
      <c r="AD3542"/>
    </row>
    <row r="3543" spans="1:30" ht="41.45" customHeight="1">
      <c r="A3543"/>
      <c r="AC3543"/>
      <c r="AD3543"/>
    </row>
    <row r="3544" spans="1:30" ht="41.45" customHeight="1">
      <c r="A3544"/>
      <c r="AC3544"/>
      <c r="AD3544"/>
    </row>
    <row r="3545" spans="1:30" ht="41.45" customHeight="1">
      <c r="A3545"/>
      <c r="AC3545"/>
      <c r="AD3545"/>
    </row>
    <row r="3546" spans="1:30" ht="41.45" customHeight="1">
      <c r="A3546"/>
      <c r="AC3546"/>
      <c r="AD3546"/>
    </row>
    <row r="3547" spans="1:30" ht="41.45" customHeight="1">
      <c r="A3547"/>
      <c r="AC3547"/>
      <c r="AD3547"/>
    </row>
    <row r="3548" spans="1:30" ht="41.45" customHeight="1">
      <c r="A3548"/>
      <c r="AC3548"/>
      <c r="AD3548"/>
    </row>
    <row r="3549" spans="1:30" ht="41.45" customHeight="1">
      <c r="A3549"/>
      <c r="AC3549"/>
      <c r="AD3549"/>
    </row>
    <row r="3550" spans="1:30" ht="41.45" customHeight="1">
      <c r="A3550"/>
      <c r="AC3550"/>
      <c r="AD3550"/>
    </row>
    <row r="3551" spans="1:30" ht="41.45" customHeight="1">
      <c r="A3551"/>
      <c r="AC3551"/>
      <c r="AD3551"/>
    </row>
    <row r="3552" spans="1:30" ht="41.45" customHeight="1">
      <c r="A3552"/>
      <c r="AC3552"/>
      <c r="AD3552"/>
    </row>
    <row r="3553" spans="1:30" ht="41.45" customHeight="1">
      <c r="A3553"/>
      <c r="AC3553"/>
      <c r="AD3553"/>
    </row>
    <row r="3554" spans="1:30" ht="41.45" customHeight="1">
      <c r="A3554"/>
      <c r="AC3554"/>
      <c r="AD3554"/>
    </row>
    <row r="3555" spans="1:30" ht="41.45" customHeight="1">
      <c r="A3555"/>
      <c r="AC3555"/>
      <c r="AD3555"/>
    </row>
    <row r="3556" spans="1:30" ht="41.45" customHeight="1">
      <c r="A3556"/>
      <c r="AC3556"/>
      <c r="AD3556"/>
    </row>
    <row r="3557" spans="1:30" ht="41.45" customHeight="1">
      <c r="A3557"/>
      <c r="AC3557"/>
      <c r="AD3557"/>
    </row>
    <row r="3558" spans="1:30" ht="41.45" customHeight="1">
      <c r="A3558"/>
      <c r="AC3558"/>
      <c r="AD3558"/>
    </row>
    <row r="3559" spans="1:30" ht="41.45" customHeight="1">
      <c r="A3559"/>
      <c r="AC3559"/>
      <c r="AD3559"/>
    </row>
    <row r="3560" spans="1:30" ht="41.45" customHeight="1">
      <c r="A3560"/>
      <c r="AC3560"/>
      <c r="AD3560"/>
    </row>
    <row r="3561" spans="1:30" ht="41.45" customHeight="1">
      <c r="A3561"/>
      <c r="AC3561"/>
      <c r="AD3561"/>
    </row>
    <row r="3562" spans="1:30" ht="41.45" customHeight="1">
      <c r="A3562"/>
      <c r="AC3562"/>
      <c r="AD3562"/>
    </row>
    <row r="3563" spans="1:30" ht="41.45" customHeight="1">
      <c r="A3563"/>
      <c r="AC3563"/>
      <c r="AD3563"/>
    </row>
    <row r="3564" spans="1:30" ht="41.45" customHeight="1">
      <c r="A3564"/>
      <c r="AC3564"/>
      <c r="AD3564"/>
    </row>
    <row r="3565" spans="1:30" ht="41.45" customHeight="1">
      <c r="A3565"/>
      <c r="AC3565"/>
      <c r="AD3565"/>
    </row>
    <row r="3566" spans="1:30" ht="41.45" customHeight="1">
      <c r="A3566"/>
      <c r="AC3566"/>
      <c r="AD3566"/>
    </row>
    <row r="3567" spans="1:30" ht="41.45" customHeight="1">
      <c r="A3567"/>
      <c r="AC3567"/>
      <c r="AD3567"/>
    </row>
    <row r="3568" spans="1:30" ht="41.45" customHeight="1">
      <c r="A3568"/>
      <c r="AC3568"/>
      <c r="AD3568"/>
    </row>
    <row r="3569" spans="1:30" ht="41.45" customHeight="1">
      <c r="A3569"/>
      <c r="AC3569"/>
      <c r="AD3569"/>
    </row>
    <row r="3570" spans="1:30" ht="41.45" customHeight="1">
      <c r="A3570"/>
      <c r="AC3570"/>
      <c r="AD3570"/>
    </row>
    <row r="3571" spans="1:30" ht="41.45" customHeight="1">
      <c r="A3571"/>
      <c r="AC3571"/>
      <c r="AD3571"/>
    </row>
    <row r="3572" spans="1:30" ht="41.45" customHeight="1">
      <c r="A3572"/>
      <c r="AC3572"/>
      <c r="AD3572"/>
    </row>
    <row r="3573" spans="1:30" ht="41.45" customHeight="1">
      <c r="A3573"/>
      <c r="AC3573"/>
      <c r="AD3573"/>
    </row>
    <row r="3574" spans="1:30" ht="41.45" customHeight="1">
      <c r="A3574"/>
      <c r="AC3574"/>
      <c r="AD3574"/>
    </row>
    <row r="3575" spans="1:30" ht="41.45" customHeight="1">
      <c r="A3575"/>
      <c r="AC3575"/>
      <c r="AD3575"/>
    </row>
    <row r="3576" spans="1:30" ht="41.45" customHeight="1">
      <c r="A3576"/>
      <c r="AC3576"/>
      <c r="AD3576"/>
    </row>
    <row r="3577" spans="1:30" ht="41.45" customHeight="1">
      <c r="A3577"/>
      <c r="AC3577"/>
      <c r="AD3577"/>
    </row>
    <row r="3578" spans="1:30" ht="41.45" customHeight="1">
      <c r="A3578"/>
      <c r="AC3578"/>
      <c r="AD3578"/>
    </row>
    <row r="3579" spans="1:30" ht="41.45" customHeight="1">
      <c r="A3579"/>
      <c r="AC3579"/>
      <c r="AD3579"/>
    </row>
    <row r="3580" spans="1:30" ht="41.45" customHeight="1">
      <c r="A3580"/>
      <c r="AC3580"/>
      <c r="AD3580"/>
    </row>
    <row r="3581" spans="1:30" ht="41.45" customHeight="1">
      <c r="A3581"/>
      <c r="AC3581"/>
      <c r="AD3581"/>
    </row>
    <row r="3582" spans="1:30" ht="41.45" customHeight="1">
      <c r="A3582"/>
      <c r="AC3582"/>
      <c r="AD3582"/>
    </row>
    <row r="3583" spans="1:30" ht="41.45" customHeight="1">
      <c r="A3583"/>
      <c r="AC3583"/>
      <c r="AD3583"/>
    </row>
    <row r="3584" spans="1:30" ht="41.45" customHeight="1">
      <c r="A3584"/>
      <c r="AC3584"/>
      <c r="AD3584"/>
    </row>
    <row r="3585" spans="1:30" ht="41.45" customHeight="1">
      <c r="A3585"/>
      <c r="AC3585"/>
      <c r="AD3585"/>
    </row>
    <row r="3586" spans="1:30" ht="41.45" customHeight="1">
      <c r="A3586"/>
      <c r="AC3586"/>
      <c r="AD3586"/>
    </row>
    <row r="3587" spans="1:30" ht="41.45" customHeight="1">
      <c r="A3587"/>
      <c r="AC3587"/>
      <c r="AD3587"/>
    </row>
    <row r="3588" spans="1:30" ht="41.45" customHeight="1">
      <c r="A3588"/>
      <c r="AC3588"/>
      <c r="AD3588"/>
    </row>
    <row r="3589" spans="1:30" ht="41.45" customHeight="1">
      <c r="A3589"/>
      <c r="AC3589"/>
      <c r="AD3589"/>
    </row>
    <row r="3590" spans="1:30" ht="41.45" customHeight="1">
      <c r="A3590"/>
      <c r="AC3590"/>
      <c r="AD3590"/>
    </row>
    <row r="3591" spans="1:30" ht="41.45" customHeight="1">
      <c r="A3591"/>
      <c r="AC3591"/>
      <c r="AD3591"/>
    </row>
    <row r="3592" spans="1:30" ht="41.45" customHeight="1">
      <c r="A3592"/>
      <c r="AC3592"/>
      <c r="AD3592"/>
    </row>
    <row r="3593" spans="1:30" ht="41.45" customHeight="1">
      <c r="A3593"/>
      <c r="AC3593"/>
      <c r="AD3593"/>
    </row>
    <row r="3594" spans="1:30" ht="41.45" customHeight="1">
      <c r="A3594"/>
      <c r="AC3594"/>
      <c r="AD3594"/>
    </row>
    <row r="3595" spans="1:30" ht="41.45" customHeight="1">
      <c r="A3595"/>
      <c r="AC3595"/>
      <c r="AD3595"/>
    </row>
    <row r="3596" spans="1:30" ht="41.45" customHeight="1">
      <c r="A3596"/>
      <c r="AC3596"/>
      <c r="AD3596"/>
    </row>
    <row r="3597" spans="1:30" ht="41.45" customHeight="1">
      <c r="A3597"/>
      <c r="AC3597"/>
      <c r="AD3597"/>
    </row>
    <row r="3598" spans="1:30" ht="41.45" customHeight="1">
      <c r="A3598"/>
      <c r="AC3598"/>
      <c r="AD3598"/>
    </row>
    <row r="3599" spans="1:30" ht="41.45" customHeight="1">
      <c r="A3599"/>
      <c r="AC3599"/>
      <c r="AD3599"/>
    </row>
    <row r="3600" spans="1:30" ht="41.45" customHeight="1">
      <c r="A3600"/>
      <c r="AC3600"/>
      <c r="AD3600"/>
    </row>
    <row r="3601" spans="1:30" ht="41.45" customHeight="1">
      <c r="A3601"/>
      <c r="AC3601"/>
      <c r="AD3601"/>
    </row>
    <row r="3602" spans="1:30" ht="41.45" customHeight="1">
      <c r="A3602"/>
      <c r="AC3602"/>
      <c r="AD3602"/>
    </row>
    <row r="3603" spans="1:30" ht="41.45" customHeight="1">
      <c r="A3603"/>
      <c r="AC3603"/>
      <c r="AD3603"/>
    </row>
    <row r="3604" spans="1:30" ht="41.45" customHeight="1">
      <c r="A3604"/>
      <c r="AC3604"/>
      <c r="AD3604"/>
    </row>
    <row r="3605" spans="1:30" ht="41.45" customHeight="1">
      <c r="A3605"/>
      <c r="AC3605"/>
      <c r="AD3605"/>
    </row>
    <row r="3606" spans="1:30" ht="41.45" customHeight="1">
      <c r="A3606"/>
      <c r="AC3606"/>
      <c r="AD3606"/>
    </row>
    <row r="3607" spans="1:30" ht="41.45" customHeight="1">
      <c r="A3607"/>
      <c r="AC3607"/>
      <c r="AD3607"/>
    </row>
    <row r="3608" spans="1:30" ht="41.45" customHeight="1">
      <c r="A3608"/>
      <c r="AC3608"/>
      <c r="AD3608"/>
    </row>
    <row r="3609" spans="1:30" ht="41.45" customHeight="1">
      <c r="A3609"/>
      <c r="AC3609"/>
      <c r="AD3609"/>
    </row>
    <row r="3610" spans="1:30" ht="41.45" customHeight="1">
      <c r="A3610"/>
      <c r="AC3610"/>
      <c r="AD3610"/>
    </row>
    <row r="3611" spans="1:30" ht="41.45" customHeight="1">
      <c r="A3611"/>
      <c r="AC3611"/>
      <c r="AD3611"/>
    </row>
    <row r="3612" spans="1:30" ht="41.45" customHeight="1">
      <c r="A3612"/>
      <c r="AC3612"/>
      <c r="AD3612"/>
    </row>
    <row r="3613" spans="1:30" ht="41.45" customHeight="1">
      <c r="A3613"/>
      <c r="AC3613"/>
      <c r="AD3613"/>
    </row>
    <row r="3614" spans="1:30" ht="41.45" customHeight="1">
      <c r="A3614"/>
      <c r="AC3614"/>
      <c r="AD3614"/>
    </row>
    <row r="3615" spans="1:30" ht="41.45" customHeight="1">
      <c r="A3615"/>
      <c r="AC3615"/>
      <c r="AD3615"/>
    </row>
    <row r="3616" spans="1:30" ht="41.45" customHeight="1">
      <c r="A3616"/>
      <c r="AC3616"/>
      <c r="AD3616"/>
    </row>
    <row r="3617" spans="1:30" ht="41.45" customHeight="1">
      <c r="A3617"/>
      <c r="AC3617"/>
      <c r="AD3617"/>
    </row>
    <row r="3618" spans="1:30" ht="41.45" customHeight="1">
      <c r="A3618"/>
      <c r="AC3618"/>
      <c r="AD3618"/>
    </row>
    <row r="3619" spans="1:30" ht="41.45" customHeight="1">
      <c r="A3619"/>
      <c r="AC3619"/>
      <c r="AD3619"/>
    </row>
    <row r="3620" spans="1:30" ht="41.45" customHeight="1">
      <c r="A3620"/>
      <c r="AC3620"/>
      <c r="AD3620"/>
    </row>
    <row r="3621" spans="1:30" ht="41.45" customHeight="1">
      <c r="A3621"/>
      <c r="AC3621"/>
      <c r="AD3621"/>
    </row>
    <row r="3622" spans="1:30" ht="41.45" customHeight="1">
      <c r="A3622"/>
      <c r="AC3622"/>
      <c r="AD3622"/>
    </row>
    <row r="3623" spans="1:30" ht="41.45" customHeight="1">
      <c r="A3623"/>
      <c r="AC3623"/>
      <c r="AD3623"/>
    </row>
    <row r="3624" spans="1:30" ht="41.45" customHeight="1">
      <c r="A3624"/>
      <c r="AC3624"/>
      <c r="AD3624"/>
    </row>
    <row r="3625" spans="1:30" ht="41.45" customHeight="1">
      <c r="A3625"/>
      <c r="AC3625"/>
      <c r="AD3625"/>
    </row>
    <row r="3626" spans="1:30" ht="41.45" customHeight="1">
      <c r="A3626"/>
      <c r="AC3626"/>
      <c r="AD3626"/>
    </row>
    <row r="3627" spans="1:30" ht="41.45" customHeight="1">
      <c r="A3627"/>
      <c r="AC3627"/>
      <c r="AD3627"/>
    </row>
    <row r="3628" spans="1:30" ht="41.45" customHeight="1">
      <c r="A3628"/>
      <c r="AC3628"/>
      <c r="AD3628"/>
    </row>
    <row r="3629" spans="1:30" ht="41.45" customHeight="1">
      <c r="A3629"/>
      <c r="AC3629"/>
      <c r="AD3629"/>
    </row>
    <row r="3630" spans="1:30" ht="41.45" customHeight="1">
      <c r="A3630"/>
      <c r="AC3630"/>
      <c r="AD3630"/>
    </row>
    <row r="3631" spans="1:30" ht="41.45" customHeight="1">
      <c r="A3631"/>
      <c r="AC3631"/>
      <c r="AD3631"/>
    </row>
    <row r="3632" spans="1:30" ht="41.45" customHeight="1">
      <c r="A3632"/>
      <c r="AC3632"/>
      <c r="AD3632"/>
    </row>
    <row r="3633" spans="1:30" ht="41.45" customHeight="1">
      <c r="A3633"/>
      <c r="AC3633"/>
      <c r="AD3633"/>
    </row>
    <row r="3634" spans="1:30" ht="41.45" customHeight="1">
      <c r="A3634"/>
      <c r="AC3634"/>
      <c r="AD3634"/>
    </row>
    <row r="3635" spans="1:30" ht="41.45" customHeight="1">
      <c r="A3635"/>
      <c r="AC3635"/>
      <c r="AD3635"/>
    </row>
    <row r="3636" spans="1:30" ht="41.45" customHeight="1">
      <c r="A3636"/>
      <c r="AC3636"/>
      <c r="AD3636"/>
    </row>
    <row r="3637" spans="1:30" ht="41.45" customHeight="1">
      <c r="A3637"/>
      <c r="AC3637"/>
      <c r="AD3637"/>
    </row>
    <row r="3638" spans="1:30" ht="41.45" customHeight="1">
      <c r="A3638"/>
      <c r="AC3638"/>
      <c r="AD3638"/>
    </row>
    <row r="3639" spans="1:30" ht="41.45" customHeight="1">
      <c r="A3639"/>
      <c r="AC3639"/>
      <c r="AD3639"/>
    </row>
    <row r="3640" spans="1:30" ht="41.45" customHeight="1">
      <c r="A3640"/>
      <c r="AC3640"/>
      <c r="AD3640"/>
    </row>
    <row r="3641" spans="1:30" ht="41.45" customHeight="1">
      <c r="A3641"/>
      <c r="AC3641"/>
      <c r="AD3641"/>
    </row>
    <row r="3642" spans="1:30" ht="41.45" customHeight="1">
      <c r="A3642"/>
      <c r="AC3642"/>
      <c r="AD3642"/>
    </row>
    <row r="3643" spans="1:30" ht="41.45" customHeight="1">
      <c r="A3643"/>
      <c r="AC3643"/>
      <c r="AD3643"/>
    </row>
    <row r="3644" spans="1:30" ht="41.45" customHeight="1">
      <c r="A3644"/>
      <c r="AC3644"/>
      <c r="AD3644"/>
    </row>
    <row r="3645" spans="1:30" ht="41.45" customHeight="1">
      <c r="A3645"/>
      <c r="AC3645"/>
      <c r="AD3645"/>
    </row>
    <row r="3646" spans="1:30" ht="41.45" customHeight="1">
      <c r="A3646"/>
      <c r="AC3646"/>
      <c r="AD3646"/>
    </row>
    <row r="3647" spans="1:30" ht="41.45" customHeight="1">
      <c r="A3647"/>
      <c r="AC3647"/>
      <c r="AD3647"/>
    </row>
    <row r="3648" spans="1:30" ht="41.45" customHeight="1">
      <c r="A3648"/>
      <c r="AC3648"/>
      <c r="AD3648"/>
    </row>
    <row r="3649" spans="1:30" ht="41.45" customHeight="1">
      <c r="A3649"/>
      <c r="AC3649"/>
      <c r="AD3649"/>
    </row>
    <row r="3650" spans="1:30" ht="41.45" customHeight="1">
      <c r="A3650"/>
      <c r="AC3650"/>
      <c r="AD3650"/>
    </row>
    <row r="3651" spans="1:30" ht="41.45" customHeight="1">
      <c r="A3651"/>
      <c r="AC3651"/>
      <c r="AD3651"/>
    </row>
    <row r="3652" spans="1:30" ht="41.45" customHeight="1">
      <c r="A3652"/>
      <c r="AC3652"/>
      <c r="AD3652"/>
    </row>
    <row r="3653" spans="1:30" ht="41.45" customHeight="1">
      <c r="A3653"/>
      <c r="AC3653"/>
      <c r="AD3653"/>
    </row>
    <row r="3654" spans="1:30" ht="41.45" customHeight="1">
      <c r="A3654"/>
      <c r="AC3654"/>
      <c r="AD3654"/>
    </row>
    <row r="3655" spans="1:30" ht="41.45" customHeight="1">
      <c r="A3655"/>
      <c r="AC3655"/>
      <c r="AD3655"/>
    </row>
    <row r="3656" spans="1:30" ht="41.45" customHeight="1">
      <c r="A3656"/>
      <c r="AC3656"/>
      <c r="AD3656"/>
    </row>
    <row r="3657" spans="1:30" ht="41.45" customHeight="1">
      <c r="A3657"/>
      <c r="AC3657"/>
      <c r="AD3657"/>
    </row>
    <row r="3658" spans="1:30" ht="41.45" customHeight="1">
      <c r="A3658"/>
      <c r="AC3658"/>
      <c r="AD3658"/>
    </row>
    <row r="3659" spans="1:30" ht="41.45" customHeight="1">
      <c r="A3659"/>
      <c r="AC3659"/>
      <c r="AD3659"/>
    </row>
    <row r="3660" spans="1:30" ht="41.45" customHeight="1">
      <c r="A3660"/>
      <c r="AC3660"/>
      <c r="AD3660"/>
    </row>
    <row r="3661" spans="1:30" ht="41.45" customHeight="1">
      <c r="A3661"/>
      <c r="AC3661"/>
      <c r="AD3661"/>
    </row>
    <row r="3662" spans="1:30" ht="41.45" customHeight="1">
      <c r="A3662"/>
      <c r="AC3662"/>
      <c r="AD3662"/>
    </row>
    <row r="3663" spans="1:30" ht="41.45" customHeight="1">
      <c r="A3663"/>
      <c r="AC3663"/>
      <c r="AD3663"/>
    </row>
    <row r="3664" spans="1:30" ht="41.45" customHeight="1">
      <c r="A3664"/>
      <c r="AC3664"/>
      <c r="AD3664"/>
    </row>
    <row r="3665" spans="1:30" ht="41.45" customHeight="1">
      <c r="A3665"/>
      <c r="AC3665"/>
      <c r="AD3665"/>
    </row>
    <row r="3666" spans="1:30" ht="41.45" customHeight="1">
      <c r="A3666"/>
      <c r="AC3666"/>
      <c r="AD3666"/>
    </row>
    <row r="3667" spans="1:30" ht="41.45" customHeight="1">
      <c r="A3667"/>
      <c r="AC3667"/>
      <c r="AD3667"/>
    </row>
    <row r="3668" spans="1:30" ht="41.45" customHeight="1">
      <c r="A3668"/>
      <c r="AC3668"/>
      <c r="AD3668"/>
    </row>
    <row r="3669" spans="1:30" ht="41.45" customHeight="1">
      <c r="A3669"/>
      <c r="AC3669"/>
      <c r="AD3669"/>
    </row>
    <row r="3670" spans="1:30" ht="41.45" customHeight="1">
      <c r="A3670"/>
      <c r="AC3670"/>
      <c r="AD3670"/>
    </row>
    <row r="3671" spans="1:30" ht="41.45" customHeight="1">
      <c r="A3671"/>
      <c r="AC3671"/>
      <c r="AD3671"/>
    </row>
    <row r="3672" spans="1:30" ht="41.45" customHeight="1">
      <c r="A3672"/>
      <c r="AC3672"/>
      <c r="AD3672"/>
    </row>
    <row r="3673" spans="1:30" ht="41.45" customHeight="1">
      <c r="A3673"/>
      <c r="AC3673"/>
      <c r="AD3673"/>
    </row>
    <row r="3674" spans="1:30" ht="41.45" customHeight="1">
      <c r="A3674"/>
      <c r="AC3674"/>
      <c r="AD3674"/>
    </row>
    <row r="3675" spans="1:30" ht="41.45" customHeight="1">
      <c r="A3675"/>
      <c r="AC3675"/>
      <c r="AD3675"/>
    </row>
    <row r="3676" spans="1:30" ht="41.45" customHeight="1">
      <c r="A3676"/>
      <c r="AC3676"/>
      <c r="AD3676"/>
    </row>
    <row r="3677" spans="1:30" ht="41.45" customHeight="1">
      <c r="A3677"/>
      <c r="AC3677"/>
      <c r="AD3677"/>
    </row>
    <row r="3678" spans="1:30" ht="41.45" customHeight="1">
      <c r="A3678"/>
      <c r="AC3678"/>
      <c r="AD3678"/>
    </row>
    <row r="3679" spans="1:30" ht="41.45" customHeight="1">
      <c r="A3679"/>
      <c r="AC3679"/>
      <c r="AD3679"/>
    </row>
    <row r="3680" spans="1:30" ht="41.45" customHeight="1">
      <c r="A3680"/>
      <c r="AC3680"/>
      <c r="AD3680"/>
    </row>
    <row r="3681" spans="1:30" ht="41.45" customHeight="1">
      <c r="A3681"/>
      <c r="AC3681"/>
      <c r="AD3681"/>
    </row>
    <row r="3682" spans="1:30" ht="41.45" customHeight="1">
      <c r="A3682"/>
      <c r="AC3682"/>
      <c r="AD3682"/>
    </row>
    <row r="3683" spans="1:30" ht="41.45" customHeight="1">
      <c r="A3683"/>
      <c r="AC3683"/>
      <c r="AD3683"/>
    </row>
    <row r="3684" spans="1:30" ht="41.45" customHeight="1">
      <c r="A3684"/>
      <c r="AC3684"/>
      <c r="AD3684"/>
    </row>
    <row r="3685" spans="1:30" ht="41.45" customHeight="1">
      <c r="A3685"/>
      <c r="AC3685"/>
      <c r="AD3685"/>
    </row>
    <row r="3686" spans="1:30" ht="41.45" customHeight="1">
      <c r="A3686"/>
      <c r="AC3686"/>
      <c r="AD3686"/>
    </row>
    <row r="3687" spans="1:30" ht="41.45" customHeight="1">
      <c r="A3687"/>
      <c r="AC3687"/>
      <c r="AD3687"/>
    </row>
    <row r="3688" spans="1:30" ht="41.45" customHeight="1">
      <c r="A3688"/>
      <c r="AC3688"/>
      <c r="AD3688"/>
    </row>
    <row r="3689" spans="1:30" ht="41.45" customHeight="1">
      <c r="A3689"/>
      <c r="AC3689"/>
      <c r="AD3689"/>
    </row>
    <row r="3690" spans="1:30" ht="41.45" customHeight="1">
      <c r="A3690"/>
      <c r="AC3690"/>
      <c r="AD3690"/>
    </row>
    <row r="3691" spans="1:30" ht="41.45" customHeight="1">
      <c r="A3691"/>
      <c r="AC3691"/>
      <c r="AD3691"/>
    </row>
    <row r="3692" spans="1:30" ht="41.45" customHeight="1">
      <c r="A3692"/>
      <c r="AC3692"/>
      <c r="AD3692"/>
    </row>
    <row r="3693" spans="1:30" ht="41.45" customHeight="1">
      <c r="A3693"/>
      <c r="AC3693"/>
      <c r="AD3693"/>
    </row>
    <row r="3694" spans="1:30" ht="41.45" customHeight="1">
      <c r="A3694"/>
      <c r="AC3694"/>
      <c r="AD3694"/>
    </row>
    <row r="3695" spans="1:30" ht="41.45" customHeight="1">
      <c r="A3695"/>
      <c r="AC3695"/>
      <c r="AD3695"/>
    </row>
    <row r="3696" spans="1:30" ht="41.45" customHeight="1">
      <c r="A3696"/>
      <c r="AC3696"/>
      <c r="AD3696"/>
    </row>
    <row r="3697" spans="1:30" ht="41.45" customHeight="1">
      <c r="A3697"/>
      <c r="AC3697"/>
      <c r="AD3697"/>
    </row>
    <row r="3698" spans="1:30" ht="41.45" customHeight="1">
      <c r="A3698"/>
      <c r="AC3698"/>
      <c r="AD3698"/>
    </row>
    <row r="3699" spans="1:30" ht="41.45" customHeight="1">
      <c r="A3699"/>
      <c r="AC3699"/>
      <c r="AD3699"/>
    </row>
    <row r="3700" spans="1:30" ht="41.45" customHeight="1">
      <c r="A3700"/>
      <c r="AC3700"/>
      <c r="AD3700"/>
    </row>
    <row r="3701" spans="1:30" ht="41.45" customHeight="1">
      <c r="A3701"/>
      <c r="AC3701"/>
      <c r="AD3701"/>
    </row>
    <row r="3702" spans="1:30" ht="41.45" customHeight="1">
      <c r="A3702"/>
      <c r="AC3702"/>
      <c r="AD3702"/>
    </row>
    <row r="3703" spans="1:30" ht="41.45" customHeight="1">
      <c r="A3703"/>
      <c r="AC3703"/>
      <c r="AD3703"/>
    </row>
    <row r="3704" spans="1:30" ht="41.45" customHeight="1">
      <c r="A3704"/>
      <c r="AC3704"/>
      <c r="AD3704"/>
    </row>
    <row r="3705" spans="1:30" ht="41.45" customHeight="1">
      <c r="A3705"/>
      <c r="AC3705"/>
      <c r="AD3705"/>
    </row>
    <row r="3706" spans="1:30" ht="41.45" customHeight="1">
      <c r="A3706"/>
      <c r="AC3706"/>
      <c r="AD3706"/>
    </row>
    <row r="3707" spans="1:30" ht="41.45" customHeight="1">
      <c r="A3707"/>
      <c r="AC3707"/>
      <c r="AD3707"/>
    </row>
    <row r="3708" spans="1:30" ht="41.45" customHeight="1">
      <c r="A3708"/>
      <c r="AC3708"/>
      <c r="AD3708"/>
    </row>
    <row r="3709" spans="1:30" ht="41.45" customHeight="1">
      <c r="A3709"/>
      <c r="AC3709"/>
      <c r="AD3709"/>
    </row>
    <row r="3710" spans="1:30" ht="41.45" customHeight="1">
      <c r="A3710"/>
      <c r="AC3710"/>
      <c r="AD3710"/>
    </row>
    <row r="3711" spans="1:30" ht="41.45" customHeight="1">
      <c r="A3711"/>
      <c r="AC3711"/>
      <c r="AD3711"/>
    </row>
    <row r="3712" spans="1:30" ht="41.45" customHeight="1">
      <c r="A3712"/>
      <c r="AC3712"/>
      <c r="AD3712"/>
    </row>
    <row r="3713" spans="1:30" ht="41.45" customHeight="1">
      <c r="A3713"/>
      <c r="AC3713"/>
      <c r="AD3713"/>
    </row>
    <row r="3714" spans="1:30" ht="41.45" customHeight="1">
      <c r="A3714"/>
      <c r="AC3714"/>
      <c r="AD3714"/>
    </row>
    <row r="3715" spans="1:30" ht="41.45" customHeight="1">
      <c r="A3715"/>
      <c r="AC3715"/>
      <c r="AD3715"/>
    </row>
    <row r="3716" spans="1:30" ht="41.45" customHeight="1">
      <c r="A3716"/>
      <c r="AC3716"/>
      <c r="AD3716"/>
    </row>
    <row r="3717" spans="1:30" ht="41.45" customHeight="1">
      <c r="A3717"/>
      <c r="AC3717"/>
      <c r="AD3717"/>
    </row>
    <row r="3718" spans="1:30" ht="41.45" customHeight="1">
      <c r="A3718"/>
      <c r="AC3718"/>
      <c r="AD3718"/>
    </row>
    <row r="3719" spans="1:30" ht="41.45" customHeight="1">
      <c r="A3719"/>
      <c r="AC3719"/>
      <c r="AD3719"/>
    </row>
    <row r="3720" spans="1:30" ht="41.45" customHeight="1">
      <c r="A3720"/>
      <c r="AC3720"/>
      <c r="AD3720"/>
    </row>
    <row r="3721" spans="1:30" ht="41.45" customHeight="1">
      <c r="A3721"/>
      <c r="AC3721"/>
      <c r="AD3721"/>
    </row>
    <row r="3722" spans="1:30" ht="41.45" customHeight="1">
      <c r="A3722"/>
      <c r="AC3722"/>
      <c r="AD3722"/>
    </row>
    <row r="3723" spans="1:30" ht="41.45" customHeight="1">
      <c r="A3723"/>
      <c r="AC3723"/>
      <c r="AD3723"/>
    </row>
    <row r="3724" spans="1:30" ht="41.45" customHeight="1">
      <c r="A3724"/>
      <c r="AC3724"/>
      <c r="AD3724"/>
    </row>
    <row r="3725" spans="1:30" ht="41.45" customHeight="1">
      <c r="A3725"/>
      <c r="AC3725"/>
      <c r="AD3725"/>
    </row>
    <row r="3726" spans="1:30" ht="41.45" customHeight="1">
      <c r="A3726"/>
      <c r="AC3726"/>
      <c r="AD3726"/>
    </row>
    <row r="3727" spans="1:30" ht="41.45" customHeight="1">
      <c r="A3727"/>
      <c r="AC3727"/>
      <c r="AD3727"/>
    </row>
    <row r="3728" spans="1:30" ht="41.45" customHeight="1">
      <c r="A3728"/>
      <c r="AC3728"/>
      <c r="AD3728"/>
    </row>
    <row r="3729" spans="1:30" ht="41.45" customHeight="1">
      <c r="A3729"/>
      <c r="AC3729"/>
      <c r="AD3729"/>
    </row>
    <row r="3730" spans="1:30" ht="41.45" customHeight="1">
      <c r="A3730"/>
      <c r="AC3730"/>
      <c r="AD3730"/>
    </row>
    <row r="3731" spans="1:30" ht="41.45" customHeight="1">
      <c r="A3731"/>
      <c r="AC3731"/>
      <c r="AD3731"/>
    </row>
    <row r="3732" spans="1:30" ht="41.45" customHeight="1">
      <c r="A3732"/>
      <c r="AC3732"/>
      <c r="AD3732"/>
    </row>
    <row r="3733" spans="1:30" ht="41.45" customHeight="1">
      <c r="A3733"/>
      <c r="AC3733"/>
      <c r="AD3733"/>
    </row>
    <row r="3734" spans="1:30" ht="41.45" customHeight="1">
      <c r="A3734"/>
      <c r="AC3734"/>
      <c r="AD3734"/>
    </row>
    <row r="3735" spans="1:30" ht="41.45" customHeight="1">
      <c r="A3735"/>
      <c r="AC3735"/>
      <c r="AD3735"/>
    </row>
    <row r="3736" spans="1:30" ht="41.45" customHeight="1">
      <c r="A3736"/>
      <c r="AC3736"/>
      <c r="AD3736"/>
    </row>
    <row r="3737" spans="1:30" ht="41.45" customHeight="1">
      <c r="A3737"/>
      <c r="AC3737"/>
      <c r="AD3737"/>
    </row>
    <row r="3738" spans="1:30" ht="41.45" customHeight="1">
      <c r="A3738"/>
      <c r="AC3738"/>
      <c r="AD3738"/>
    </row>
    <row r="3739" spans="1:30" ht="41.45" customHeight="1">
      <c r="A3739"/>
      <c r="AC3739"/>
      <c r="AD3739"/>
    </row>
    <row r="3740" spans="1:30" ht="41.45" customHeight="1">
      <c r="A3740"/>
      <c r="AC3740"/>
      <c r="AD3740"/>
    </row>
    <row r="3741" spans="1:30" ht="41.45" customHeight="1">
      <c r="A3741"/>
      <c r="AC3741"/>
      <c r="AD3741"/>
    </row>
    <row r="3742" spans="1:30" ht="41.45" customHeight="1">
      <c r="A3742"/>
      <c r="AC3742"/>
      <c r="AD3742"/>
    </row>
    <row r="3743" spans="1:30" ht="41.45" customHeight="1">
      <c r="A3743"/>
      <c r="AC3743"/>
      <c r="AD3743"/>
    </row>
    <row r="3744" spans="1:30" ht="41.45" customHeight="1">
      <c r="A3744"/>
      <c r="AC3744"/>
      <c r="AD3744"/>
    </row>
    <row r="3745" spans="1:30" ht="41.45" customHeight="1">
      <c r="A3745"/>
      <c r="AC3745"/>
      <c r="AD3745"/>
    </row>
    <row r="3746" spans="1:30" ht="41.45" customHeight="1">
      <c r="A3746"/>
      <c r="AC3746"/>
      <c r="AD3746"/>
    </row>
    <row r="3747" spans="1:30" ht="41.45" customHeight="1">
      <c r="A3747"/>
      <c r="AC3747"/>
      <c r="AD3747"/>
    </row>
    <row r="3748" spans="1:30" ht="41.45" customHeight="1">
      <c r="A3748"/>
      <c r="AC3748"/>
      <c r="AD3748"/>
    </row>
    <row r="3749" spans="1:30" ht="41.45" customHeight="1">
      <c r="A3749"/>
      <c r="AC3749"/>
      <c r="AD3749"/>
    </row>
    <row r="3750" spans="1:30" ht="41.45" customHeight="1">
      <c r="A3750"/>
      <c r="AC3750"/>
      <c r="AD3750"/>
    </row>
    <row r="3751" spans="1:30" ht="41.45" customHeight="1">
      <c r="A3751"/>
      <c r="AC3751"/>
      <c r="AD3751"/>
    </row>
    <row r="3752" spans="1:30" ht="41.45" customHeight="1">
      <c r="A3752"/>
      <c r="AC3752"/>
      <c r="AD3752"/>
    </row>
    <row r="3753" spans="1:30" ht="41.45" customHeight="1">
      <c r="A3753"/>
      <c r="AC3753"/>
      <c r="AD3753"/>
    </row>
    <row r="3754" spans="1:30" ht="41.45" customHeight="1">
      <c r="A3754"/>
      <c r="AC3754"/>
      <c r="AD3754"/>
    </row>
    <row r="3755" spans="1:30" ht="41.45" customHeight="1">
      <c r="A3755"/>
      <c r="AC3755"/>
      <c r="AD3755"/>
    </row>
    <row r="3756" spans="1:30" ht="41.45" customHeight="1">
      <c r="A3756"/>
      <c r="AC3756"/>
      <c r="AD3756"/>
    </row>
    <row r="3757" spans="1:30" ht="41.45" customHeight="1">
      <c r="A3757"/>
      <c r="AC3757"/>
      <c r="AD3757"/>
    </row>
    <row r="3758" spans="1:30" ht="41.45" customHeight="1">
      <c r="A3758"/>
      <c r="AC3758"/>
      <c r="AD3758"/>
    </row>
    <row r="3759" spans="1:30" ht="41.45" customHeight="1">
      <c r="A3759"/>
      <c r="AC3759"/>
      <c r="AD3759"/>
    </row>
    <row r="3760" spans="1:30" ht="41.45" customHeight="1">
      <c r="A3760"/>
      <c r="AC3760"/>
      <c r="AD3760"/>
    </row>
    <row r="3761" spans="1:30" ht="41.45" customHeight="1">
      <c r="A3761"/>
      <c r="AC3761"/>
      <c r="AD3761"/>
    </row>
    <row r="3762" spans="1:30" ht="41.45" customHeight="1">
      <c r="A3762"/>
      <c r="AC3762"/>
      <c r="AD3762"/>
    </row>
    <row r="3763" spans="1:30" ht="41.45" customHeight="1">
      <c r="A3763"/>
      <c r="AC3763"/>
      <c r="AD3763"/>
    </row>
    <row r="3764" spans="1:30" ht="41.45" customHeight="1">
      <c r="A3764"/>
      <c r="AC3764"/>
      <c r="AD3764"/>
    </row>
    <row r="3765" spans="1:30" ht="41.45" customHeight="1">
      <c r="A3765"/>
      <c r="AC3765"/>
      <c r="AD3765"/>
    </row>
    <row r="3766" spans="1:30" ht="41.45" customHeight="1">
      <c r="A3766"/>
      <c r="AC3766"/>
      <c r="AD3766"/>
    </row>
    <row r="3767" spans="1:30" ht="41.45" customHeight="1">
      <c r="A3767"/>
      <c r="AC3767"/>
      <c r="AD3767"/>
    </row>
    <row r="3768" spans="1:30" ht="41.45" customHeight="1">
      <c r="A3768"/>
      <c r="AC3768"/>
      <c r="AD3768"/>
    </row>
    <row r="3769" spans="1:30" ht="41.45" customHeight="1">
      <c r="A3769"/>
      <c r="AC3769"/>
      <c r="AD3769"/>
    </row>
    <row r="3770" spans="1:30" ht="41.45" customHeight="1">
      <c r="A3770"/>
      <c r="AC3770"/>
      <c r="AD3770"/>
    </row>
    <row r="3771" spans="1:30" ht="41.45" customHeight="1">
      <c r="A3771"/>
      <c r="AC3771"/>
      <c r="AD3771"/>
    </row>
    <row r="3772" spans="1:30" ht="41.45" customHeight="1">
      <c r="A3772"/>
      <c r="AC3772"/>
      <c r="AD3772"/>
    </row>
    <row r="3773" spans="1:30" ht="41.45" customHeight="1">
      <c r="A3773"/>
      <c r="AC3773"/>
      <c r="AD3773"/>
    </row>
    <row r="3774" spans="1:30" ht="41.45" customHeight="1">
      <c r="A3774"/>
      <c r="AC3774"/>
      <c r="AD3774"/>
    </row>
    <row r="3775" spans="1:30" ht="41.45" customHeight="1">
      <c r="A3775"/>
      <c r="AC3775"/>
      <c r="AD3775"/>
    </row>
    <row r="3776" spans="1:30" ht="41.45" customHeight="1">
      <c r="A3776"/>
      <c r="AC3776"/>
      <c r="AD3776"/>
    </row>
    <row r="3777" spans="1:30" ht="41.45" customHeight="1">
      <c r="A3777"/>
      <c r="AC3777"/>
      <c r="AD3777"/>
    </row>
    <row r="3778" spans="1:30" ht="41.45" customHeight="1">
      <c r="A3778"/>
      <c r="AC3778"/>
      <c r="AD3778"/>
    </row>
    <row r="3779" spans="1:30" ht="41.45" customHeight="1">
      <c r="A3779"/>
      <c r="AC3779"/>
      <c r="AD3779"/>
    </row>
    <row r="3780" spans="1:30" ht="41.45" customHeight="1">
      <c r="A3780"/>
      <c r="AC3780"/>
      <c r="AD3780"/>
    </row>
    <row r="3781" spans="1:30" ht="41.45" customHeight="1">
      <c r="A3781"/>
      <c r="AC3781"/>
      <c r="AD3781"/>
    </row>
    <row r="3782" spans="1:30" ht="41.45" customHeight="1">
      <c r="A3782"/>
      <c r="AC3782"/>
      <c r="AD3782"/>
    </row>
    <row r="3783" spans="1:30" ht="41.45" customHeight="1">
      <c r="A3783"/>
      <c r="AC3783"/>
      <c r="AD3783"/>
    </row>
    <row r="3784" spans="1:30" ht="41.45" customHeight="1">
      <c r="A3784"/>
      <c r="AC3784"/>
      <c r="AD3784"/>
    </row>
    <row r="3785" spans="1:30" ht="41.45" customHeight="1">
      <c r="A3785"/>
      <c r="AC3785"/>
      <c r="AD3785"/>
    </row>
    <row r="3786" spans="1:30" ht="41.45" customHeight="1">
      <c r="A3786"/>
      <c r="AC3786"/>
      <c r="AD3786"/>
    </row>
    <row r="3787" spans="1:30" ht="41.45" customHeight="1">
      <c r="A3787"/>
      <c r="AC3787"/>
      <c r="AD3787"/>
    </row>
    <row r="3788" spans="1:30" ht="41.45" customHeight="1">
      <c r="A3788"/>
      <c r="AC3788"/>
      <c r="AD3788"/>
    </row>
    <row r="3789" spans="1:30" ht="41.45" customHeight="1">
      <c r="A3789"/>
      <c r="AC3789"/>
      <c r="AD3789"/>
    </row>
    <row r="3790" spans="1:30" ht="41.45" customHeight="1">
      <c r="A3790"/>
      <c r="AC3790"/>
      <c r="AD3790"/>
    </row>
    <row r="3791" spans="1:30" ht="41.45" customHeight="1">
      <c r="A3791"/>
      <c r="AC3791"/>
      <c r="AD3791"/>
    </row>
    <row r="3792" spans="1:30" ht="41.45" customHeight="1">
      <c r="A3792"/>
      <c r="AC3792"/>
      <c r="AD3792"/>
    </row>
    <row r="3793" spans="1:30" ht="41.45" customHeight="1">
      <c r="A3793"/>
      <c r="AC3793"/>
      <c r="AD3793"/>
    </row>
    <row r="3794" spans="1:30" ht="41.45" customHeight="1">
      <c r="A3794"/>
      <c r="AC3794"/>
      <c r="AD3794"/>
    </row>
    <row r="3795" spans="1:30" ht="41.45" customHeight="1">
      <c r="A3795"/>
      <c r="AC3795"/>
      <c r="AD3795"/>
    </row>
    <row r="3796" spans="1:30" ht="41.45" customHeight="1">
      <c r="A3796"/>
      <c r="AC3796"/>
      <c r="AD3796"/>
    </row>
    <row r="3797" spans="1:30" ht="41.45" customHeight="1">
      <c r="A3797"/>
      <c r="AC3797"/>
      <c r="AD3797"/>
    </row>
    <row r="3798" spans="1:30" ht="41.45" customHeight="1">
      <c r="A3798"/>
      <c r="AC3798"/>
      <c r="AD3798"/>
    </row>
    <row r="3799" spans="1:30" ht="41.45" customHeight="1">
      <c r="A3799"/>
      <c r="AC3799"/>
      <c r="AD3799"/>
    </row>
    <row r="3800" spans="1:30" ht="41.45" customHeight="1">
      <c r="A3800"/>
      <c r="AC3800"/>
      <c r="AD3800"/>
    </row>
    <row r="3801" spans="1:30" ht="41.45" customHeight="1">
      <c r="A3801"/>
      <c r="AC3801"/>
      <c r="AD3801"/>
    </row>
    <row r="3802" spans="1:30" ht="41.45" customHeight="1">
      <c r="A3802"/>
      <c r="AC3802"/>
      <c r="AD3802"/>
    </row>
    <row r="3803" spans="1:30" ht="41.45" customHeight="1">
      <c r="A3803"/>
      <c r="AC3803"/>
      <c r="AD3803"/>
    </row>
    <row r="3804" spans="1:30" ht="41.45" customHeight="1">
      <c r="A3804"/>
      <c r="AC3804"/>
      <c r="AD3804"/>
    </row>
    <row r="3805" spans="1:30" ht="41.45" customHeight="1">
      <c r="A3805"/>
      <c r="AC3805"/>
      <c r="AD3805"/>
    </row>
    <row r="3806" spans="1:30" ht="41.45" customHeight="1">
      <c r="A3806"/>
      <c r="AC3806"/>
      <c r="AD3806"/>
    </row>
    <row r="3807" spans="1:30" ht="41.45" customHeight="1">
      <c r="A3807"/>
      <c r="AC3807"/>
      <c r="AD3807"/>
    </row>
    <row r="3808" spans="1:30" ht="41.45" customHeight="1">
      <c r="A3808"/>
      <c r="AC3808"/>
      <c r="AD3808"/>
    </row>
    <row r="3809" spans="1:30" ht="41.45" customHeight="1">
      <c r="A3809"/>
      <c r="AC3809"/>
      <c r="AD3809"/>
    </row>
    <row r="3810" spans="1:30" ht="41.45" customHeight="1">
      <c r="A3810"/>
      <c r="AC3810"/>
      <c r="AD3810"/>
    </row>
    <row r="3811" spans="1:30" ht="41.45" customHeight="1">
      <c r="A3811"/>
      <c r="AC3811"/>
      <c r="AD3811"/>
    </row>
    <row r="3812" spans="1:30" ht="41.45" customHeight="1">
      <c r="A3812"/>
      <c r="AC3812"/>
      <c r="AD3812"/>
    </row>
    <row r="3813" spans="1:30" ht="41.45" customHeight="1">
      <c r="A3813"/>
      <c r="AC3813"/>
      <c r="AD3813"/>
    </row>
    <row r="3814" spans="1:30" ht="41.45" customHeight="1">
      <c r="A3814"/>
      <c r="AC3814"/>
      <c r="AD3814"/>
    </row>
    <row r="3815" spans="1:30" ht="41.45" customHeight="1">
      <c r="A3815"/>
      <c r="AC3815"/>
      <c r="AD3815"/>
    </row>
    <row r="3816" spans="1:30" ht="41.45" customHeight="1">
      <c r="A3816"/>
      <c r="AC3816"/>
      <c r="AD3816"/>
    </row>
    <row r="3817" spans="1:30" ht="41.45" customHeight="1">
      <c r="A3817"/>
      <c r="AC3817"/>
      <c r="AD3817"/>
    </row>
    <row r="3818" spans="1:30" ht="41.45" customHeight="1">
      <c r="A3818"/>
      <c r="AC3818"/>
      <c r="AD3818"/>
    </row>
    <row r="3819" spans="1:30" ht="41.45" customHeight="1">
      <c r="A3819"/>
      <c r="AC3819"/>
      <c r="AD3819"/>
    </row>
    <row r="3820" spans="1:30" ht="41.45" customHeight="1">
      <c r="A3820"/>
      <c r="AC3820"/>
      <c r="AD3820"/>
    </row>
    <row r="3821" spans="1:30" ht="41.45" customHeight="1">
      <c r="A3821"/>
      <c r="AC3821"/>
      <c r="AD3821"/>
    </row>
    <row r="3822" spans="1:30" ht="41.45" customHeight="1">
      <c r="A3822"/>
      <c r="AC3822"/>
      <c r="AD3822"/>
    </row>
    <row r="3823" spans="1:30" ht="41.45" customHeight="1">
      <c r="A3823"/>
      <c r="AC3823"/>
      <c r="AD3823"/>
    </row>
    <row r="3824" spans="1:30" ht="41.45" customHeight="1">
      <c r="A3824"/>
      <c r="AC3824"/>
      <c r="AD3824"/>
    </row>
    <row r="3825" spans="1:30" ht="41.45" customHeight="1">
      <c r="A3825"/>
      <c r="AC3825"/>
      <c r="AD3825"/>
    </row>
    <row r="3826" spans="1:30" ht="41.45" customHeight="1">
      <c r="A3826"/>
      <c r="AC3826"/>
      <c r="AD3826"/>
    </row>
    <row r="3827" spans="1:30" ht="41.45" customHeight="1">
      <c r="A3827"/>
      <c r="AC3827"/>
      <c r="AD3827"/>
    </row>
    <row r="3828" spans="1:30" ht="41.45" customHeight="1">
      <c r="A3828"/>
      <c r="AC3828"/>
      <c r="AD3828"/>
    </row>
    <row r="3829" spans="1:30" ht="41.45" customHeight="1">
      <c r="A3829"/>
      <c r="AC3829"/>
      <c r="AD3829"/>
    </row>
    <row r="3830" spans="1:30" ht="41.45" customHeight="1">
      <c r="A3830"/>
      <c r="AC3830"/>
      <c r="AD3830"/>
    </row>
    <row r="3831" spans="1:30" ht="41.45" customHeight="1">
      <c r="A3831"/>
      <c r="AC3831"/>
      <c r="AD3831"/>
    </row>
    <row r="3832" spans="1:30" ht="41.45" customHeight="1">
      <c r="A3832"/>
      <c r="AC3832"/>
      <c r="AD3832"/>
    </row>
    <row r="3833" spans="1:30" ht="41.45" customHeight="1">
      <c r="A3833"/>
      <c r="AC3833"/>
      <c r="AD3833"/>
    </row>
    <row r="3834" spans="1:30" ht="41.45" customHeight="1">
      <c r="A3834"/>
      <c r="AC3834"/>
      <c r="AD3834"/>
    </row>
    <row r="3835" spans="1:30" ht="41.45" customHeight="1">
      <c r="A3835"/>
      <c r="AC3835"/>
      <c r="AD3835"/>
    </row>
    <row r="3836" spans="1:30" ht="41.45" customHeight="1">
      <c r="A3836"/>
      <c r="AC3836"/>
      <c r="AD3836"/>
    </row>
    <row r="3837" spans="1:30" ht="41.45" customHeight="1">
      <c r="A3837"/>
      <c r="AC3837"/>
      <c r="AD3837"/>
    </row>
    <row r="3838" spans="1:30" ht="41.45" customHeight="1">
      <c r="A3838"/>
      <c r="AC3838"/>
      <c r="AD3838"/>
    </row>
    <row r="3839" spans="1:30" ht="41.45" customHeight="1">
      <c r="A3839"/>
      <c r="AC3839"/>
      <c r="AD3839"/>
    </row>
    <row r="3840" spans="1:30" ht="41.45" customHeight="1">
      <c r="A3840"/>
      <c r="AC3840"/>
      <c r="AD3840"/>
    </row>
    <row r="3841" spans="1:30" ht="41.45" customHeight="1">
      <c r="A3841"/>
      <c r="AC3841"/>
      <c r="AD3841"/>
    </row>
    <row r="3842" spans="1:30" ht="41.45" customHeight="1">
      <c r="A3842"/>
      <c r="AC3842"/>
      <c r="AD3842"/>
    </row>
    <row r="3843" spans="1:30" ht="41.45" customHeight="1">
      <c r="A3843"/>
      <c r="AC3843"/>
      <c r="AD3843"/>
    </row>
    <row r="3844" spans="1:30" ht="41.45" customHeight="1">
      <c r="A3844"/>
      <c r="AC3844"/>
      <c r="AD3844"/>
    </row>
    <row r="3845" spans="1:30" ht="41.45" customHeight="1">
      <c r="A3845"/>
      <c r="AC3845"/>
      <c r="AD3845"/>
    </row>
    <row r="3846" spans="1:30" ht="41.45" customHeight="1">
      <c r="A3846"/>
      <c r="AC3846"/>
      <c r="AD3846"/>
    </row>
    <row r="3847" spans="1:30" ht="41.45" customHeight="1">
      <c r="A3847"/>
      <c r="AC3847"/>
      <c r="AD3847"/>
    </row>
    <row r="3848" spans="1:30" ht="41.45" customHeight="1">
      <c r="A3848"/>
      <c r="AC3848"/>
      <c r="AD3848"/>
    </row>
    <row r="3849" spans="1:30" ht="41.45" customHeight="1">
      <c r="A3849"/>
      <c r="AC3849"/>
      <c r="AD3849"/>
    </row>
    <row r="3850" spans="1:30" ht="41.45" customHeight="1">
      <c r="A3850"/>
      <c r="AC3850"/>
      <c r="AD3850"/>
    </row>
    <row r="3851" spans="1:30" ht="41.45" customHeight="1">
      <c r="A3851"/>
      <c r="AC3851"/>
      <c r="AD3851"/>
    </row>
    <row r="3852" spans="1:30" ht="41.45" customHeight="1">
      <c r="A3852"/>
      <c r="AC3852"/>
      <c r="AD3852"/>
    </row>
    <row r="3853" spans="1:30" ht="41.45" customHeight="1">
      <c r="A3853"/>
      <c r="AC3853"/>
      <c r="AD3853"/>
    </row>
    <row r="3854" spans="1:30" ht="41.45" customHeight="1">
      <c r="A3854"/>
      <c r="AC3854"/>
      <c r="AD3854"/>
    </row>
    <row r="3855" spans="1:30" ht="41.45" customHeight="1">
      <c r="A3855"/>
      <c r="AC3855"/>
      <c r="AD3855"/>
    </row>
    <row r="3856" spans="1:30" ht="41.45" customHeight="1">
      <c r="A3856"/>
      <c r="AC3856"/>
      <c r="AD3856"/>
    </row>
    <row r="3857" spans="1:30" ht="41.45" customHeight="1">
      <c r="A3857"/>
      <c r="AC3857"/>
      <c r="AD3857"/>
    </row>
    <row r="3858" spans="1:30" ht="41.45" customHeight="1">
      <c r="A3858"/>
      <c r="AC3858"/>
      <c r="AD3858"/>
    </row>
    <row r="3859" spans="1:30" ht="41.45" customHeight="1">
      <c r="A3859"/>
      <c r="AC3859"/>
      <c r="AD3859"/>
    </row>
    <row r="3860" spans="1:30" ht="41.45" customHeight="1">
      <c r="A3860"/>
      <c r="AC3860"/>
      <c r="AD3860"/>
    </row>
    <row r="3861" spans="1:30" ht="41.45" customHeight="1">
      <c r="A3861"/>
      <c r="AC3861"/>
      <c r="AD3861"/>
    </row>
    <row r="3862" spans="1:30" ht="41.45" customHeight="1">
      <c r="A3862"/>
      <c r="AC3862"/>
      <c r="AD3862"/>
    </row>
    <row r="3863" spans="1:30" ht="41.45" customHeight="1">
      <c r="A3863"/>
      <c r="AC3863"/>
      <c r="AD3863"/>
    </row>
    <row r="3864" spans="1:30" ht="41.45" customHeight="1">
      <c r="A3864"/>
      <c r="AC3864"/>
      <c r="AD3864"/>
    </row>
    <row r="3865" spans="1:30" ht="41.45" customHeight="1">
      <c r="A3865"/>
      <c r="AC3865"/>
      <c r="AD3865"/>
    </row>
    <row r="3866" spans="1:30" ht="41.45" customHeight="1">
      <c r="A3866"/>
      <c r="AC3866"/>
      <c r="AD3866"/>
    </row>
    <row r="3867" spans="1:30" ht="41.45" customHeight="1">
      <c r="A3867"/>
      <c r="AC3867"/>
      <c r="AD3867"/>
    </row>
    <row r="3868" spans="1:30" ht="41.45" customHeight="1">
      <c r="A3868"/>
      <c r="AC3868"/>
      <c r="AD3868"/>
    </row>
    <row r="3869" spans="1:30" ht="41.45" customHeight="1">
      <c r="A3869"/>
      <c r="AC3869"/>
      <c r="AD3869"/>
    </row>
    <row r="3870" spans="1:30" ht="41.45" customHeight="1">
      <c r="A3870"/>
      <c r="AC3870"/>
      <c r="AD3870"/>
    </row>
    <row r="3871" spans="1:30" ht="41.45" customHeight="1">
      <c r="A3871"/>
      <c r="AC3871"/>
      <c r="AD3871"/>
    </row>
    <row r="3872" spans="1:30" ht="41.45" customHeight="1">
      <c r="A3872"/>
      <c r="AC3872"/>
      <c r="AD3872"/>
    </row>
    <row r="3873" spans="1:30" ht="41.45" customHeight="1">
      <c r="A3873"/>
      <c r="AC3873"/>
      <c r="AD3873"/>
    </row>
    <row r="3874" spans="1:30" ht="41.45" customHeight="1">
      <c r="A3874"/>
      <c r="AC3874"/>
      <c r="AD3874"/>
    </row>
    <row r="3875" spans="1:30" ht="41.45" customHeight="1">
      <c r="A3875"/>
      <c r="AC3875"/>
      <c r="AD3875"/>
    </row>
    <row r="3876" spans="1:30" ht="41.45" customHeight="1">
      <c r="A3876"/>
      <c r="AC3876"/>
      <c r="AD3876"/>
    </row>
    <row r="3877" spans="1:30" ht="41.45" customHeight="1">
      <c r="A3877"/>
      <c r="AC3877"/>
      <c r="AD3877"/>
    </row>
    <row r="3878" spans="1:30" ht="41.45" customHeight="1">
      <c r="A3878"/>
      <c r="AC3878"/>
      <c r="AD3878"/>
    </row>
    <row r="3879" spans="1:30" ht="41.45" customHeight="1">
      <c r="A3879"/>
      <c r="AC3879"/>
      <c r="AD3879"/>
    </row>
    <row r="3880" spans="1:30" ht="41.45" customHeight="1">
      <c r="A3880"/>
      <c r="AC3880"/>
      <c r="AD3880"/>
    </row>
    <row r="3881" spans="1:30" ht="41.45" customHeight="1">
      <c r="A3881"/>
      <c r="AC3881"/>
      <c r="AD3881"/>
    </row>
    <row r="3882" spans="1:30" ht="41.45" customHeight="1">
      <c r="A3882"/>
      <c r="AC3882"/>
      <c r="AD3882"/>
    </row>
    <row r="3883" spans="1:30" ht="41.45" customHeight="1">
      <c r="A3883"/>
      <c r="AC3883"/>
      <c r="AD3883"/>
    </row>
    <row r="3884" spans="1:30" ht="41.45" customHeight="1">
      <c r="A3884"/>
      <c r="AC3884"/>
      <c r="AD3884"/>
    </row>
    <row r="3885" spans="1:30" ht="41.45" customHeight="1">
      <c r="A3885"/>
      <c r="AC3885"/>
      <c r="AD3885"/>
    </row>
    <row r="3886" spans="1:30" ht="41.45" customHeight="1">
      <c r="A3886"/>
      <c r="AC3886"/>
      <c r="AD3886"/>
    </row>
    <row r="3887" spans="1:30" ht="41.45" customHeight="1">
      <c r="A3887"/>
      <c r="AC3887"/>
      <c r="AD3887"/>
    </row>
    <row r="3888" spans="1:30" ht="41.45" customHeight="1">
      <c r="A3888"/>
      <c r="AC3888"/>
      <c r="AD3888"/>
    </row>
    <row r="3889" spans="1:30" ht="41.45" customHeight="1">
      <c r="A3889"/>
      <c r="AC3889"/>
      <c r="AD3889"/>
    </row>
    <row r="3890" spans="1:30" ht="41.45" customHeight="1">
      <c r="A3890"/>
      <c r="AC3890"/>
      <c r="AD3890"/>
    </row>
    <row r="3891" spans="1:30" ht="41.45" customHeight="1">
      <c r="A3891"/>
      <c r="AC3891"/>
      <c r="AD3891"/>
    </row>
    <row r="3892" spans="1:30" ht="41.45" customHeight="1">
      <c r="A3892"/>
      <c r="AC3892"/>
      <c r="AD3892"/>
    </row>
    <row r="3893" spans="1:30" ht="41.45" customHeight="1">
      <c r="A3893"/>
      <c r="AC3893"/>
      <c r="AD3893"/>
    </row>
    <row r="3894" spans="1:30" ht="41.45" customHeight="1">
      <c r="A3894"/>
      <c r="AC3894"/>
      <c r="AD3894"/>
    </row>
    <row r="3895" spans="1:30" ht="41.45" customHeight="1">
      <c r="A3895"/>
      <c r="AC3895"/>
      <c r="AD3895"/>
    </row>
    <row r="3896" spans="1:30" ht="41.45" customHeight="1">
      <c r="A3896"/>
      <c r="AC3896"/>
      <c r="AD3896"/>
    </row>
    <row r="3897" spans="1:30" ht="41.45" customHeight="1">
      <c r="A3897"/>
      <c r="AC3897"/>
      <c r="AD3897"/>
    </row>
    <row r="3898" spans="1:30" ht="41.45" customHeight="1">
      <c r="A3898"/>
      <c r="AC3898"/>
      <c r="AD3898"/>
    </row>
    <row r="3899" spans="1:30" ht="41.45" customHeight="1">
      <c r="A3899"/>
      <c r="AC3899"/>
      <c r="AD3899"/>
    </row>
    <row r="3900" spans="1:30" ht="41.45" customHeight="1">
      <c r="A3900"/>
      <c r="AC3900"/>
      <c r="AD3900"/>
    </row>
    <row r="3901" spans="1:30" ht="41.45" customHeight="1">
      <c r="A3901"/>
      <c r="AC3901"/>
      <c r="AD3901"/>
    </row>
    <row r="3902" spans="1:30" ht="41.45" customHeight="1">
      <c r="A3902"/>
      <c r="AC3902"/>
      <c r="AD3902"/>
    </row>
    <row r="3903" spans="1:30" ht="41.45" customHeight="1">
      <c r="A3903"/>
      <c r="AC3903"/>
      <c r="AD3903"/>
    </row>
    <row r="3904" spans="1:30" ht="41.45" customHeight="1">
      <c r="A3904"/>
      <c r="AC3904"/>
      <c r="AD3904"/>
    </row>
    <row r="3905" spans="1:30" ht="41.45" customHeight="1">
      <c r="A3905"/>
      <c r="AC3905"/>
      <c r="AD3905"/>
    </row>
    <row r="3906" spans="1:30" ht="41.45" customHeight="1">
      <c r="A3906"/>
      <c r="AC3906"/>
      <c r="AD3906"/>
    </row>
    <row r="3907" spans="1:30" ht="41.45" customHeight="1">
      <c r="A3907"/>
      <c r="AC3907"/>
      <c r="AD3907"/>
    </row>
    <row r="3908" spans="1:30" ht="41.45" customHeight="1">
      <c r="A3908"/>
      <c r="AC3908"/>
      <c r="AD3908"/>
    </row>
    <row r="3909" spans="1:30" ht="41.45" customHeight="1">
      <c r="A3909"/>
      <c r="AC3909"/>
      <c r="AD3909"/>
    </row>
    <row r="3910" spans="1:30" ht="41.45" customHeight="1">
      <c r="A3910"/>
      <c r="AC3910"/>
      <c r="AD3910"/>
    </row>
    <row r="3911" spans="1:30" ht="41.45" customHeight="1">
      <c r="A3911"/>
      <c r="AC3911"/>
      <c r="AD3911"/>
    </row>
    <row r="3912" spans="1:30" ht="41.45" customHeight="1">
      <c r="A3912"/>
      <c r="AC3912"/>
      <c r="AD3912"/>
    </row>
    <row r="3913" spans="1:30" ht="41.45" customHeight="1">
      <c r="A3913"/>
      <c r="AC3913"/>
      <c r="AD3913"/>
    </row>
    <row r="3914" spans="1:30" ht="41.45" customHeight="1">
      <c r="A3914"/>
      <c r="AC3914"/>
      <c r="AD3914"/>
    </row>
    <row r="3915" spans="1:30" ht="41.45" customHeight="1">
      <c r="A3915"/>
      <c r="AC3915"/>
      <c r="AD3915"/>
    </row>
    <row r="3916" spans="1:30" ht="41.45" customHeight="1">
      <c r="A3916"/>
      <c r="AC3916"/>
      <c r="AD3916"/>
    </row>
    <row r="3917" spans="1:30" ht="41.45" customHeight="1">
      <c r="A3917"/>
      <c r="AC3917"/>
      <c r="AD3917"/>
    </row>
    <row r="3918" spans="1:30" ht="41.45" customHeight="1">
      <c r="A3918"/>
      <c r="AC3918"/>
      <c r="AD3918"/>
    </row>
    <row r="3919" spans="1:30" ht="41.45" customHeight="1">
      <c r="A3919"/>
      <c r="AC3919"/>
      <c r="AD3919"/>
    </row>
    <row r="3920" spans="1:30" ht="41.45" customHeight="1">
      <c r="A3920"/>
      <c r="AC3920"/>
      <c r="AD3920"/>
    </row>
    <row r="3921" spans="1:30" ht="41.45" customHeight="1">
      <c r="A3921"/>
      <c r="AC3921"/>
      <c r="AD3921"/>
    </row>
    <row r="3922" spans="1:30" ht="41.45" customHeight="1">
      <c r="A3922"/>
      <c r="AC3922"/>
      <c r="AD3922"/>
    </row>
    <row r="3923" spans="1:30" ht="41.45" customHeight="1">
      <c r="A3923"/>
      <c r="AC3923"/>
      <c r="AD3923"/>
    </row>
    <row r="3924" spans="1:30" ht="41.45" customHeight="1">
      <c r="A3924"/>
      <c r="AC3924"/>
      <c r="AD3924"/>
    </row>
    <row r="3925" spans="1:30" ht="41.45" customHeight="1">
      <c r="A3925"/>
      <c r="AC3925"/>
      <c r="AD3925"/>
    </row>
    <row r="3926" spans="1:30" ht="41.45" customHeight="1">
      <c r="A3926"/>
      <c r="AC3926"/>
      <c r="AD3926"/>
    </row>
    <row r="3927" spans="1:30" ht="41.45" customHeight="1">
      <c r="A3927"/>
      <c r="AC3927"/>
      <c r="AD3927"/>
    </row>
    <row r="3928" spans="1:30" ht="41.45" customHeight="1">
      <c r="A3928"/>
      <c r="AC3928"/>
      <c r="AD3928"/>
    </row>
    <row r="3929" spans="1:30" ht="41.45" customHeight="1">
      <c r="A3929"/>
      <c r="AC3929"/>
      <c r="AD3929"/>
    </row>
    <row r="3930" spans="1:30" ht="41.45" customHeight="1">
      <c r="A3930"/>
      <c r="AC3930"/>
      <c r="AD3930"/>
    </row>
    <row r="3931" spans="1:30" ht="41.45" customHeight="1">
      <c r="A3931"/>
      <c r="AC3931"/>
      <c r="AD3931"/>
    </row>
    <row r="3932" spans="1:30" ht="41.45" customHeight="1">
      <c r="A3932"/>
      <c r="AC3932"/>
      <c r="AD3932"/>
    </row>
    <row r="3933" spans="1:30" ht="41.45" customHeight="1">
      <c r="A3933"/>
      <c r="AC3933"/>
      <c r="AD3933"/>
    </row>
    <row r="3934" spans="1:30" ht="41.45" customHeight="1">
      <c r="A3934"/>
      <c r="AC3934"/>
      <c r="AD3934"/>
    </row>
    <row r="3935" spans="1:30" ht="41.45" customHeight="1">
      <c r="A3935"/>
      <c r="AC3935"/>
      <c r="AD3935"/>
    </row>
    <row r="3936" spans="1:30" ht="41.45" customHeight="1">
      <c r="A3936"/>
      <c r="AC3936"/>
      <c r="AD3936"/>
    </row>
    <row r="3937" spans="1:30" ht="41.45" customHeight="1">
      <c r="A3937"/>
      <c r="AC3937"/>
      <c r="AD3937"/>
    </row>
    <row r="3938" spans="1:30" ht="41.45" customHeight="1">
      <c r="A3938"/>
      <c r="AC3938"/>
      <c r="AD3938"/>
    </row>
    <row r="3939" spans="1:30" ht="41.45" customHeight="1">
      <c r="A3939"/>
      <c r="AC3939"/>
      <c r="AD3939"/>
    </row>
    <row r="3940" spans="1:30" ht="41.45" customHeight="1">
      <c r="A3940"/>
      <c r="AC3940"/>
      <c r="AD3940"/>
    </row>
    <row r="3941" spans="1:30" ht="41.45" customHeight="1">
      <c r="A3941"/>
      <c r="AC3941"/>
      <c r="AD3941"/>
    </row>
    <row r="3942" spans="1:30" ht="41.45" customHeight="1">
      <c r="A3942"/>
      <c r="AC3942"/>
      <c r="AD3942"/>
    </row>
    <row r="3943" spans="1:30" ht="41.45" customHeight="1">
      <c r="A3943"/>
      <c r="AC3943"/>
      <c r="AD3943"/>
    </row>
    <row r="3944" spans="1:30" ht="41.45" customHeight="1">
      <c r="A3944"/>
      <c r="AC3944"/>
      <c r="AD3944"/>
    </row>
    <row r="3945" spans="1:30" ht="41.45" customHeight="1">
      <c r="A3945"/>
      <c r="AC3945"/>
      <c r="AD3945"/>
    </row>
    <row r="3946" spans="1:30" ht="41.45" customHeight="1">
      <c r="A3946"/>
      <c r="AC3946"/>
      <c r="AD3946"/>
    </row>
    <row r="3947" spans="1:30" ht="41.45" customHeight="1">
      <c r="A3947"/>
      <c r="AC3947"/>
      <c r="AD3947"/>
    </row>
    <row r="3948" spans="1:30" ht="41.45" customHeight="1">
      <c r="A3948"/>
      <c r="AC3948"/>
      <c r="AD3948"/>
    </row>
    <row r="3949" spans="1:30" ht="41.45" customHeight="1">
      <c r="A3949"/>
      <c r="AC3949"/>
      <c r="AD3949"/>
    </row>
    <row r="3950" spans="1:30" ht="41.45" customHeight="1">
      <c r="A3950"/>
      <c r="AC3950"/>
      <c r="AD3950"/>
    </row>
    <row r="3951" spans="1:30" ht="41.45" customHeight="1">
      <c r="A3951"/>
      <c r="AC3951"/>
      <c r="AD3951"/>
    </row>
    <row r="3952" spans="1:30" ht="41.45" customHeight="1">
      <c r="A3952"/>
      <c r="AC3952"/>
      <c r="AD3952"/>
    </row>
    <row r="3953" spans="1:30" ht="41.45" customHeight="1">
      <c r="A3953"/>
      <c r="AC3953"/>
      <c r="AD3953"/>
    </row>
    <row r="3954" spans="1:30" ht="41.45" customHeight="1">
      <c r="A3954"/>
      <c r="AC3954"/>
      <c r="AD3954"/>
    </row>
    <row r="3955" spans="1:30" ht="41.45" customHeight="1">
      <c r="A3955"/>
      <c r="AC3955"/>
      <c r="AD3955"/>
    </row>
    <row r="3956" spans="1:30" ht="41.45" customHeight="1">
      <c r="A3956"/>
      <c r="AC3956"/>
      <c r="AD3956"/>
    </row>
    <row r="3957" spans="1:30" ht="41.45" customHeight="1">
      <c r="A3957"/>
      <c r="AC3957"/>
      <c r="AD3957"/>
    </row>
    <row r="3958" spans="1:30" ht="41.45" customHeight="1">
      <c r="A3958"/>
      <c r="AC3958"/>
      <c r="AD3958"/>
    </row>
    <row r="3959" spans="1:30" ht="41.45" customHeight="1">
      <c r="A3959"/>
      <c r="AC3959"/>
      <c r="AD3959"/>
    </row>
    <row r="3960" spans="1:30" ht="41.45" customHeight="1">
      <c r="A3960"/>
      <c r="AC3960"/>
      <c r="AD3960"/>
    </row>
    <row r="3961" spans="1:30" ht="41.45" customHeight="1">
      <c r="A3961"/>
      <c r="AC3961"/>
      <c r="AD3961"/>
    </row>
    <row r="3962" spans="1:30" ht="41.45" customHeight="1">
      <c r="A3962"/>
      <c r="AC3962"/>
      <c r="AD3962"/>
    </row>
    <row r="3963" spans="1:30" ht="41.45" customHeight="1">
      <c r="A3963"/>
      <c r="AC3963"/>
      <c r="AD3963"/>
    </row>
    <row r="3964" spans="1:30" ht="41.45" customHeight="1">
      <c r="A3964"/>
      <c r="AC3964"/>
      <c r="AD3964"/>
    </row>
    <row r="3965" spans="1:30" ht="41.45" customHeight="1">
      <c r="A3965"/>
      <c r="AC3965"/>
      <c r="AD3965"/>
    </row>
    <row r="3966" spans="1:30" ht="41.45" customHeight="1">
      <c r="A3966"/>
      <c r="AC3966"/>
      <c r="AD3966"/>
    </row>
    <row r="3967" spans="1:30" ht="41.45" customHeight="1">
      <c r="A3967"/>
      <c r="AC3967"/>
      <c r="AD3967"/>
    </row>
    <row r="3968" spans="1:30" ht="41.45" customHeight="1">
      <c r="A3968"/>
      <c r="AC3968"/>
      <c r="AD3968"/>
    </row>
    <row r="3969" spans="1:30" ht="41.45" customHeight="1">
      <c r="A3969"/>
      <c r="AC3969"/>
      <c r="AD3969"/>
    </row>
    <row r="3970" spans="1:30" ht="41.45" customHeight="1">
      <c r="A3970"/>
      <c r="AC3970"/>
      <c r="AD3970"/>
    </row>
    <row r="3971" spans="1:30" ht="41.45" customHeight="1">
      <c r="A3971"/>
      <c r="AC3971"/>
      <c r="AD3971"/>
    </row>
    <row r="3972" spans="1:30" ht="41.45" customHeight="1">
      <c r="A3972"/>
      <c r="AC3972"/>
      <c r="AD3972"/>
    </row>
    <row r="3973" spans="1:30" ht="41.45" customHeight="1">
      <c r="A3973"/>
      <c r="AC3973"/>
      <c r="AD3973"/>
    </row>
    <row r="3974" spans="1:30" ht="41.45" customHeight="1">
      <c r="A3974"/>
      <c r="AC3974"/>
      <c r="AD3974"/>
    </row>
    <row r="3975" spans="1:30" ht="41.45" customHeight="1">
      <c r="A3975"/>
      <c r="AC3975"/>
      <c r="AD3975"/>
    </row>
    <row r="3976" spans="1:30" ht="41.45" customHeight="1">
      <c r="A3976"/>
      <c r="AC3976"/>
      <c r="AD3976"/>
    </row>
    <row r="3977" spans="1:30" ht="41.45" customHeight="1">
      <c r="A3977"/>
      <c r="AC3977"/>
      <c r="AD3977"/>
    </row>
    <row r="3978" spans="1:30" ht="41.45" customHeight="1">
      <c r="A3978"/>
      <c r="AC3978"/>
      <c r="AD3978"/>
    </row>
    <row r="3979" spans="1:30" ht="41.45" customHeight="1">
      <c r="A3979"/>
      <c r="AC3979"/>
      <c r="AD3979"/>
    </row>
    <row r="3980" spans="1:30" ht="41.45" customHeight="1">
      <c r="A3980"/>
      <c r="AC3980"/>
      <c r="AD3980"/>
    </row>
    <row r="3981" spans="1:30" ht="41.45" customHeight="1">
      <c r="A3981"/>
      <c r="AC3981"/>
      <c r="AD3981"/>
    </row>
    <row r="3982" spans="1:30" ht="41.45" customHeight="1">
      <c r="A3982"/>
      <c r="AC3982"/>
      <c r="AD3982"/>
    </row>
    <row r="3983" spans="1:30" ht="41.45" customHeight="1">
      <c r="A3983"/>
      <c r="AC3983"/>
      <c r="AD3983"/>
    </row>
    <row r="3984" spans="1:30" ht="41.45" customHeight="1">
      <c r="A3984"/>
      <c r="AC3984"/>
      <c r="AD3984"/>
    </row>
    <row r="3985" spans="1:30" ht="41.45" customHeight="1">
      <c r="A3985"/>
      <c r="AC3985"/>
      <c r="AD3985"/>
    </row>
    <row r="3986" spans="1:30" ht="41.45" customHeight="1">
      <c r="A3986"/>
      <c r="AC3986"/>
      <c r="AD3986"/>
    </row>
    <row r="3987" spans="1:30" ht="41.45" customHeight="1">
      <c r="A3987"/>
      <c r="AC3987"/>
      <c r="AD3987"/>
    </row>
    <row r="3988" spans="1:30" ht="41.45" customHeight="1">
      <c r="A3988"/>
      <c r="AC3988"/>
      <c r="AD3988"/>
    </row>
    <row r="3989" spans="1:30" ht="41.45" customHeight="1">
      <c r="A3989"/>
      <c r="AC3989"/>
      <c r="AD3989"/>
    </row>
    <row r="3990" spans="1:30" ht="41.45" customHeight="1">
      <c r="A3990"/>
      <c r="AC3990"/>
      <c r="AD3990"/>
    </row>
    <row r="3991" spans="1:30" ht="41.45" customHeight="1">
      <c r="A3991"/>
      <c r="AC3991"/>
      <c r="AD3991"/>
    </row>
    <row r="3992" spans="1:30" ht="41.45" customHeight="1">
      <c r="A3992"/>
      <c r="AC3992"/>
      <c r="AD3992"/>
    </row>
    <row r="3993" spans="1:30" ht="41.45" customHeight="1">
      <c r="A3993"/>
      <c r="AC3993"/>
      <c r="AD3993"/>
    </row>
    <row r="3994" spans="1:30" ht="41.45" customHeight="1">
      <c r="A3994"/>
      <c r="AC3994"/>
      <c r="AD3994"/>
    </row>
    <row r="3995" spans="1:30" ht="41.45" customHeight="1">
      <c r="A3995"/>
      <c r="AC3995"/>
      <c r="AD3995"/>
    </row>
    <row r="3996" spans="1:30" ht="41.45" customHeight="1">
      <c r="A3996"/>
      <c r="AC3996"/>
      <c r="AD3996"/>
    </row>
    <row r="3997" spans="1:30" ht="41.45" customHeight="1">
      <c r="A3997"/>
      <c r="AC3997"/>
      <c r="AD3997"/>
    </row>
    <row r="3998" spans="1:30" ht="41.45" customHeight="1">
      <c r="A3998"/>
      <c r="AC3998"/>
      <c r="AD3998"/>
    </row>
    <row r="3999" spans="1:30" ht="41.45" customHeight="1">
      <c r="A3999"/>
      <c r="AC3999"/>
      <c r="AD3999"/>
    </row>
    <row r="4000" spans="1:30" ht="41.45" customHeight="1">
      <c r="A4000"/>
      <c r="AC4000"/>
      <c r="AD4000"/>
    </row>
    <row r="4001" spans="1:30" ht="41.45" customHeight="1">
      <c r="A4001"/>
      <c r="AC4001"/>
      <c r="AD4001"/>
    </row>
    <row r="4002" spans="1:30" ht="41.45" customHeight="1">
      <c r="A4002"/>
      <c r="AC4002"/>
      <c r="AD4002"/>
    </row>
    <row r="4003" spans="1:30" ht="41.45" customHeight="1">
      <c r="A4003"/>
      <c r="AC4003"/>
      <c r="AD4003"/>
    </row>
    <row r="4004" spans="1:30" ht="41.45" customHeight="1">
      <c r="A4004"/>
      <c r="AC4004"/>
      <c r="AD4004"/>
    </row>
    <row r="4005" spans="1:30" ht="41.45" customHeight="1">
      <c r="A4005"/>
      <c r="AC4005"/>
      <c r="AD4005"/>
    </row>
    <row r="4006" spans="1:30" ht="41.45" customHeight="1">
      <c r="A4006"/>
      <c r="AC4006"/>
      <c r="AD4006"/>
    </row>
    <row r="4007" spans="1:30" ht="41.45" customHeight="1">
      <c r="A4007"/>
      <c r="AC4007"/>
      <c r="AD4007"/>
    </row>
    <row r="4008" spans="1:30" ht="41.45" customHeight="1">
      <c r="A4008"/>
      <c r="AC4008"/>
      <c r="AD4008"/>
    </row>
    <row r="4009" spans="1:30" ht="41.45" customHeight="1">
      <c r="A4009"/>
      <c r="AC4009"/>
      <c r="AD4009"/>
    </row>
    <row r="4010" spans="1:30" ht="41.45" customHeight="1">
      <c r="A4010"/>
      <c r="AC4010"/>
      <c r="AD4010"/>
    </row>
    <row r="4011" spans="1:30" ht="41.45" customHeight="1">
      <c r="A4011"/>
      <c r="AC4011"/>
      <c r="AD4011"/>
    </row>
    <row r="4012" spans="1:30" ht="41.45" customHeight="1">
      <c r="A4012"/>
      <c r="AC4012"/>
      <c r="AD4012"/>
    </row>
    <row r="4013" spans="1:30" ht="41.45" customHeight="1">
      <c r="A4013"/>
      <c r="AC4013"/>
      <c r="AD4013"/>
    </row>
    <row r="4014" spans="1:30" ht="41.45" customHeight="1">
      <c r="A4014"/>
      <c r="AC4014"/>
      <c r="AD4014"/>
    </row>
    <row r="4015" spans="1:30" ht="41.45" customHeight="1">
      <c r="A4015"/>
      <c r="AC4015"/>
      <c r="AD4015"/>
    </row>
    <row r="4016" spans="1:30" ht="41.45" customHeight="1">
      <c r="A4016"/>
      <c r="AC4016"/>
      <c r="AD4016"/>
    </row>
    <row r="4017" spans="1:30" ht="41.45" customHeight="1">
      <c r="A4017"/>
      <c r="AC4017"/>
      <c r="AD4017"/>
    </row>
    <row r="4018" spans="1:30" ht="41.45" customHeight="1">
      <c r="A4018"/>
      <c r="AC4018"/>
      <c r="AD4018"/>
    </row>
    <row r="4019" spans="1:30" ht="41.45" customHeight="1">
      <c r="A4019"/>
      <c r="AC4019"/>
      <c r="AD4019"/>
    </row>
    <row r="4020" spans="1:30" ht="41.45" customHeight="1">
      <c r="A4020"/>
      <c r="AC4020"/>
      <c r="AD4020"/>
    </row>
    <row r="4021" spans="1:30" ht="41.45" customHeight="1">
      <c r="A4021"/>
      <c r="AC4021"/>
      <c r="AD4021"/>
    </row>
    <row r="4022" spans="1:30" ht="41.45" customHeight="1">
      <c r="A4022"/>
      <c r="AC4022"/>
      <c r="AD4022"/>
    </row>
    <row r="4023" spans="1:30" ht="41.45" customHeight="1">
      <c r="A4023"/>
      <c r="AC4023"/>
      <c r="AD4023"/>
    </row>
    <row r="4024" spans="1:30" ht="41.45" customHeight="1">
      <c r="A4024"/>
      <c r="AC4024"/>
      <c r="AD4024"/>
    </row>
    <row r="4025" spans="1:30" ht="41.45" customHeight="1">
      <c r="A4025"/>
      <c r="AC4025"/>
      <c r="AD4025"/>
    </row>
    <row r="4026" spans="1:30" ht="41.45" customHeight="1">
      <c r="A4026"/>
      <c r="AC4026"/>
      <c r="AD4026"/>
    </row>
    <row r="4027" spans="1:30" ht="41.45" customHeight="1">
      <c r="A4027"/>
      <c r="AC4027"/>
      <c r="AD4027"/>
    </row>
    <row r="4028" spans="1:30" ht="41.45" customHeight="1">
      <c r="A4028"/>
      <c r="AC4028"/>
      <c r="AD4028"/>
    </row>
    <row r="4029" spans="1:30" ht="41.45" customHeight="1">
      <c r="A4029"/>
      <c r="AC4029"/>
      <c r="AD4029"/>
    </row>
    <row r="4030" spans="1:30" ht="41.45" customHeight="1">
      <c r="A4030"/>
      <c r="AC4030"/>
      <c r="AD4030"/>
    </row>
    <row r="4031" spans="1:30" ht="41.45" customHeight="1">
      <c r="A4031"/>
      <c r="AC4031"/>
      <c r="AD4031"/>
    </row>
    <row r="4032" spans="1:30" ht="41.45" customHeight="1">
      <c r="A4032"/>
      <c r="AC4032"/>
      <c r="AD4032"/>
    </row>
    <row r="4033" spans="1:30" ht="41.45" customHeight="1">
      <c r="A4033"/>
      <c r="AC4033"/>
      <c r="AD4033"/>
    </row>
    <row r="4034" spans="1:30" ht="41.45" customHeight="1">
      <c r="A4034"/>
      <c r="AC4034"/>
      <c r="AD4034"/>
    </row>
    <row r="4035" spans="1:30" ht="41.45" customHeight="1">
      <c r="A4035"/>
      <c r="AC4035"/>
      <c r="AD4035"/>
    </row>
    <row r="4036" spans="1:30" ht="41.45" customHeight="1">
      <c r="A4036"/>
      <c r="AC4036"/>
      <c r="AD4036"/>
    </row>
    <row r="4037" spans="1:30" ht="41.45" customHeight="1">
      <c r="A4037"/>
      <c r="AC4037"/>
      <c r="AD4037"/>
    </row>
    <row r="4038" spans="1:30" ht="41.45" customHeight="1">
      <c r="A4038"/>
      <c r="AC4038"/>
      <c r="AD4038"/>
    </row>
    <row r="4039" spans="1:30" ht="41.45" customHeight="1">
      <c r="A4039"/>
      <c r="AC4039"/>
      <c r="AD4039"/>
    </row>
    <row r="4040" spans="1:30" ht="41.45" customHeight="1">
      <c r="A4040"/>
      <c r="AC4040"/>
      <c r="AD4040"/>
    </row>
    <row r="4041" spans="1:30" ht="41.45" customHeight="1">
      <c r="A4041"/>
      <c r="AC4041"/>
      <c r="AD4041"/>
    </row>
    <row r="4042" spans="1:30" ht="41.45" customHeight="1">
      <c r="A4042"/>
      <c r="AC4042"/>
      <c r="AD4042"/>
    </row>
    <row r="4043" spans="1:30" ht="41.45" customHeight="1">
      <c r="A4043"/>
      <c r="AC4043"/>
      <c r="AD4043"/>
    </row>
    <row r="4044" spans="1:30" ht="41.45" customHeight="1">
      <c r="A4044"/>
      <c r="AC4044"/>
      <c r="AD4044"/>
    </row>
    <row r="4045" spans="1:30" ht="41.45" customHeight="1">
      <c r="A4045"/>
      <c r="AC4045"/>
      <c r="AD4045"/>
    </row>
    <row r="4046" spans="1:30" ht="41.45" customHeight="1">
      <c r="A4046"/>
      <c r="AC4046"/>
      <c r="AD4046"/>
    </row>
    <row r="4047" spans="1:30" ht="41.45" customHeight="1">
      <c r="A4047"/>
      <c r="AC4047"/>
      <c r="AD4047"/>
    </row>
    <row r="4048" spans="1:30" ht="41.45" customHeight="1">
      <c r="A4048"/>
      <c r="AC4048"/>
      <c r="AD4048"/>
    </row>
    <row r="4049" spans="1:30" ht="41.45" customHeight="1">
      <c r="A4049"/>
      <c r="AC4049"/>
      <c r="AD4049"/>
    </row>
    <row r="4050" spans="1:30" ht="41.45" customHeight="1">
      <c r="A4050"/>
      <c r="AC4050"/>
      <c r="AD4050"/>
    </row>
    <row r="4051" spans="1:30" ht="41.45" customHeight="1">
      <c r="A4051"/>
      <c r="AC4051"/>
      <c r="AD4051"/>
    </row>
    <row r="4052" spans="1:30" ht="41.45" customHeight="1">
      <c r="A4052"/>
      <c r="AC4052"/>
      <c r="AD4052"/>
    </row>
    <row r="4053" spans="1:30" ht="41.45" customHeight="1">
      <c r="A4053"/>
      <c r="AC4053"/>
      <c r="AD4053"/>
    </row>
    <row r="4054" spans="1:30" ht="41.45" customHeight="1">
      <c r="A4054"/>
      <c r="AC4054"/>
      <c r="AD4054"/>
    </row>
    <row r="4055" spans="1:30" ht="41.45" customHeight="1">
      <c r="A4055"/>
      <c r="AC4055"/>
      <c r="AD4055"/>
    </row>
    <row r="4056" spans="1:30" ht="41.45" customHeight="1">
      <c r="A4056"/>
      <c r="AC4056"/>
      <c r="AD4056"/>
    </row>
    <row r="4057" spans="1:30" ht="41.45" customHeight="1">
      <c r="A4057"/>
      <c r="AC4057"/>
      <c r="AD4057"/>
    </row>
    <row r="4058" spans="1:30" ht="41.45" customHeight="1">
      <c r="A4058"/>
      <c r="AC4058"/>
      <c r="AD4058"/>
    </row>
    <row r="4059" spans="1:30" ht="41.45" customHeight="1">
      <c r="A4059"/>
      <c r="AC4059"/>
      <c r="AD4059"/>
    </row>
    <row r="4060" spans="1:30" ht="41.45" customHeight="1">
      <c r="A4060"/>
      <c r="AC4060"/>
      <c r="AD4060"/>
    </row>
    <row r="4061" spans="1:30" ht="41.45" customHeight="1">
      <c r="A4061"/>
      <c r="AC4061"/>
      <c r="AD4061"/>
    </row>
    <row r="4062" spans="1:30" ht="41.45" customHeight="1">
      <c r="A4062"/>
      <c r="AC4062"/>
      <c r="AD4062"/>
    </row>
    <row r="4063" spans="1:30" ht="41.45" customHeight="1">
      <c r="A4063"/>
      <c r="AC4063"/>
      <c r="AD4063"/>
    </row>
    <row r="4064" spans="1:30" ht="41.45" customHeight="1">
      <c r="A4064"/>
      <c r="AC4064"/>
      <c r="AD4064"/>
    </row>
    <row r="4065" spans="1:30" ht="41.45" customHeight="1">
      <c r="A4065"/>
      <c r="AC4065"/>
      <c r="AD4065"/>
    </row>
    <row r="4066" spans="1:30" ht="41.45" customHeight="1">
      <c r="A4066"/>
      <c r="AC4066"/>
      <c r="AD4066"/>
    </row>
    <row r="4067" spans="1:30" ht="41.45" customHeight="1">
      <c r="A4067"/>
      <c r="AC4067"/>
      <c r="AD4067"/>
    </row>
    <row r="4068" spans="1:30" ht="41.45" customHeight="1">
      <c r="A4068"/>
      <c r="AC4068"/>
      <c r="AD4068"/>
    </row>
    <row r="4069" spans="1:30" ht="41.45" customHeight="1">
      <c r="A4069"/>
      <c r="AC4069"/>
      <c r="AD4069"/>
    </row>
    <row r="4070" spans="1:30" ht="41.45" customHeight="1">
      <c r="A4070"/>
      <c r="AC4070"/>
      <c r="AD4070"/>
    </row>
    <row r="4071" spans="1:30" ht="41.45" customHeight="1">
      <c r="A4071"/>
      <c r="AC4071"/>
      <c r="AD4071"/>
    </row>
    <row r="4072" spans="1:30" ht="41.45" customHeight="1">
      <c r="A4072"/>
      <c r="AC4072"/>
      <c r="AD4072"/>
    </row>
    <row r="4073" spans="1:30" ht="41.45" customHeight="1">
      <c r="A4073"/>
      <c r="AC4073"/>
      <c r="AD4073"/>
    </row>
    <row r="4074" spans="1:30" ht="41.45" customHeight="1">
      <c r="A4074"/>
      <c r="AC4074"/>
      <c r="AD4074"/>
    </row>
    <row r="4075" spans="1:30" ht="41.45" customHeight="1">
      <c r="A4075"/>
      <c r="AC4075"/>
      <c r="AD4075"/>
    </row>
    <row r="4076" spans="1:30" ht="41.45" customHeight="1">
      <c r="A4076"/>
      <c r="AC4076"/>
      <c r="AD4076"/>
    </row>
    <row r="4077" spans="1:30" ht="41.45" customHeight="1">
      <c r="A4077"/>
      <c r="AC4077"/>
      <c r="AD4077"/>
    </row>
    <row r="4078" spans="1:30" ht="41.45" customHeight="1">
      <c r="A4078"/>
      <c r="AC4078"/>
      <c r="AD4078"/>
    </row>
    <row r="4079" spans="1:30" ht="41.45" customHeight="1">
      <c r="A4079"/>
      <c r="AC4079"/>
      <c r="AD4079"/>
    </row>
    <row r="4080" spans="1:30" ht="41.45" customHeight="1">
      <c r="A4080"/>
      <c r="AC4080"/>
      <c r="AD4080"/>
    </row>
    <row r="4081" spans="1:30" ht="41.45" customHeight="1">
      <c r="A4081"/>
      <c r="AC4081"/>
      <c r="AD4081"/>
    </row>
    <row r="4082" spans="1:30" ht="41.45" customHeight="1">
      <c r="A4082"/>
      <c r="AC4082"/>
      <c r="AD4082"/>
    </row>
    <row r="4083" spans="1:30" ht="41.45" customHeight="1">
      <c r="A4083"/>
      <c r="AC4083"/>
      <c r="AD4083"/>
    </row>
    <row r="4084" spans="1:30" ht="41.45" customHeight="1">
      <c r="A4084"/>
      <c r="AC4084"/>
      <c r="AD4084"/>
    </row>
    <row r="4085" spans="1:30" ht="41.45" customHeight="1">
      <c r="A4085"/>
      <c r="AC4085"/>
      <c r="AD4085"/>
    </row>
    <row r="4086" spans="1:30" ht="41.45" customHeight="1">
      <c r="A4086"/>
      <c r="AC4086"/>
      <c r="AD4086"/>
    </row>
    <row r="4087" spans="1:30" ht="41.45" customHeight="1">
      <c r="A4087"/>
      <c r="AC4087"/>
      <c r="AD4087"/>
    </row>
    <row r="4088" spans="1:30" ht="41.45" customHeight="1">
      <c r="A4088"/>
      <c r="AC4088"/>
      <c r="AD4088"/>
    </row>
    <row r="4089" spans="1:30" ht="41.45" customHeight="1">
      <c r="A4089"/>
      <c r="AC4089"/>
      <c r="AD4089"/>
    </row>
    <row r="4090" spans="1:30" ht="41.45" customHeight="1">
      <c r="A4090"/>
      <c r="AC4090"/>
      <c r="AD4090"/>
    </row>
    <row r="4091" spans="1:30" ht="41.45" customHeight="1">
      <c r="A4091"/>
      <c r="AC4091"/>
      <c r="AD4091"/>
    </row>
    <row r="4092" spans="1:30" ht="41.45" customHeight="1">
      <c r="A4092"/>
      <c r="AC4092"/>
      <c r="AD4092"/>
    </row>
    <row r="4093" spans="1:30" ht="41.45" customHeight="1">
      <c r="A4093"/>
      <c r="AC4093"/>
      <c r="AD4093"/>
    </row>
    <row r="4094" spans="1:30" ht="41.45" customHeight="1">
      <c r="A4094"/>
      <c r="AC4094"/>
      <c r="AD4094"/>
    </row>
    <row r="4095" spans="1:30" ht="41.45" customHeight="1">
      <c r="A4095"/>
      <c r="AC4095"/>
      <c r="AD4095"/>
    </row>
    <row r="4096" spans="1:30" ht="41.45" customHeight="1">
      <c r="A4096"/>
      <c r="AC4096"/>
      <c r="AD4096"/>
    </row>
    <row r="4097" spans="1:30" ht="41.45" customHeight="1">
      <c r="A4097"/>
      <c r="AC4097"/>
      <c r="AD4097"/>
    </row>
    <row r="4098" spans="1:30" ht="41.45" customHeight="1">
      <c r="A4098"/>
      <c r="AC4098"/>
      <c r="AD4098"/>
    </row>
    <row r="4099" spans="1:30" ht="41.45" customHeight="1">
      <c r="A4099"/>
      <c r="AC4099"/>
      <c r="AD4099"/>
    </row>
    <row r="4100" spans="1:30" ht="41.45" customHeight="1">
      <c r="A4100"/>
      <c r="AC4100"/>
      <c r="AD4100"/>
    </row>
    <row r="4101" spans="1:30" ht="41.45" customHeight="1">
      <c r="A4101"/>
      <c r="AC4101"/>
      <c r="AD4101"/>
    </row>
    <row r="4102" spans="1:30" ht="41.45" customHeight="1">
      <c r="A4102"/>
      <c r="AC4102"/>
      <c r="AD4102"/>
    </row>
    <row r="4103" spans="1:30" ht="41.45" customHeight="1">
      <c r="A4103"/>
      <c r="AC4103"/>
      <c r="AD4103"/>
    </row>
    <row r="4104" spans="1:30" ht="41.45" customHeight="1">
      <c r="A4104"/>
      <c r="AC4104"/>
      <c r="AD4104"/>
    </row>
    <row r="4105" spans="1:30" ht="41.45" customHeight="1">
      <c r="A4105"/>
      <c r="AC4105"/>
      <c r="AD4105"/>
    </row>
    <row r="4106" spans="1:30" ht="41.45" customHeight="1">
      <c r="A4106"/>
      <c r="AC4106"/>
      <c r="AD4106"/>
    </row>
    <row r="4107" spans="1:30" ht="41.45" customHeight="1">
      <c r="A4107"/>
      <c r="AC4107"/>
      <c r="AD4107"/>
    </row>
    <row r="4108" spans="1:30" ht="41.45" customHeight="1">
      <c r="A4108"/>
      <c r="AC4108"/>
      <c r="AD4108"/>
    </row>
    <row r="4109" spans="1:30" ht="41.45" customHeight="1">
      <c r="A4109"/>
      <c r="AC4109"/>
      <c r="AD4109"/>
    </row>
    <row r="4110" spans="1:30" ht="41.45" customHeight="1">
      <c r="A4110"/>
      <c r="AC4110"/>
      <c r="AD4110"/>
    </row>
    <row r="4111" spans="1:30" ht="41.45" customHeight="1">
      <c r="A4111"/>
      <c r="AC4111"/>
      <c r="AD4111"/>
    </row>
    <row r="4112" spans="1:30" ht="41.45" customHeight="1">
      <c r="A4112"/>
      <c r="AC4112"/>
      <c r="AD4112"/>
    </row>
    <row r="4113" spans="1:30" ht="41.45" customHeight="1">
      <c r="A4113"/>
      <c r="AC4113"/>
      <c r="AD4113"/>
    </row>
    <row r="4114" spans="1:30" ht="41.45" customHeight="1">
      <c r="A4114"/>
      <c r="AC4114"/>
      <c r="AD4114"/>
    </row>
    <row r="4115" spans="1:30" ht="41.45" customHeight="1">
      <c r="A4115"/>
      <c r="AC4115"/>
      <c r="AD4115"/>
    </row>
    <row r="4116" spans="1:30" ht="41.45" customHeight="1">
      <c r="A4116"/>
      <c r="AC4116"/>
      <c r="AD4116"/>
    </row>
    <row r="4117" spans="1:30" ht="41.45" customHeight="1">
      <c r="A4117"/>
      <c r="AC4117"/>
      <c r="AD4117"/>
    </row>
    <row r="4118" spans="1:30" ht="41.45" customHeight="1">
      <c r="A4118"/>
      <c r="AC4118"/>
      <c r="AD4118"/>
    </row>
    <row r="4119" spans="1:30" ht="41.45" customHeight="1">
      <c r="A4119"/>
      <c r="AC4119"/>
      <c r="AD4119"/>
    </row>
    <row r="4120" spans="1:30" ht="41.45" customHeight="1">
      <c r="A4120"/>
      <c r="AC4120"/>
      <c r="AD4120"/>
    </row>
    <row r="4121" spans="1:30" ht="41.45" customHeight="1">
      <c r="A4121"/>
      <c r="AC4121"/>
      <c r="AD4121"/>
    </row>
    <row r="4122" spans="1:30" ht="41.45" customHeight="1">
      <c r="A4122"/>
      <c r="AC4122"/>
      <c r="AD4122"/>
    </row>
    <row r="4123" spans="1:30" ht="41.45" customHeight="1">
      <c r="A4123"/>
      <c r="AC4123"/>
      <c r="AD4123"/>
    </row>
    <row r="4124" spans="1:30" ht="41.45" customHeight="1">
      <c r="A4124"/>
      <c r="AC4124"/>
      <c r="AD4124"/>
    </row>
    <row r="4125" spans="1:30" ht="41.45" customHeight="1">
      <c r="A4125"/>
      <c r="AC4125"/>
      <c r="AD4125"/>
    </row>
    <row r="4126" spans="1:30" ht="41.45" customHeight="1">
      <c r="A4126"/>
      <c r="AC4126"/>
      <c r="AD4126"/>
    </row>
    <row r="4127" spans="1:30" ht="41.45" customHeight="1">
      <c r="A4127"/>
      <c r="AC4127"/>
      <c r="AD4127"/>
    </row>
    <row r="4128" spans="1:30" ht="41.45" customHeight="1">
      <c r="A4128"/>
      <c r="AC4128"/>
      <c r="AD4128"/>
    </row>
    <row r="4129" spans="1:30" ht="41.45" customHeight="1">
      <c r="A4129"/>
      <c r="AC4129"/>
      <c r="AD4129"/>
    </row>
    <row r="4130" spans="1:30" ht="41.45" customHeight="1">
      <c r="A4130"/>
      <c r="AC4130"/>
      <c r="AD4130"/>
    </row>
    <row r="4131" spans="1:30" ht="41.45" customHeight="1">
      <c r="A4131"/>
      <c r="AC4131"/>
      <c r="AD4131"/>
    </row>
    <row r="4132" spans="1:30" ht="41.45" customHeight="1">
      <c r="A4132"/>
      <c r="AC4132"/>
      <c r="AD4132"/>
    </row>
    <row r="4133" spans="1:30" ht="41.45" customHeight="1">
      <c r="A4133"/>
      <c r="AC4133"/>
      <c r="AD4133"/>
    </row>
    <row r="4134" spans="1:30" ht="41.45" customHeight="1">
      <c r="A4134"/>
      <c r="AC4134"/>
      <c r="AD4134"/>
    </row>
    <row r="4135" spans="1:30" ht="41.45" customHeight="1">
      <c r="A4135"/>
      <c r="AC4135"/>
      <c r="AD4135"/>
    </row>
    <row r="4136" spans="1:30" ht="41.45" customHeight="1">
      <c r="A4136"/>
      <c r="AC4136"/>
      <c r="AD4136"/>
    </row>
    <row r="4137" spans="1:30" ht="41.45" customHeight="1">
      <c r="A4137"/>
      <c r="AC4137"/>
      <c r="AD4137"/>
    </row>
    <row r="4138" spans="1:30" ht="41.45" customHeight="1">
      <c r="A4138"/>
      <c r="AC4138"/>
      <c r="AD4138"/>
    </row>
    <row r="4139" spans="1:30" ht="41.45" customHeight="1">
      <c r="A4139"/>
      <c r="AC4139"/>
      <c r="AD4139"/>
    </row>
    <row r="4140" spans="1:30" ht="41.45" customHeight="1">
      <c r="A4140"/>
      <c r="AC4140"/>
      <c r="AD4140"/>
    </row>
    <row r="4141" spans="1:30" ht="41.45" customHeight="1">
      <c r="A4141"/>
      <c r="AC4141"/>
      <c r="AD4141"/>
    </row>
    <row r="4142" spans="1:30" ht="41.45" customHeight="1">
      <c r="A4142"/>
      <c r="AC4142"/>
      <c r="AD4142"/>
    </row>
    <row r="4143" spans="1:30" ht="41.45" customHeight="1">
      <c r="A4143"/>
      <c r="AC4143"/>
      <c r="AD4143"/>
    </row>
    <row r="4144" spans="1:30" ht="41.45" customHeight="1">
      <c r="A4144"/>
      <c r="AC4144"/>
      <c r="AD4144"/>
    </row>
    <row r="4145" spans="1:30" ht="41.45" customHeight="1">
      <c r="A4145"/>
      <c r="AC4145"/>
      <c r="AD4145"/>
    </row>
    <row r="4146" spans="1:30" ht="41.45" customHeight="1">
      <c r="A4146"/>
      <c r="AC4146"/>
      <c r="AD4146"/>
    </row>
    <row r="4147" spans="1:30" ht="41.45" customHeight="1">
      <c r="A4147"/>
      <c r="AC4147"/>
      <c r="AD4147"/>
    </row>
    <row r="4148" spans="1:30" ht="41.45" customHeight="1">
      <c r="A4148"/>
      <c r="AC4148"/>
      <c r="AD4148"/>
    </row>
    <row r="4149" spans="1:30" ht="41.45" customHeight="1">
      <c r="A4149"/>
      <c r="AC4149"/>
      <c r="AD4149"/>
    </row>
    <row r="4150" spans="1:30" ht="41.45" customHeight="1">
      <c r="A4150"/>
      <c r="AC4150"/>
      <c r="AD4150"/>
    </row>
    <row r="4151" spans="1:30" ht="41.45" customHeight="1">
      <c r="A4151"/>
      <c r="AC4151"/>
      <c r="AD4151"/>
    </row>
    <row r="4152" spans="1:30" ht="41.45" customHeight="1">
      <c r="A4152"/>
      <c r="AC4152"/>
      <c r="AD4152"/>
    </row>
    <row r="4153" spans="1:30" ht="41.45" customHeight="1">
      <c r="A4153"/>
      <c r="AC4153"/>
      <c r="AD4153"/>
    </row>
    <row r="4154" spans="1:30" ht="41.45" customHeight="1">
      <c r="A4154"/>
      <c r="AC4154"/>
      <c r="AD4154"/>
    </row>
    <row r="4155" spans="1:30" ht="41.45" customHeight="1">
      <c r="A4155"/>
      <c r="AC4155"/>
      <c r="AD4155"/>
    </row>
    <row r="4156" spans="1:30" ht="41.45" customHeight="1">
      <c r="A4156"/>
      <c r="AC4156"/>
      <c r="AD4156"/>
    </row>
    <row r="4157" spans="1:30" ht="41.45" customHeight="1">
      <c r="A4157"/>
      <c r="AC4157"/>
      <c r="AD4157"/>
    </row>
    <row r="4158" spans="1:30" ht="41.45" customHeight="1">
      <c r="A4158"/>
      <c r="AC4158"/>
      <c r="AD4158"/>
    </row>
    <row r="4159" spans="1:30" ht="41.45" customHeight="1">
      <c r="A4159"/>
      <c r="AC4159"/>
      <c r="AD4159"/>
    </row>
    <row r="4160" spans="1:30" ht="41.45" customHeight="1">
      <c r="A4160"/>
      <c r="AC4160"/>
      <c r="AD4160"/>
    </row>
    <row r="4161" spans="1:30" ht="41.45" customHeight="1">
      <c r="A4161"/>
      <c r="AC4161"/>
      <c r="AD4161"/>
    </row>
    <row r="4162" spans="1:30" ht="41.45" customHeight="1">
      <c r="A4162"/>
      <c r="AC4162"/>
      <c r="AD4162"/>
    </row>
    <row r="4163" spans="1:30" ht="41.45" customHeight="1">
      <c r="A4163"/>
      <c r="AC4163"/>
      <c r="AD4163"/>
    </row>
    <row r="4164" spans="1:30" ht="41.45" customHeight="1">
      <c r="A4164"/>
      <c r="AC4164"/>
      <c r="AD4164"/>
    </row>
    <row r="4165" spans="1:30" ht="41.45" customHeight="1">
      <c r="A4165"/>
      <c r="AC4165"/>
      <c r="AD4165"/>
    </row>
    <row r="4166" spans="1:30" ht="41.45" customHeight="1">
      <c r="A4166"/>
      <c r="AC4166"/>
      <c r="AD4166"/>
    </row>
    <row r="4167" spans="1:30" ht="41.45" customHeight="1">
      <c r="A4167"/>
      <c r="AC4167"/>
      <c r="AD4167"/>
    </row>
    <row r="4168" spans="1:30" ht="41.45" customHeight="1">
      <c r="A4168"/>
      <c r="AC4168"/>
      <c r="AD4168"/>
    </row>
    <row r="4169" spans="1:30" ht="41.45" customHeight="1">
      <c r="A4169"/>
      <c r="AC4169"/>
      <c r="AD4169"/>
    </row>
    <row r="4170" spans="1:30" ht="41.45" customHeight="1">
      <c r="A4170"/>
      <c r="AC4170"/>
      <c r="AD4170"/>
    </row>
    <row r="4171" spans="1:30" ht="41.45" customHeight="1">
      <c r="A4171"/>
      <c r="AC4171"/>
      <c r="AD4171"/>
    </row>
    <row r="4172" spans="1:30" ht="41.45" customHeight="1">
      <c r="A4172"/>
      <c r="AC4172"/>
      <c r="AD4172"/>
    </row>
    <row r="4173" spans="1:30" ht="41.45" customHeight="1">
      <c r="A4173"/>
      <c r="AC4173"/>
      <c r="AD4173"/>
    </row>
    <row r="4174" spans="1:30" ht="41.45" customHeight="1">
      <c r="A4174"/>
      <c r="AC4174"/>
      <c r="AD4174"/>
    </row>
    <row r="4175" spans="1:30" ht="41.45" customHeight="1">
      <c r="A4175"/>
      <c r="AC4175"/>
      <c r="AD4175"/>
    </row>
    <row r="4176" spans="1:30" ht="41.45" customHeight="1">
      <c r="A4176"/>
      <c r="AC4176"/>
      <c r="AD4176"/>
    </row>
    <row r="4177" spans="1:30" ht="41.45" customHeight="1">
      <c r="A4177"/>
      <c r="AC4177"/>
      <c r="AD4177"/>
    </row>
    <row r="4178" spans="1:30" ht="41.45" customHeight="1">
      <c r="A4178"/>
      <c r="AC4178"/>
      <c r="AD4178"/>
    </row>
    <row r="4179" spans="1:30" ht="41.45" customHeight="1">
      <c r="A4179"/>
      <c r="AC4179"/>
      <c r="AD4179"/>
    </row>
    <row r="4180" spans="1:30" ht="41.45" customHeight="1">
      <c r="A4180"/>
      <c r="AC4180"/>
      <c r="AD4180"/>
    </row>
    <row r="4181" spans="1:30" ht="41.45" customHeight="1">
      <c r="A4181"/>
      <c r="AC4181"/>
      <c r="AD4181"/>
    </row>
    <row r="4182" spans="1:30" ht="41.45" customHeight="1">
      <c r="A4182"/>
      <c r="AC4182"/>
      <c r="AD4182"/>
    </row>
    <row r="4183" spans="1:30" ht="41.45" customHeight="1">
      <c r="A4183"/>
      <c r="AC4183"/>
      <c r="AD4183"/>
    </row>
    <row r="4184" spans="1:30" ht="41.45" customHeight="1">
      <c r="A4184"/>
      <c r="AC4184"/>
      <c r="AD4184"/>
    </row>
    <row r="4185" spans="1:30" ht="41.45" customHeight="1">
      <c r="A4185"/>
      <c r="AC4185"/>
      <c r="AD4185"/>
    </row>
    <row r="4186" spans="1:30" ht="41.45" customHeight="1">
      <c r="A4186"/>
      <c r="AC4186"/>
      <c r="AD4186"/>
    </row>
    <row r="4187" spans="1:30" ht="41.45" customHeight="1">
      <c r="A4187"/>
      <c r="AC4187"/>
      <c r="AD4187"/>
    </row>
    <row r="4188" spans="1:30" ht="41.45" customHeight="1">
      <c r="A4188"/>
      <c r="AC4188"/>
      <c r="AD4188"/>
    </row>
    <row r="4189" spans="1:30" ht="41.45" customHeight="1">
      <c r="A4189"/>
      <c r="AC4189"/>
      <c r="AD4189"/>
    </row>
    <row r="4190" spans="1:30" ht="41.45" customHeight="1">
      <c r="A4190"/>
      <c r="AC4190"/>
      <c r="AD4190"/>
    </row>
    <row r="4191" spans="1:30" ht="41.45" customHeight="1">
      <c r="A4191"/>
      <c r="AC4191"/>
      <c r="AD4191"/>
    </row>
    <row r="4192" spans="1:30" ht="41.45" customHeight="1">
      <c r="A4192"/>
      <c r="AC4192"/>
      <c r="AD4192"/>
    </row>
    <row r="4193" spans="1:30" ht="41.45" customHeight="1">
      <c r="A4193"/>
      <c r="AC4193"/>
      <c r="AD4193"/>
    </row>
    <row r="4194" spans="1:30" ht="41.45" customHeight="1">
      <c r="A4194"/>
      <c r="AC4194"/>
      <c r="AD4194"/>
    </row>
    <row r="4195" spans="1:30" ht="41.45" customHeight="1">
      <c r="A4195"/>
      <c r="AC4195"/>
      <c r="AD4195"/>
    </row>
    <row r="4196" spans="1:30" ht="41.45" customHeight="1">
      <c r="A4196"/>
      <c r="AC4196"/>
      <c r="AD4196"/>
    </row>
    <row r="4197" spans="1:30" ht="41.45" customHeight="1">
      <c r="A4197"/>
      <c r="AC4197"/>
      <c r="AD4197"/>
    </row>
    <row r="4198" spans="1:30" ht="41.45" customHeight="1">
      <c r="A4198"/>
      <c r="AC4198"/>
      <c r="AD4198"/>
    </row>
    <row r="4199" spans="1:30" ht="41.45" customHeight="1">
      <c r="A4199"/>
      <c r="AC4199"/>
      <c r="AD4199"/>
    </row>
    <row r="4200" spans="1:30" ht="41.45" customHeight="1">
      <c r="A4200"/>
      <c r="AC4200"/>
      <c r="AD4200"/>
    </row>
    <row r="4201" spans="1:30" ht="41.45" customHeight="1">
      <c r="A4201"/>
      <c r="AC4201"/>
      <c r="AD4201"/>
    </row>
    <row r="4202" spans="1:30" ht="41.45" customHeight="1">
      <c r="A4202"/>
      <c r="AC4202"/>
      <c r="AD4202"/>
    </row>
    <row r="4203" spans="1:30" ht="41.45" customHeight="1">
      <c r="A4203"/>
      <c r="AC4203"/>
      <c r="AD4203"/>
    </row>
    <row r="4204" spans="1:30" ht="41.45" customHeight="1">
      <c r="A4204"/>
      <c r="AC4204"/>
      <c r="AD4204"/>
    </row>
    <row r="4205" spans="1:30" ht="41.45" customHeight="1">
      <c r="A4205"/>
      <c r="AC4205"/>
      <c r="AD4205"/>
    </row>
    <row r="4206" spans="1:30" ht="41.45" customHeight="1">
      <c r="A4206"/>
      <c r="AC4206"/>
      <c r="AD4206"/>
    </row>
    <row r="4207" spans="1:30" ht="41.45" customHeight="1">
      <c r="A4207"/>
      <c r="AC4207"/>
      <c r="AD4207"/>
    </row>
    <row r="4208" spans="1:30" ht="41.45" customHeight="1">
      <c r="A4208"/>
      <c r="AC4208"/>
      <c r="AD4208"/>
    </row>
    <row r="4209" spans="1:30" ht="41.45" customHeight="1">
      <c r="A4209"/>
      <c r="AC4209"/>
      <c r="AD4209"/>
    </row>
    <row r="4210" spans="1:30" ht="41.45" customHeight="1">
      <c r="A4210"/>
      <c r="AC4210"/>
      <c r="AD4210"/>
    </row>
    <row r="4211" spans="1:30" ht="41.45" customHeight="1">
      <c r="A4211"/>
      <c r="AC4211"/>
      <c r="AD4211"/>
    </row>
    <row r="4212" spans="1:30" ht="41.45" customHeight="1">
      <c r="A4212"/>
      <c r="AC4212"/>
      <c r="AD4212"/>
    </row>
    <row r="4213" spans="1:30" ht="41.45" customHeight="1">
      <c r="A4213"/>
      <c r="AC4213"/>
      <c r="AD4213"/>
    </row>
    <row r="4214" spans="1:30" ht="41.45" customHeight="1">
      <c r="A4214"/>
      <c r="AC4214"/>
      <c r="AD4214"/>
    </row>
    <row r="4215" spans="1:30" ht="41.45" customHeight="1">
      <c r="A4215"/>
      <c r="AC4215"/>
      <c r="AD4215"/>
    </row>
    <row r="4216" spans="1:30" ht="41.45" customHeight="1">
      <c r="A4216"/>
      <c r="AC4216"/>
      <c r="AD4216"/>
    </row>
    <row r="4217" spans="1:30" ht="41.45" customHeight="1">
      <c r="A4217"/>
      <c r="AC4217"/>
      <c r="AD4217"/>
    </row>
    <row r="4218" spans="1:30" ht="41.45" customHeight="1">
      <c r="A4218"/>
      <c r="AC4218"/>
      <c r="AD4218"/>
    </row>
    <row r="4219" spans="1:30" ht="41.45" customHeight="1">
      <c r="A4219"/>
      <c r="AC4219"/>
      <c r="AD4219"/>
    </row>
    <row r="4220" spans="1:30" ht="41.45" customHeight="1">
      <c r="A4220"/>
      <c r="AC4220"/>
      <c r="AD4220"/>
    </row>
    <row r="4221" spans="1:30" ht="41.45" customHeight="1">
      <c r="A4221"/>
      <c r="AC4221"/>
      <c r="AD4221"/>
    </row>
    <row r="4222" spans="1:30" ht="41.45" customHeight="1">
      <c r="A4222"/>
      <c r="AC4222"/>
      <c r="AD4222"/>
    </row>
    <row r="4223" spans="1:30" ht="41.45" customHeight="1">
      <c r="A4223"/>
      <c r="AC4223"/>
      <c r="AD4223"/>
    </row>
    <row r="4224" spans="1:30" ht="41.45" customHeight="1">
      <c r="A4224"/>
      <c r="AC4224"/>
      <c r="AD4224"/>
    </row>
    <row r="4225" spans="1:30" ht="41.45" customHeight="1">
      <c r="A4225"/>
      <c r="AC4225"/>
      <c r="AD4225"/>
    </row>
    <row r="4226" spans="1:30" ht="41.45" customHeight="1">
      <c r="A4226"/>
      <c r="AC4226"/>
      <c r="AD4226"/>
    </row>
    <row r="4227" spans="1:30" ht="41.45" customHeight="1">
      <c r="A4227"/>
      <c r="AC4227"/>
      <c r="AD4227"/>
    </row>
    <row r="4228" spans="1:30" ht="41.45" customHeight="1">
      <c r="A4228"/>
      <c r="AC4228"/>
      <c r="AD4228"/>
    </row>
    <row r="4229" spans="1:30" ht="41.45" customHeight="1">
      <c r="A4229"/>
      <c r="AC4229"/>
      <c r="AD4229"/>
    </row>
    <row r="4230" spans="1:30" ht="41.45" customHeight="1">
      <c r="A4230"/>
      <c r="AC4230"/>
      <c r="AD4230"/>
    </row>
    <row r="4231" spans="1:30" ht="41.45" customHeight="1">
      <c r="A4231"/>
      <c r="AC4231"/>
      <c r="AD4231"/>
    </row>
    <row r="4232" spans="1:30" ht="41.45" customHeight="1">
      <c r="A4232"/>
      <c r="AC4232"/>
      <c r="AD4232"/>
    </row>
    <row r="4233" spans="1:30" ht="41.45" customHeight="1">
      <c r="A4233"/>
      <c r="AC4233"/>
      <c r="AD4233"/>
    </row>
    <row r="4234" spans="1:30" ht="41.45" customHeight="1">
      <c r="A4234"/>
      <c r="AC4234"/>
      <c r="AD4234"/>
    </row>
    <row r="4235" spans="1:30" ht="41.45" customHeight="1">
      <c r="A4235"/>
      <c r="AC4235"/>
      <c r="AD4235"/>
    </row>
    <row r="4236" spans="1:30" ht="41.45" customHeight="1">
      <c r="A4236"/>
      <c r="AC4236"/>
      <c r="AD4236"/>
    </row>
    <row r="4237" spans="1:30" ht="41.45" customHeight="1">
      <c r="A4237"/>
      <c r="AC4237"/>
      <c r="AD4237"/>
    </row>
    <row r="4238" spans="1:30" ht="41.45" customHeight="1">
      <c r="A4238"/>
      <c r="AC4238"/>
      <c r="AD4238"/>
    </row>
    <row r="4239" spans="1:30" ht="41.45" customHeight="1">
      <c r="A4239"/>
      <c r="AC4239"/>
      <c r="AD4239"/>
    </row>
    <row r="4240" spans="1:30" ht="41.45" customHeight="1">
      <c r="A4240"/>
      <c r="AC4240"/>
      <c r="AD4240"/>
    </row>
    <row r="4241" spans="1:30" ht="41.45" customHeight="1">
      <c r="A4241"/>
      <c r="AC4241"/>
      <c r="AD4241"/>
    </row>
    <row r="4242" spans="1:30" ht="41.45" customHeight="1">
      <c r="A4242"/>
      <c r="AC4242"/>
      <c r="AD4242"/>
    </row>
    <row r="4243" spans="1:30" ht="41.45" customHeight="1">
      <c r="A4243"/>
      <c r="AC4243"/>
      <c r="AD4243"/>
    </row>
    <row r="4244" spans="1:30" ht="41.45" customHeight="1">
      <c r="A4244"/>
      <c r="AC4244"/>
      <c r="AD4244"/>
    </row>
    <row r="4245" spans="1:30" ht="41.45" customHeight="1">
      <c r="A4245"/>
      <c r="AC4245"/>
      <c r="AD4245"/>
    </row>
    <row r="4246" spans="1:30" ht="41.45" customHeight="1">
      <c r="A4246"/>
      <c r="AC4246"/>
      <c r="AD4246"/>
    </row>
    <row r="4247" spans="1:30" ht="41.45" customHeight="1">
      <c r="A4247"/>
      <c r="AC4247"/>
      <c r="AD4247"/>
    </row>
    <row r="4248" spans="1:30" ht="41.45" customHeight="1">
      <c r="A4248"/>
      <c r="AC4248"/>
      <c r="AD4248"/>
    </row>
    <row r="4249" spans="1:30" ht="41.45" customHeight="1">
      <c r="A4249"/>
      <c r="AC4249"/>
      <c r="AD4249"/>
    </row>
    <row r="4250" spans="1:30" ht="41.45" customHeight="1">
      <c r="A4250"/>
      <c r="AC4250"/>
      <c r="AD4250"/>
    </row>
    <row r="4251" spans="1:30" ht="41.45" customHeight="1">
      <c r="A4251"/>
      <c r="AC4251"/>
      <c r="AD4251"/>
    </row>
    <row r="4252" spans="1:30" ht="41.45" customHeight="1">
      <c r="A4252"/>
      <c r="AC4252"/>
      <c r="AD4252"/>
    </row>
    <row r="4253" spans="1:30" ht="41.45" customHeight="1">
      <c r="A4253"/>
      <c r="AC4253"/>
      <c r="AD4253"/>
    </row>
    <row r="4254" spans="1:30" ht="41.45" customHeight="1">
      <c r="A4254"/>
      <c r="AC4254"/>
      <c r="AD4254"/>
    </row>
    <row r="4255" spans="1:30" ht="41.45" customHeight="1">
      <c r="A4255"/>
      <c r="AC4255"/>
      <c r="AD4255"/>
    </row>
    <row r="4256" spans="1:30" ht="41.45" customHeight="1">
      <c r="A4256"/>
      <c r="AC4256"/>
      <c r="AD4256"/>
    </row>
    <row r="4257" spans="1:30" ht="41.45" customHeight="1">
      <c r="A4257"/>
      <c r="AC4257"/>
      <c r="AD4257"/>
    </row>
    <row r="4258" spans="1:30" ht="41.45" customHeight="1">
      <c r="A4258"/>
      <c r="AC4258"/>
      <c r="AD4258"/>
    </row>
    <row r="4259" spans="1:30" ht="41.45" customHeight="1">
      <c r="A4259"/>
      <c r="AC4259"/>
      <c r="AD4259"/>
    </row>
    <row r="4260" spans="1:30" ht="41.45" customHeight="1">
      <c r="A4260"/>
      <c r="AC4260"/>
      <c r="AD4260"/>
    </row>
    <row r="4261" spans="1:30" ht="41.45" customHeight="1">
      <c r="A4261"/>
      <c r="AC4261"/>
      <c r="AD4261"/>
    </row>
    <row r="4262" spans="1:30" ht="41.45" customHeight="1">
      <c r="A4262"/>
      <c r="AC4262"/>
      <c r="AD4262"/>
    </row>
    <row r="4263" spans="1:30" ht="41.45" customHeight="1">
      <c r="A4263"/>
      <c r="AC4263"/>
      <c r="AD4263"/>
    </row>
    <row r="4264" spans="1:30" ht="41.45" customHeight="1">
      <c r="A4264"/>
      <c r="AC4264"/>
      <c r="AD4264"/>
    </row>
    <row r="4265" spans="1:30" ht="41.45" customHeight="1">
      <c r="A4265"/>
      <c r="AC4265"/>
      <c r="AD4265"/>
    </row>
    <row r="4266" spans="1:30" ht="41.45" customHeight="1">
      <c r="A4266"/>
      <c r="AC4266"/>
      <c r="AD4266"/>
    </row>
    <row r="4267" spans="1:30" ht="41.45" customHeight="1">
      <c r="A4267"/>
      <c r="AC4267"/>
      <c r="AD4267"/>
    </row>
    <row r="4268" spans="1:30" ht="41.45" customHeight="1">
      <c r="A4268"/>
      <c r="AC4268"/>
      <c r="AD4268"/>
    </row>
    <row r="4269" spans="1:30" ht="41.45" customHeight="1">
      <c r="A4269"/>
      <c r="AC4269"/>
      <c r="AD4269"/>
    </row>
    <row r="4270" spans="1:30" ht="41.45" customHeight="1">
      <c r="A4270"/>
      <c r="AC4270"/>
      <c r="AD4270"/>
    </row>
    <row r="4271" spans="1:30" ht="41.45" customHeight="1">
      <c r="A4271"/>
      <c r="AC4271"/>
      <c r="AD4271"/>
    </row>
    <row r="4272" spans="1:30" ht="41.45" customHeight="1">
      <c r="A4272"/>
      <c r="AC4272"/>
      <c r="AD4272"/>
    </row>
    <row r="4273" spans="1:30" ht="41.45" customHeight="1">
      <c r="A4273"/>
      <c r="AC4273"/>
      <c r="AD4273"/>
    </row>
    <row r="4274" spans="1:30" ht="41.45" customHeight="1">
      <c r="A4274"/>
      <c r="AC4274"/>
      <c r="AD4274"/>
    </row>
    <row r="4275" spans="1:30" ht="41.45" customHeight="1">
      <c r="A4275"/>
      <c r="AC4275"/>
      <c r="AD4275"/>
    </row>
    <row r="4276" spans="1:30" ht="41.45" customHeight="1">
      <c r="A4276"/>
      <c r="AC4276"/>
      <c r="AD4276"/>
    </row>
    <row r="4277" spans="1:30" ht="41.45" customHeight="1">
      <c r="A4277"/>
      <c r="AC4277"/>
      <c r="AD4277"/>
    </row>
    <row r="4278" spans="1:30" ht="41.45" customHeight="1">
      <c r="A4278"/>
      <c r="AC4278"/>
      <c r="AD4278"/>
    </row>
    <row r="4279" spans="1:30" ht="41.45" customHeight="1">
      <c r="A4279"/>
      <c r="AC4279"/>
      <c r="AD4279"/>
    </row>
    <row r="4280" spans="1:30" ht="41.45" customHeight="1">
      <c r="A4280"/>
      <c r="AC4280"/>
      <c r="AD4280"/>
    </row>
    <row r="4281" spans="1:30" ht="41.45" customHeight="1">
      <c r="A4281"/>
      <c r="AC4281"/>
      <c r="AD4281"/>
    </row>
    <row r="4282" spans="1:30" ht="41.45" customHeight="1">
      <c r="A4282"/>
      <c r="AC4282"/>
      <c r="AD4282"/>
    </row>
    <row r="4283" spans="1:30" ht="41.45" customHeight="1">
      <c r="A4283"/>
      <c r="AC4283"/>
      <c r="AD4283"/>
    </row>
    <row r="4284" spans="1:30" ht="41.45" customHeight="1">
      <c r="A4284"/>
      <c r="AC4284"/>
      <c r="AD4284"/>
    </row>
    <row r="4285" spans="1:30" ht="41.45" customHeight="1">
      <c r="A4285"/>
      <c r="AC4285"/>
      <c r="AD4285"/>
    </row>
    <row r="4286" spans="1:30" ht="41.45" customHeight="1">
      <c r="A4286"/>
      <c r="AC4286"/>
      <c r="AD4286"/>
    </row>
    <row r="4287" spans="1:30" ht="41.45" customHeight="1">
      <c r="A4287"/>
      <c r="AC4287"/>
      <c r="AD4287"/>
    </row>
    <row r="4288" spans="1:30" ht="41.45" customHeight="1">
      <c r="A4288"/>
      <c r="AC4288"/>
      <c r="AD4288"/>
    </row>
    <row r="4289" spans="1:30" ht="41.45" customHeight="1">
      <c r="A4289"/>
      <c r="AC4289"/>
      <c r="AD4289"/>
    </row>
    <row r="4290" spans="1:30" ht="41.45" customHeight="1">
      <c r="A4290"/>
      <c r="AC4290"/>
      <c r="AD4290"/>
    </row>
    <row r="4291" spans="1:30" ht="41.45" customHeight="1">
      <c r="A4291"/>
      <c r="AC4291"/>
      <c r="AD4291"/>
    </row>
    <row r="4292" spans="1:30" ht="41.45" customHeight="1">
      <c r="A4292"/>
      <c r="AC4292"/>
      <c r="AD4292"/>
    </row>
    <row r="4293" spans="1:30" ht="41.45" customHeight="1">
      <c r="A4293"/>
      <c r="AC4293"/>
      <c r="AD4293"/>
    </row>
    <row r="4294" spans="1:30" ht="41.45" customHeight="1">
      <c r="A4294"/>
      <c r="AC4294"/>
      <c r="AD4294"/>
    </row>
    <row r="4295" spans="1:30" ht="41.45" customHeight="1">
      <c r="A4295"/>
      <c r="AC4295"/>
      <c r="AD4295"/>
    </row>
    <row r="4296" spans="1:30" ht="41.45" customHeight="1">
      <c r="A4296"/>
      <c r="AC4296"/>
      <c r="AD4296"/>
    </row>
    <row r="4297" spans="1:30" ht="41.45" customHeight="1">
      <c r="A4297"/>
      <c r="AC4297"/>
      <c r="AD4297"/>
    </row>
    <row r="4298" spans="1:30" ht="41.45" customHeight="1">
      <c r="A4298"/>
      <c r="AC4298"/>
      <c r="AD4298"/>
    </row>
    <row r="4299" spans="1:30" ht="41.45" customHeight="1">
      <c r="A4299"/>
      <c r="AC4299"/>
      <c r="AD4299"/>
    </row>
    <row r="4300" spans="1:30" ht="41.45" customHeight="1">
      <c r="A4300"/>
      <c r="AC4300"/>
      <c r="AD4300"/>
    </row>
    <row r="4301" spans="1:30" ht="41.45" customHeight="1">
      <c r="A4301"/>
      <c r="AC4301"/>
      <c r="AD4301"/>
    </row>
    <row r="4302" spans="1:30" ht="41.45" customHeight="1">
      <c r="A4302"/>
      <c r="AC4302"/>
      <c r="AD4302"/>
    </row>
    <row r="4303" spans="1:30" ht="41.45" customHeight="1">
      <c r="A4303"/>
      <c r="AC4303"/>
      <c r="AD4303"/>
    </row>
    <row r="4304" spans="1:30" ht="41.45" customHeight="1">
      <c r="A4304"/>
      <c r="AC4304"/>
      <c r="AD4304"/>
    </row>
    <row r="4305" spans="1:30" ht="41.45" customHeight="1">
      <c r="A4305"/>
      <c r="AC4305"/>
      <c r="AD4305"/>
    </row>
    <row r="4306" spans="1:30" ht="41.45" customHeight="1">
      <c r="A4306"/>
      <c r="AC4306"/>
      <c r="AD4306"/>
    </row>
    <row r="4307" spans="1:30" ht="41.45" customHeight="1">
      <c r="A4307"/>
      <c r="AC4307"/>
      <c r="AD4307"/>
    </row>
    <row r="4308" spans="1:30" ht="41.45" customHeight="1">
      <c r="A4308"/>
      <c r="AC4308"/>
      <c r="AD4308"/>
    </row>
    <row r="4309" spans="1:30" ht="41.45" customHeight="1">
      <c r="A4309"/>
      <c r="AC4309"/>
      <c r="AD4309"/>
    </row>
    <row r="4310" spans="1:30" ht="41.45" customHeight="1">
      <c r="A4310"/>
      <c r="AC4310"/>
      <c r="AD4310"/>
    </row>
    <row r="4311" spans="1:30" ht="41.45" customHeight="1">
      <c r="A4311"/>
      <c r="AC4311"/>
      <c r="AD4311"/>
    </row>
    <row r="4312" spans="1:30" ht="41.45" customHeight="1">
      <c r="A4312"/>
      <c r="AC4312"/>
      <c r="AD4312"/>
    </row>
    <row r="4313" spans="1:30" ht="41.45" customHeight="1">
      <c r="A4313"/>
      <c r="AC4313"/>
      <c r="AD4313"/>
    </row>
    <row r="4314" spans="1:30" ht="41.45" customHeight="1">
      <c r="A4314"/>
      <c r="AC4314"/>
      <c r="AD4314"/>
    </row>
    <row r="4315" spans="1:30" ht="41.45" customHeight="1">
      <c r="A4315"/>
      <c r="AC4315"/>
      <c r="AD4315"/>
    </row>
    <row r="4316" spans="1:30" ht="41.45" customHeight="1">
      <c r="A4316"/>
      <c r="AC4316"/>
      <c r="AD4316"/>
    </row>
    <row r="4317" spans="1:30" ht="41.45" customHeight="1">
      <c r="A4317"/>
      <c r="AC4317"/>
      <c r="AD4317"/>
    </row>
    <row r="4318" spans="1:30" ht="41.45" customHeight="1">
      <c r="A4318"/>
      <c r="AC4318"/>
      <c r="AD4318"/>
    </row>
    <row r="4319" spans="1:30" ht="41.45" customHeight="1">
      <c r="A4319"/>
      <c r="AC4319"/>
      <c r="AD4319"/>
    </row>
    <row r="4320" spans="1:30" ht="41.45" customHeight="1">
      <c r="A4320"/>
      <c r="AC4320"/>
      <c r="AD4320"/>
    </row>
    <row r="4321" spans="1:30" ht="41.45" customHeight="1">
      <c r="A4321"/>
      <c r="AC4321"/>
      <c r="AD4321"/>
    </row>
    <row r="4322" spans="1:30" ht="41.45" customHeight="1">
      <c r="A4322"/>
      <c r="AC4322"/>
      <c r="AD4322"/>
    </row>
    <row r="4323" spans="1:30" ht="41.45" customHeight="1">
      <c r="A4323"/>
      <c r="AC4323"/>
      <c r="AD4323"/>
    </row>
    <row r="4324" spans="1:30" ht="41.45" customHeight="1">
      <c r="A4324"/>
      <c r="AC4324"/>
      <c r="AD4324"/>
    </row>
    <row r="4325" spans="1:30" ht="41.45" customHeight="1">
      <c r="A4325"/>
      <c r="AC4325"/>
      <c r="AD4325"/>
    </row>
    <row r="4326" spans="1:30" ht="41.45" customHeight="1">
      <c r="A4326"/>
      <c r="AC4326"/>
      <c r="AD4326"/>
    </row>
    <row r="4327" spans="1:30" ht="41.45" customHeight="1">
      <c r="A4327"/>
      <c r="AC4327"/>
      <c r="AD4327"/>
    </row>
    <row r="4328" spans="1:30" ht="41.45" customHeight="1">
      <c r="A4328"/>
      <c r="AC4328"/>
      <c r="AD4328"/>
    </row>
    <row r="4329" spans="1:30" ht="41.45" customHeight="1">
      <c r="A4329"/>
      <c r="AC4329"/>
      <c r="AD4329"/>
    </row>
    <row r="4330" spans="1:30" ht="41.45" customHeight="1">
      <c r="A4330"/>
      <c r="AC4330"/>
      <c r="AD4330"/>
    </row>
    <row r="4331" spans="1:30" ht="41.45" customHeight="1">
      <c r="A4331"/>
      <c r="AC4331"/>
      <c r="AD4331"/>
    </row>
    <row r="4332" spans="1:30" ht="41.45" customHeight="1">
      <c r="A4332"/>
      <c r="AC4332"/>
      <c r="AD4332"/>
    </row>
    <row r="4333" spans="1:30" ht="41.45" customHeight="1">
      <c r="A4333"/>
      <c r="AC4333"/>
      <c r="AD4333"/>
    </row>
    <row r="4334" spans="1:30" ht="41.45" customHeight="1">
      <c r="A4334"/>
      <c r="AC4334"/>
      <c r="AD4334"/>
    </row>
    <row r="4335" spans="1:30" ht="41.45" customHeight="1">
      <c r="A4335"/>
      <c r="AC4335"/>
      <c r="AD4335"/>
    </row>
    <row r="4336" spans="1:30" ht="41.45" customHeight="1">
      <c r="A4336"/>
      <c r="AC4336"/>
      <c r="AD4336"/>
    </row>
    <row r="4337" spans="1:30" ht="41.45" customHeight="1">
      <c r="A4337"/>
      <c r="AC4337"/>
      <c r="AD4337"/>
    </row>
    <row r="4338" spans="1:30" ht="41.45" customHeight="1">
      <c r="A4338"/>
      <c r="AC4338"/>
      <c r="AD4338"/>
    </row>
    <row r="4339" spans="1:30" ht="41.45" customHeight="1">
      <c r="A4339"/>
      <c r="AC4339"/>
      <c r="AD4339"/>
    </row>
    <row r="4340" spans="1:30" ht="41.45" customHeight="1">
      <c r="A4340"/>
      <c r="AC4340"/>
      <c r="AD4340"/>
    </row>
    <row r="4341" spans="1:30" ht="41.45" customHeight="1">
      <c r="A4341"/>
      <c r="AC4341"/>
      <c r="AD4341"/>
    </row>
    <row r="4342" spans="1:30" ht="41.45" customHeight="1">
      <c r="A4342"/>
      <c r="AC4342"/>
      <c r="AD4342"/>
    </row>
    <row r="4343" spans="1:30" ht="41.45" customHeight="1">
      <c r="A4343"/>
      <c r="AC4343"/>
      <c r="AD4343"/>
    </row>
    <row r="4344" spans="1:30" ht="41.45" customHeight="1">
      <c r="A4344"/>
      <c r="AC4344"/>
      <c r="AD4344"/>
    </row>
    <row r="4345" spans="1:30" ht="41.45" customHeight="1">
      <c r="A4345"/>
      <c r="AC4345"/>
      <c r="AD4345"/>
    </row>
    <row r="4346" spans="1:30" ht="41.45" customHeight="1">
      <c r="A4346"/>
      <c r="AC4346"/>
      <c r="AD4346"/>
    </row>
    <row r="4347" spans="1:30" ht="41.45" customHeight="1">
      <c r="A4347"/>
      <c r="AC4347"/>
      <c r="AD4347"/>
    </row>
    <row r="4348" spans="1:30" ht="41.45" customHeight="1">
      <c r="A4348"/>
      <c r="AC4348"/>
      <c r="AD4348"/>
    </row>
    <row r="4349" spans="1:30" ht="41.45" customHeight="1">
      <c r="A4349"/>
      <c r="AC4349"/>
      <c r="AD4349"/>
    </row>
    <row r="4350" spans="1:30" ht="41.45" customHeight="1">
      <c r="A4350"/>
      <c r="AC4350"/>
      <c r="AD4350"/>
    </row>
    <row r="4351" spans="1:30" ht="41.45" customHeight="1">
      <c r="A4351"/>
      <c r="AC4351"/>
      <c r="AD4351"/>
    </row>
    <row r="4352" spans="1:30" ht="41.45" customHeight="1">
      <c r="A4352"/>
      <c r="AC4352"/>
      <c r="AD4352"/>
    </row>
    <row r="4353" spans="1:30" ht="41.45" customHeight="1">
      <c r="A4353"/>
      <c r="AC4353"/>
      <c r="AD4353"/>
    </row>
    <row r="4354" spans="1:30" ht="41.45" customHeight="1">
      <c r="A4354"/>
      <c r="AC4354"/>
      <c r="AD4354"/>
    </row>
    <row r="4355" spans="1:30" ht="41.45" customHeight="1">
      <c r="A4355"/>
      <c r="AC4355"/>
      <c r="AD4355"/>
    </row>
    <row r="4356" spans="1:30" ht="41.45" customHeight="1">
      <c r="A4356"/>
      <c r="AC4356"/>
      <c r="AD4356"/>
    </row>
    <row r="4357" spans="1:30" ht="41.45" customHeight="1">
      <c r="A4357"/>
      <c r="AC4357"/>
      <c r="AD4357"/>
    </row>
    <row r="4358" spans="1:30" ht="41.45" customHeight="1">
      <c r="A4358"/>
      <c r="AC4358"/>
      <c r="AD4358"/>
    </row>
    <row r="4359" spans="1:30" ht="41.45" customHeight="1">
      <c r="A4359"/>
      <c r="AC4359"/>
      <c r="AD4359"/>
    </row>
    <row r="4360" spans="1:30" ht="41.45" customHeight="1">
      <c r="A4360"/>
      <c r="AC4360"/>
      <c r="AD4360"/>
    </row>
    <row r="4361" spans="1:30" ht="41.45" customHeight="1">
      <c r="A4361"/>
      <c r="AC4361"/>
      <c r="AD4361"/>
    </row>
    <row r="4362" spans="1:30" ht="41.45" customHeight="1">
      <c r="A4362"/>
      <c r="AC4362"/>
      <c r="AD4362"/>
    </row>
    <row r="4363" spans="1:30" ht="41.45" customHeight="1">
      <c r="A4363"/>
      <c r="AC4363"/>
      <c r="AD4363"/>
    </row>
    <row r="4364" spans="1:30" ht="41.45" customHeight="1">
      <c r="A4364"/>
      <c r="AC4364"/>
      <c r="AD4364"/>
    </row>
    <row r="4365" spans="1:30" ht="41.45" customHeight="1">
      <c r="A4365"/>
      <c r="AC4365"/>
      <c r="AD4365"/>
    </row>
    <row r="4366" spans="1:30" ht="41.45" customHeight="1">
      <c r="A4366"/>
      <c r="AC4366"/>
      <c r="AD4366"/>
    </row>
    <row r="4367" spans="1:30" ht="41.45" customHeight="1">
      <c r="A4367"/>
      <c r="AC4367"/>
      <c r="AD4367"/>
    </row>
    <row r="4368" spans="1:30" ht="41.45" customHeight="1">
      <c r="A4368"/>
      <c r="AC4368"/>
      <c r="AD4368"/>
    </row>
    <row r="4369" spans="1:30" ht="41.45" customHeight="1">
      <c r="A4369"/>
      <c r="AC4369"/>
      <c r="AD4369"/>
    </row>
    <row r="4370" spans="1:30" ht="41.45" customHeight="1">
      <c r="A4370"/>
      <c r="AC4370"/>
      <c r="AD4370"/>
    </row>
    <row r="4371" spans="1:30" ht="41.45" customHeight="1">
      <c r="A4371"/>
      <c r="AC4371"/>
      <c r="AD4371"/>
    </row>
    <row r="4372" spans="1:30" ht="41.45" customHeight="1">
      <c r="A4372"/>
      <c r="AC4372"/>
      <c r="AD4372"/>
    </row>
    <row r="4373" spans="1:30" ht="41.45" customHeight="1">
      <c r="A4373"/>
      <c r="AC4373"/>
      <c r="AD4373"/>
    </row>
    <row r="4374" spans="1:30" ht="41.45" customHeight="1">
      <c r="A4374"/>
      <c r="AC4374"/>
      <c r="AD4374"/>
    </row>
    <row r="4375" spans="1:30" ht="41.45" customHeight="1">
      <c r="A4375"/>
      <c r="AC4375"/>
      <c r="AD4375"/>
    </row>
    <row r="4376" spans="1:30" ht="41.45" customHeight="1">
      <c r="A4376"/>
      <c r="AC4376"/>
      <c r="AD4376"/>
    </row>
    <row r="4377" spans="1:30" ht="41.45" customHeight="1">
      <c r="A4377"/>
      <c r="AC4377"/>
      <c r="AD4377"/>
    </row>
    <row r="4378" spans="1:30" ht="41.45" customHeight="1">
      <c r="A4378"/>
      <c r="AC4378"/>
      <c r="AD4378"/>
    </row>
    <row r="4379" spans="1:30" ht="41.45" customHeight="1">
      <c r="A4379"/>
      <c r="AC4379"/>
      <c r="AD4379"/>
    </row>
    <row r="4380" spans="1:30" ht="41.45" customHeight="1">
      <c r="A4380"/>
      <c r="AC4380"/>
      <c r="AD4380"/>
    </row>
    <row r="4381" spans="1:30" ht="41.45" customHeight="1">
      <c r="A4381"/>
      <c r="AC4381"/>
      <c r="AD4381"/>
    </row>
    <row r="4382" spans="1:30" ht="41.45" customHeight="1">
      <c r="A4382"/>
      <c r="AC4382"/>
      <c r="AD4382"/>
    </row>
    <row r="4383" spans="1:30" ht="41.45" customHeight="1">
      <c r="A4383"/>
      <c r="AC4383"/>
      <c r="AD4383"/>
    </row>
    <row r="4384" spans="1:30" ht="41.45" customHeight="1">
      <c r="A4384"/>
      <c r="AC4384"/>
      <c r="AD4384"/>
    </row>
    <row r="4385" spans="1:30" ht="41.45" customHeight="1">
      <c r="A4385"/>
      <c r="AC4385"/>
      <c r="AD4385"/>
    </row>
    <row r="4386" spans="1:30" ht="41.45" customHeight="1">
      <c r="A4386"/>
      <c r="AC4386"/>
      <c r="AD4386"/>
    </row>
    <row r="4387" spans="1:30" ht="41.45" customHeight="1">
      <c r="A4387"/>
      <c r="AC4387"/>
      <c r="AD4387"/>
    </row>
    <row r="4388" spans="1:30" ht="41.45" customHeight="1">
      <c r="A4388"/>
      <c r="AC4388"/>
      <c r="AD4388"/>
    </row>
    <row r="4389" spans="1:30" ht="41.45" customHeight="1">
      <c r="A4389"/>
      <c r="AC4389"/>
      <c r="AD4389"/>
    </row>
    <row r="4390" spans="1:30" ht="41.45" customHeight="1">
      <c r="A4390"/>
      <c r="AC4390"/>
      <c r="AD4390"/>
    </row>
    <row r="4391" spans="1:30" ht="41.45" customHeight="1">
      <c r="A4391"/>
      <c r="AC4391"/>
      <c r="AD4391"/>
    </row>
    <row r="4392" spans="1:30" ht="41.45" customHeight="1">
      <c r="A4392"/>
      <c r="AC4392"/>
      <c r="AD4392"/>
    </row>
    <row r="4393" spans="1:30" ht="41.45" customHeight="1">
      <c r="A4393"/>
      <c r="AC4393"/>
      <c r="AD4393"/>
    </row>
    <row r="4394" spans="1:30" ht="41.45" customHeight="1">
      <c r="A4394"/>
      <c r="AC4394"/>
      <c r="AD4394"/>
    </row>
    <row r="4395" spans="1:30" ht="41.45" customHeight="1">
      <c r="A4395"/>
      <c r="AC4395"/>
      <c r="AD4395"/>
    </row>
    <row r="4396" spans="1:30" ht="41.45" customHeight="1">
      <c r="A4396"/>
      <c r="AC4396"/>
      <c r="AD4396"/>
    </row>
    <row r="4397" spans="1:30" ht="41.45" customHeight="1">
      <c r="A4397"/>
      <c r="AC4397"/>
      <c r="AD4397"/>
    </row>
    <row r="4398" spans="1:30" ht="41.45" customHeight="1">
      <c r="A4398"/>
      <c r="AC4398"/>
      <c r="AD4398"/>
    </row>
    <row r="4399" spans="1:30" ht="41.45" customHeight="1">
      <c r="A4399"/>
      <c r="AC4399"/>
      <c r="AD4399"/>
    </row>
    <row r="4400" spans="1:30" ht="41.45" customHeight="1">
      <c r="A4400"/>
      <c r="AC4400"/>
      <c r="AD4400"/>
    </row>
    <row r="4401" spans="1:30" ht="41.45" customHeight="1">
      <c r="A4401"/>
      <c r="AC4401"/>
      <c r="AD4401"/>
    </row>
    <row r="4402" spans="1:30" ht="41.45" customHeight="1">
      <c r="A4402"/>
      <c r="AC4402"/>
      <c r="AD4402"/>
    </row>
    <row r="4403" spans="1:30" ht="41.45" customHeight="1">
      <c r="A4403"/>
      <c r="AC4403"/>
      <c r="AD4403"/>
    </row>
    <row r="4404" spans="1:30" ht="41.45" customHeight="1">
      <c r="A4404"/>
      <c r="AC4404"/>
      <c r="AD4404"/>
    </row>
    <row r="4405" spans="1:30" ht="41.45" customHeight="1">
      <c r="A4405"/>
      <c r="AC4405"/>
      <c r="AD4405"/>
    </row>
    <row r="4406" spans="1:30" ht="41.45" customHeight="1">
      <c r="A4406"/>
      <c r="AC4406"/>
      <c r="AD4406"/>
    </row>
    <row r="4407" spans="1:30" ht="41.45" customHeight="1">
      <c r="A4407"/>
      <c r="AC4407"/>
      <c r="AD4407"/>
    </row>
    <row r="4408" spans="1:30" ht="41.45" customHeight="1">
      <c r="A4408"/>
      <c r="AC4408"/>
      <c r="AD4408"/>
    </row>
    <row r="4409" spans="1:30" ht="41.45" customHeight="1">
      <c r="A4409"/>
      <c r="AC4409"/>
      <c r="AD4409"/>
    </row>
    <row r="4410" spans="1:30" ht="41.45" customHeight="1">
      <c r="A4410"/>
      <c r="AC4410"/>
      <c r="AD4410"/>
    </row>
    <row r="4411" spans="1:30" ht="41.45" customHeight="1">
      <c r="A4411"/>
      <c r="AC4411"/>
      <c r="AD4411"/>
    </row>
    <row r="4412" spans="1:30" ht="41.45" customHeight="1">
      <c r="A4412"/>
      <c r="AC4412"/>
      <c r="AD4412"/>
    </row>
    <row r="4413" spans="1:30" ht="41.45" customHeight="1">
      <c r="A4413"/>
      <c r="AC4413"/>
      <c r="AD4413"/>
    </row>
    <row r="4414" spans="1:30" ht="41.45" customHeight="1">
      <c r="A4414"/>
      <c r="AC4414"/>
      <c r="AD4414"/>
    </row>
    <row r="4415" spans="1:30" ht="41.45" customHeight="1">
      <c r="A4415"/>
      <c r="AC4415"/>
      <c r="AD4415"/>
    </row>
    <row r="4416" spans="1:30" ht="41.45" customHeight="1">
      <c r="A4416"/>
      <c r="AC4416"/>
      <c r="AD4416"/>
    </row>
    <row r="4417" spans="1:30" ht="41.45" customHeight="1">
      <c r="A4417"/>
      <c r="AC4417"/>
      <c r="AD4417"/>
    </row>
    <row r="4418" spans="1:30" ht="41.45" customHeight="1">
      <c r="A4418"/>
      <c r="AC4418"/>
      <c r="AD4418"/>
    </row>
    <row r="4419" spans="1:30" ht="41.45" customHeight="1">
      <c r="A4419"/>
      <c r="AC4419"/>
      <c r="AD4419"/>
    </row>
    <row r="4420" spans="1:30" ht="41.45" customHeight="1">
      <c r="A4420"/>
      <c r="AC4420"/>
      <c r="AD4420"/>
    </row>
    <row r="4421" spans="1:30" ht="41.45" customHeight="1">
      <c r="A4421"/>
      <c r="AC4421"/>
      <c r="AD4421"/>
    </row>
    <row r="4422" spans="1:30" ht="41.45" customHeight="1">
      <c r="A4422"/>
      <c r="AC4422"/>
      <c r="AD4422"/>
    </row>
    <row r="4423" spans="1:30" ht="41.45" customHeight="1">
      <c r="A4423"/>
      <c r="AC4423"/>
      <c r="AD4423"/>
    </row>
    <row r="4424" spans="1:30" ht="41.45" customHeight="1">
      <c r="A4424"/>
      <c r="AC4424"/>
      <c r="AD4424"/>
    </row>
    <row r="4425" spans="1:30" ht="41.45" customHeight="1">
      <c r="A4425"/>
      <c r="AC4425"/>
      <c r="AD4425"/>
    </row>
    <row r="4426" spans="1:30" ht="41.45" customHeight="1">
      <c r="A4426"/>
      <c r="AC4426"/>
      <c r="AD4426"/>
    </row>
    <row r="4427" spans="1:30" ht="41.45" customHeight="1">
      <c r="A4427"/>
      <c r="AC4427"/>
      <c r="AD4427"/>
    </row>
    <row r="4428" spans="1:30" ht="41.45" customHeight="1">
      <c r="A4428"/>
      <c r="AC4428"/>
      <c r="AD4428"/>
    </row>
    <row r="4429" spans="1:30" ht="41.45" customHeight="1">
      <c r="A4429"/>
      <c r="AC4429"/>
      <c r="AD4429"/>
    </row>
    <row r="4430" spans="1:30" ht="41.45" customHeight="1">
      <c r="A4430"/>
      <c r="AC4430"/>
      <c r="AD4430"/>
    </row>
    <row r="4431" spans="1:30" ht="41.45" customHeight="1">
      <c r="A4431"/>
      <c r="AC4431"/>
      <c r="AD4431"/>
    </row>
    <row r="4432" spans="1:30" ht="41.45" customHeight="1">
      <c r="A4432"/>
      <c r="AC4432"/>
      <c r="AD4432"/>
    </row>
    <row r="4433" spans="1:30" ht="41.45" customHeight="1">
      <c r="A4433"/>
      <c r="AC4433"/>
      <c r="AD4433"/>
    </row>
    <row r="4434" spans="1:30" ht="41.45" customHeight="1">
      <c r="A4434"/>
      <c r="AC4434"/>
      <c r="AD4434"/>
    </row>
    <row r="4435" spans="1:30" ht="41.45" customHeight="1">
      <c r="A4435"/>
      <c r="AC4435"/>
      <c r="AD4435"/>
    </row>
    <row r="4436" spans="1:30" ht="41.45" customHeight="1">
      <c r="A4436"/>
      <c r="AC4436"/>
      <c r="AD4436"/>
    </row>
    <row r="4437" spans="1:30" ht="41.45" customHeight="1">
      <c r="A4437"/>
      <c r="AC4437"/>
      <c r="AD4437"/>
    </row>
    <row r="4438" spans="1:30" ht="41.45" customHeight="1">
      <c r="A4438"/>
      <c r="AC4438"/>
      <c r="AD4438"/>
    </row>
    <row r="4439" spans="1:30" ht="41.45" customHeight="1">
      <c r="A4439"/>
      <c r="AC4439"/>
      <c r="AD4439"/>
    </row>
    <row r="4440" spans="1:30" ht="41.45" customHeight="1">
      <c r="A4440"/>
      <c r="AC4440"/>
      <c r="AD4440"/>
    </row>
    <row r="4441" spans="1:30" ht="41.45" customHeight="1">
      <c r="A4441"/>
      <c r="AC4441"/>
      <c r="AD4441"/>
    </row>
    <row r="4442" spans="1:30" ht="41.45" customHeight="1">
      <c r="A4442"/>
      <c r="AC4442"/>
      <c r="AD4442"/>
    </row>
    <row r="4443" spans="1:30" ht="41.45" customHeight="1">
      <c r="A4443"/>
      <c r="AC4443"/>
      <c r="AD4443"/>
    </row>
    <row r="4444" spans="1:30" ht="41.45" customHeight="1">
      <c r="A4444"/>
      <c r="AC4444"/>
      <c r="AD4444"/>
    </row>
    <row r="4445" spans="1:30" ht="41.45" customHeight="1">
      <c r="A4445"/>
      <c r="AC4445"/>
      <c r="AD4445"/>
    </row>
    <row r="4446" spans="1:30" ht="41.45" customHeight="1">
      <c r="A4446"/>
      <c r="AC4446"/>
      <c r="AD4446"/>
    </row>
    <row r="4447" spans="1:30" ht="41.45" customHeight="1">
      <c r="A4447"/>
      <c r="AC4447"/>
      <c r="AD4447"/>
    </row>
    <row r="4448" spans="1:30" ht="41.45" customHeight="1">
      <c r="A4448"/>
      <c r="AC4448"/>
      <c r="AD4448"/>
    </row>
    <row r="4449" spans="1:30" ht="41.45" customHeight="1">
      <c r="A4449"/>
      <c r="AC4449"/>
      <c r="AD4449"/>
    </row>
    <row r="4450" spans="1:30" ht="41.45" customHeight="1">
      <c r="A4450"/>
      <c r="AC4450"/>
      <c r="AD4450"/>
    </row>
    <row r="4451" spans="1:30" ht="41.45" customHeight="1">
      <c r="A4451"/>
      <c r="AC4451"/>
      <c r="AD4451"/>
    </row>
    <row r="4452" spans="1:30" ht="41.45" customHeight="1">
      <c r="A4452"/>
      <c r="AC4452"/>
      <c r="AD4452"/>
    </row>
    <row r="4453" spans="1:30" ht="41.45" customHeight="1">
      <c r="A4453"/>
      <c r="AC4453"/>
      <c r="AD4453"/>
    </row>
    <row r="4454" spans="1:30" ht="41.45" customHeight="1">
      <c r="A4454"/>
      <c r="AC4454"/>
      <c r="AD4454"/>
    </row>
    <row r="4455" spans="1:30" ht="41.45" customHeight="1">
      <c r="A4455"/>
      <c r="AC4455"/>
      <c r="AD4455"/>
    </row>
    <row r="4456" spans="1:30" ht="41.45" customHeight="1">
      <c r="A4456"/>
      <c r="AC4456"/>
      <c r="AD4456"/>
    </row>
    <row r="4457" spans="1:30" ht="41.45" customHeight="1">
      <c r="A4457"/>
      <c r="AC4457"/>
      <c r="AD4457"/>
    </row>
    <row r="4458" spans="1:30" ht="41.45" customHeight="1">
      <c r="A4458"/>
      <c r="AC4458"/>
      <c r="AD4458"/>
    </row>
    <row r="4459" spans="1:30" ht="41.45" customHeight="1">
      <c r="A4459"/>
      <c r="AC4459"/>
      <c r="AD4459"/>
    </row>
    <row r="4460" spans="1:30" ht="41.45" customHeight="1">
      <c r="A4460"/>
      <c r="AC4460"/>
      <c r="AD4460"/>
    </row>
    <row r="4461" spans="1:30" ht="41.45" customHeight="1">
      <c r="A4461"/>
      <c r="AC4461"/>
      <c r="AD4461"/>
    </row>
    <row r="4462" spans="1:30" ht="41.45" customHeight="1">
      <c r="A4462"/>
      <c r="AC4462"/>
      <c r="AD4462"/>
    </row>
    <row r="4463" spans="1:30" ht="41.45" customHeight="1">
      <c r="A4463"/>
      <c r="AC4463"/>
      <c r="AD4463"/>
    </row>
    <row r="4464" spans="1:30" ht="41.45" customHeight="1">
      <c r="A4464"/>
      <c r="AC4464"/>
      <c r="AD4464"/>
    </row>
    <row r="4465" spans="1:30" ht="41.45" customHeight="1">
      <c r="A4465"/>
      <c r="AC4465"/>
      <c r="AD4465"/>
    </row>
    <row r="4466" spans="1:30" ht="41.45" customHeight="1">
      <c r="A4466"/>
      <c r="AC4466"/>
      <c r="AD4466"/>
    </row>
    <row r="4467" spans="1:30" ht="41.45" customHeight="1">
      <c r="A4467"/>
      <c r="AC4467"/>
      <c r="AD4467"/>
    </row>
    <row r="4468" spans="1:30" ht="41.45" customHeight="1">
      <c r="A4468"/>
      <c r="AC4468"/>
      <c r="AD4468"/>
    </row>
    <row r="4469" spans="1:30" ht="41.45" customHeight="1">
      <c r="A4469"/>
      <c r="AC4469"/>
      <c r="AD4469"/>
    </row>
    <row r="4470" spans="1:30" ht="41.45" customHeight="1">
      <c r="A4470"/>
      <c r="AC4470"/>
      <c r="AD4470"/>
    </row>
    <row r="4471" spans="1:30" ht="41.45" customHeight="1">
      <c r="A4471"/>
      <c r="AC4471"/>
      <c r="AD4471"/>
    </row>
    <row r="4472" spans="1:30" ht="41.45" customHeight="1">
      <c r="A4472"/>
      <c r="AC4472"/>
      <c r="AD4472"/>
    </row>
    <row r="4473" spans="1:30" ht="41.45" customHeight="1">
      <c r="A4473"/>
      <c r="AC4473"/>
      <c r="AD4473"/>
    </row>
    <row r="4474" spans="1:30" ht="41.45" customHeight="1">
      <c r="A4474"/>
      <c r="AC4474"/>
      <c r="AD4474"/>
    </row>
    <row r="4475" spans="1:30" ht="41.45" customHeight="1">
      <c r="A4475"/>
      <c r="AC4475"/>
      <c r="AD4475"/>
    </row>
    <row r="4476" spans="1:30" ht="41.45" customHeight="1">
      <c r="A4476"/>
      <c r="AC4476"/>
      <c r="AD4476"/>
    </row>
    <row r="4477" spans="1:30" ht="41.45" customHeight="1">
      <c r="A4477"/>
      <c r="AC4477"/>
      <c r="AD4477"/>
    </row>
    <row r="4478" spans="1:30" ht="41.45" customHeight="1">
      <c r="A4478"/>
      <c r="AC4478"/>
      <c r="AD4478"/>
    </row>
    <row r="4479" spans="1:30" ht="41.45" customHeight="1">
      <c r="A4479"/>
      <c r="AC4479"/>
      <c r="AD4479"/>
    </row>
    <row r="4480" spans="1:30" ht="41.45" customHeight="1">
      <c r="A4480"/>
      <c r="AC4480"/>
      <c r="AD4480"/>
    </row>
    <row r="4481" spans="1:30" ht="41.45" customHeight="1">
      <c r="A4481"/>
      <c r="AC4481"/>
      <c r="AD4481"/>
    </row>
    <row r="4482" spans="1:30" ht="41.45" customHeight="1">
      <c r="A4482"/>
      <c r="AC4482"/>
      <c r="AD4482"/>
    </row>
    <row r="4483" spans="1:30" ht="41.45" customHeight="1">
      <c r="A4483"/>
      <c r="AC4483"/>
      <c r="AD4483"/>
    </row>
    <row r="4484" spans="1:30" ht="41.45" customHeight="1">
      <c r="A4484"/>
      <c r="AC4484"/>
      <c r="AD4484"/>
    </row>
    <row r="4485" spans="1:30" ht="41.45" customHeight="1">
      <c r="A4485"/>
      <c r="AC4485"/>
      <c r="AD4485"/>
    </row>
    <row r="4486" spans="1:30" ht="41.45" customHeight="1">
      <c r="A4486"/>
      <c r="AC4486"/>
      <c r="AD4486"/>
    </row>
    <row r="4487" spans="1:30" ht="41.45" customHeight="1">
      <c r="A4487"/>
      <c r="AC4487"/>
      <c r="AD4487"/>
    </row>
    <row r="4488" spans="1:30" ht="41.45" customHeight="1">
      <c r="A4488"/>
      <c r="AC4488"/>
      <c r="AD4488"/>
    </row>
    <row r="4489" spans="1:30" ht="41.45" customHeight="1">
      <c r="A4489"/>
      <c r="AC4489"/>
      <c r="AD4489"/>
    </row>
    <row r="4490" spans="1:30" ht="41.45" customHeight="1">
      <c r="A4490"/>
      <c r="AC4490"/>
      <c r="AD4490"/>
    </row>
    <row r="4491" spans="1:30" ht="41.45" customHeight="1">
      <c r="A4491"/>
      <c r="AC4491"/>
      <c r="AD4491"/>
    </row>
    <row r="4492" spans="1:30" ht="41.45" customHeight="1">
      <c r="A4492"/>
      <c r="AC4492"/>
      <c r="AD4492"/>
    </row>
    <row r="4493" spans="1:30" ht="41.45" customHeight="1">
      <c r="A4493"/>
      <c r="AC4493"/>
      <c r="AD4493"/>
    </row>
    <row r="4494" spans="1:30" ht="41.45" customHeight="1">
      <c r="A4494"/>
      <c r="AC4494"/>
      <c r="AD4494"/>
    </row>
    <row r="4495" spans="1:30" ht="41.45" customHeight="1">
      <c r="A4495"/>
      <c r="AC4495"/>
      <c r="AD4495"/>
    </row>
    <row r="4496" spans="1:30" ht="41.45" customHeight="1">
      <c r="A4496"/>
      <c r="AC4496"/>
      <c r="AD4496"/>
    </row>
    <row r="4497" spans="1:30" ht="41.45" customHeight="1">
      <c r="A4497"/>
      <c r="AC4497"/>
      <c r="AD4497"/>
    </row>
    <row r="4498" spans="1:30" ht="41.45" customHeight="1">
      <c r="A4498"/>
      <c r="AC4498"/>
      <c r="AD4498"/>
    </row>
    <row r="4499" spans="1:30" ht="41.45" customHeight="1">
      <c r="A4499"/>
      <c r="AC4499"/>
      <c r="AD4499"/>
    </row>
    <row r="4500" spans="1:30" ht="41.45" customHeight="1">
      <c r="A4500"/>
      <c r="AC4500"/>
      <c r="AD4500"/>
    </row>
    <row r="4501" spans="1:30" ht="41.45" customHeight="1">
      <c r="A4501"/>
      <c r="AC4501"/>
      <c r="AD4501"/>
    </row>
    <row r="4502" spans="1:30" ht="41.45" customHeight="1">
      <c r="A4502"/>
      <c r="AC4502"/>
      <c r="AD4502"/>
    </row>
    <row r="4503" spans="1:30" ht="41.45" customHeight="1">
      <c r="A4503"/>
      <c r="AC4503"/>
      <c r="AD4503"/>
    </row>
    <row r="4504" spans="1:30" ht="41.45" customHeight="1">
      <c r="A4504"/>
      <c r="AC4504"/>
      <c r="AD4504"/>
    </row>
    <row r="4505" spans="1:30" ht="41.45" customHeight="1">
      <c r="A4505"/>
      <c r="AC4505"/>
      <c r="AD4505"/>
    </row>
    <row r="4506" spans="1:30" ht="41.45" customHeight="1">
      <c r="A4506"/>
      <c r="AC4506"/>
      <c r="AD4506"/>
    </row>
    <row r="4507" spans="1:30" ht="41.45" customHeight="1">
      <c r="A4507"/>
      <c r="AC4507"/>
      <c r="AD4507"/>
    </row>
    <row r="4508" spans="1:30" ht="41.45" customHeight="1">
      <c r="A4508"/>
      <c r="AC4508"/>
      <c r="AD4508"/>
    </row>
    <row r="4509" spans="1:30" ht="41.45" customHeight="1">
      <c r="A4509"/>
      <c r="AC4509"/>
      <c r="AD4509"/>
    </row>
    <row r="4510" spans="1:30" ht="41.45" customHeight="1">
      <c r="A4510"/>
      <c r="AC4510"/>
      <c r="AD4510"/>
    </row>
    <row r="4511" spans="1:30" ht="41.45" customHeight="1">
      <c r="A4511"/>
      <c r="AC4511"/>
      <c r="AD4511"/>
    </row>
    <row r="4512" spans="1:30" ht="41.45" customHeight="1">
      <c r="A4512"/>
      <c r="AC4512"/>
      <c r="AD4512"/>
    </row>
    <row r="4513" spans="1:30" ht="41.45" customHeight="1">
      <c r="A4513"/>
      <c r="AC4513"/>
      <c r="AD4513"/>
    </row>
    <row r="4514" spans="1:30" ht="41.45" customHeight="1">
      <c r="A4514"/>
      <c r="AC4514"/>
      <c r="AD4514"/>
    </row>
    <row r="4515" spans="1:30" ht="41.45" customHeight="1">
      <c r="A4515"/>
      <c r="AC4515"/>
      <c r="AD4515"/>
    </row>
    <row r="4516" spans="1:30" ht="41.45" customHeight="1">
      <c r="A4516"/>
      <c r="AC4516"/>
      <c r="AD4516"/>
    </row>
    <row r="4517" spans="1:30" ht="41.45" customHeight="1">
      <c r="A4517"/>
      <c r="AC4517"/>
      <c r="AD4517"/>
    </row>
    <row r="4518" spans="1:30" ht="41.45" customHeight="1">
      <c r="A4518"/>
      <c r="AC4518"/>
      <c r="AD4518"/>
    </row>
    <row r="4519" spans="1:30" ht="41.45" customHeight="1">
      <c r="A4519"/>
      <c r="AC4519"/>
      <c r="AD4519"/>
    </row>
    <row r="4520" spans="1:30" ht="41.45" customHeight="1">
      <c r="A4520"/>
      <c r="AC4520"/>
      <c r="AD4520"/>
    </row>
    <row r="4521" spans="1:30" ht="41.45" customHeight="1">
      <c r="A4521"/>
      <c r="AC4521"/>
      <c r="AD4521"/>
    </row>
    <row r="4522" spans="1:30" ht="41.45" customHeight="1">
      <c r="A4522"/>
      <c r="AC4522"/>
      <c r="AD4522"/>
    </row>
    <row r="4523" spans="1:30" ht="41.45" customHeight="1">
      <c r="A4523"/>
      <c r="AC4523"/>
      <c r="AD4523"/>
    </row>
    <row r="4524" spans="1:30" ht="41.45" customHeight="1">
      <c r="A4524"/>
      <c r="AC4524"/>
      <c r="AD4524"/>
    </row>
    <row r="4525" spans="1:30" ht="41.45" customHeight="1">
      <c r="A4525"/>
      <c r="AC4525"/>
      <c r="AD4525"/>
    </row>
    <row r="4526" spans="1:30" ht="41.45" customHeight="1">
      <c r="A4526"/>
      <c r="AC4526"/>
      <c r="AD4526"/>
    </row>
    <row r="4527" spans="1:30" ht="41.45" customHeight="1">
      <c r="A4527"/>
      <c r="AC4527"/>
      <c r="AD4527"/>
    </row>
    <row r="4528" spans="1:30" ht="41.45" customHeight="1">
      <c r="A4528"/>
      <c r="AC4528"/>
      <c r="AD4528"/>
    </row>
    <row r="4529" spans="1:30" ht="41.45" customHeight="1">
      <c r="A4529"/>
      <c r="AC4529"/>
      <c r="AD4529"/>
    </row>
    <row r="4530" spans="1:30" ht="41.45" customHeight="1">
      <c r="A4530"/>
      <c r="AC4530"/>
      <c r="AD4530"/>
    </row>
    <row r="4531" spans="1:30" ht="41.45" customHeight="1">
      <c r="A4531"/>
      <c r="AC4531"/>
      <c r="AD4531"/>
    </row>
    <row r="4532" spans="1:30" ht="41.45" customHeight="1">
      <c r="A4532"/>
      <c r="AC4532"/>
      <c r="AD4532"/>
    </row>
    <row r="4533" spans="1:30" ht="41.45" customHeight="1">
      <c r="A4533"/>
      <c r="AC4533"/>
      <c r="AD4533"/>
    </row>
    <row r="4534" spans="1:30" ht="41.45" customHeight="1">
      <c r="A4534"/>
      <c r="AC4534"/>
      <c r="AD4534"/>
    </row>
    <row r="4535" spans="1:30" ht="41.45" customHeight="1">
      <c r="A4535"/>
      <c r="AC4535"/>
      <c r="AD4535"/>
    </row>
    <row r="4536" spans="1:30" ht="41.45" customHeight="1">
      <c r="A4536"/>
      <c r="AC4536"/>
      <c r="AD4536"/>
    </row>
    <row r="4537" spans="1:30" ht="41.45" customHeight="1">
      <c r="A4537"/>
      <c r="AC4537"/>
      <c r="AD4537"/>
    </row>
    <row r="4538" spans="1:30" ht="41.45" customHeight="1">
      <c r="A4538"/>
      <c r="AC4538"/>
      <c r="AD4538"/>
    </row>
    <row r="4539" spans="1:30" ht="41.45" customHeight="1">
      <c r="A4539"/>
      <c r="AC4539"/>
      <c r="AD4539"/>
    </row>
    <row r="4540" spans="1:30" ht="41.45" customHeight="1">
      <c r="A4540"/>
      <c r="AC4540"/>
      <c r="AD4540"/>
    </row>
    <row r="4541" spans="1:30" ht="41.45" customHeight="1">
      <c r="A4541"/>
      <c r="AC4541"/>
      <c r="AD4541"/>
    </row>
    <row r="4542" spans="1:30" ht="41.45" customHeight="1">
      <c r="A4542"/>
      <c r="AC4542"/>
      <c r="AD4542"/>
    </row>
    <row r="4543" spans="1:30" ht="41.45" customHeight="1">
      <c r="A4543"/>
      <c r="AC4543"/>
      <c r="AD4543"/>
    </row>
    <row r="4544" spans="1:30" ht="41.45" customHeight="1">
      <c r="A4544"/>
      <c r="AC4544"/>
      <c r="AD4544"/>
    </row>
    <row r="4545" spans="1:30" ht="41.45" customHeight="1">
      <c r="A4545"/>
      <c r="AC4545"/>
      <c r="AD4545"/>
    </row>
    <row r="4546" spans="1:30" ht="41.45" customHeight="1">
      <c r="A4546"/>
      <c r="AC4546"/>
      <c r="AD4546"/>
    </row>
    <row r="4547" spans="1:30" ht="41.45" customHeight="1">
      <c r="A4547"/>
      <c r="AC4547"/>
      <c r="AD4547"/>
    </row>
    <row r="4548" spans="1:30" ht="41.45" customHeight="1">
      <c r="A4548"/>
      <c r="AC4548"/>
      <c r="AD4548"/>
    </row>
    <row r="4549" spans="1:30" ht="41.45" customHeight="1">
      <c r="A4549"/>
      <c r="AC4549"/>
      <c r="AD4549"/>
    </row>
    <row r="4550" spans="1:30" ht="41.45" customHeight="1">
      <c r="A4550"/>
      <c r="AC4550"/>
      <c r="AD4550"/>
    </row>
    <row r="4551" spans="1:30" ht="41.45" customHeight="1">
      <c r="A4551"/>
      <c r="AC4551"/>
      <c r="AD4551"/>
    </row>
    <row r="4552" spans="1:30" ht="41.45" customHeight="1">
      <c r="A4552"/>
      <c r="AC4552"/>
      <c r="AD4552"/>
    </row>
    <row r="4553" spans="1:30" ht="41.45" customHeight="1">
      <c r="A4553"/>
      <c r="AC4553"/>
      <c r="AD4553"/>
    </row>
    <row r="4554" spans="1:30" ht="41.45" customHeight="1">
      <c r="A4554"/>
      <c r="AC4554"/>
      <c r="AD4554"/>
    </row>
    <row r="4555" spans="1:30" ht="41.45" customHeight="1">
      <c r="A4555"/>
      <c r="AC4555"/>
      <c r="AD4555"/>
    </row>
    <row r="4556" spans="1:30" ht="41.45" customHeight="1">
      <c r="A4556"/>
      <c r="AC4556"/>
      <c r="AD4556"/>
    </row>
    <row r="4557" spans="1:30" ht="41.45" customHeight="1">
      <c r="A4557"/>
      <c r="AC4557"/>
      <c r="AD4557"/>
    </row>
    <row r="4558" spans="1:30" ht="41.45" customHeight="1">
      <c r="A4558"/>
      <c r="AC4558"/>
      <c r="AD4558"/>
    </row>
    <row r="4559" spans="1:30" ht="41.45" customHeight="1">
      <c r="A4559"/>
      <c r="AC4559"/>
      <c r="AD4559"/>
    </row>
    <row r="4560" spans="1:30" ht="41.45" customHeight="1">
      <c r="A4560"/>
      <c r="AC4560"/>
      <c r="AD4560"/>
    </row>
    <row r="4561" spans="1:30" ht="41.45" customHeight="1">
      <c r="A4561"/>
      <c r="AC4561"/>
      <c r="AD4561"/>
    </row>
    <row r="4562" spans="1:30" ht="41.45" customHeight="1">
      <c r="A4562"/>
      <c r="AC4562"/>
      <c r="AD4562"/>
    </row>
    <row r="4563" spans="1:30" ht="41.45" customHeight="1">
      <c r="A4563"/>
      <c r="AC4563"/>
      <c r="AD4563"/>
    </row>
    <row r="4564" spans="1:30" ht="41.45" customHeight="1">
      <c r="A4564"/>
      <c r="AC4564"/>
      <c r="AD4564"/>
    </row>
    <row r="4565" spans="1:30" ht="41.45" customHeight="1">
      <c r="A4565"/>
      <c r="AC4565"/>
      <c r="AD4565"/>
    </row>
    <row r="4566" spans="1:30" ht="41.45" customHeight="1">
      <c r="A4566"/>
      <c r="AC4566"/>
      <c r="AD4566"/>
    </row>
    <row r="4567" spans="1:30" ht="41.45" customHeight="1">
      <c r="A4567"/>
      <c r="AC4567"/>
      <c r="AD4567"/>
    </row>
    <row r="4568" spans="1:30" ht="41.45" customHeight="1">
      <c r="A4568"/>
      <c r="AC4568"/>
      <c r="AD4568"/>
    </row>
    <row r="4569" spans="1:30" ht="41.45" customHeight="1">
      <c r="A4569"/>
      <c r="AC4569"/>
      <c r="AD4569"/>
    </row>
    <row r="4570" spans="1:30" ht="41.45" customHeight="1">
      <c r="A4570"/>
      <c r="AC4570"/>
      <c r="AD4570"/>
    </row>
    <row r="4571" spans="1:30" ht="41.45" customHeight="1">
      <c r="A4571"/>
      <c r="AC4571"/>
      <c r="AD4571"/>
    </row>
    <row r="4572" spans="1:30" ht="41.45" customHeight="1">
      <c r="A4572"/>
      <c r="AC4572"/>
      <c r="AD4572"/>
    </row>
    <row r="4573" spans="1:30" ht="41.45" customHeight="1">
      <c r="A4573"/>
      <c r="AC4573"/>
      <c r="AD4573"/>
    </row>
    <row r="4574" spans="1:30" ht="41.45" customHeight="1">
      <c r="A4574"/>
      <c r="AC4574"/>
      <c r="AD4574"/>
    </row>
    <row r="4575" spans="1:30" ht="41.45" customHeight="1">
      <c r="A4575"/>
      <c r="AC4575"/>
      <c r="AD4575"/>
    </row>
    <row r="4576" spans="1:30" ht="41.45" customHeight="1">
      <c r="A4576"/>
      <c r="AC4576"/>
      <c r="AD4576"/>
    </row>
    <row r="4577" spans="1:30" ht="41.45" customHeight="1">
      <c r="A4577"/>
      <c r="AC4577"/>
      <c r="AD4577"/>
    </row>
    <row r="4578" spans="1:30" ht="41.45" customHeight="1">
      <c r="A4578"/>
      <c r="AC4578"/>
      <c r="AD4578"/>
    </row>
    <row r="4579" spans="1:30" ht="41.45" customHeight="1">
      <c r="A4579"/>
      <c r="AC4579"/>
      <c r="AD4579"/>
    </row>
    <row r="4580" spans="1:30" ht="41.45" customHeight="1">
      <c r="A4580"/>
      <c r="AC4580"/>
      <c r="AD4580"/>
    </row>
    <row r="4581" spans="1:30" ht="41.45" customHeight="1">
      <c r="A4581"/>
      <c r="AC4581"/>
      <c r="AD4581"/>
    </row>
    <row r="4582" spans="1:30" ht="41.45" customHeight="1">
      <c r="A4582"/>
      <c r="AC4582"/>
      <c r="AD4582"/>
    </row>
    <row r="4583" spans="1:30" ht="41.45" customHeight="1">
      <c r="A4583"/>
      <c r="AC4583"/>
      <c r="AD4583"/>
    </row>
    <row r="4584" spans="1:30" ht="41.45" customHeight="1">
      <c r="A4584"/>
      <c r="AC4584"/>
      <c r="AD4584"/>
    </row>
    <row r="4585" spans="1:30" ht="41.45" customHeight="1">
      <c r="A4585"/>
      <c r="AC4585"/>
      <c r="AD4585"/>
    </row>
    <row r="4586" spans="1:30" ht="41.45" customHeight="1">
      <c r="A4586"/>
      <c r="AC4586"/>
      <c r="AD4586"/>
    </row>
    <row r="4587" spans="1:30" ht="41.45" customHeight="1">
      <c r="A4587"/>
      <c r="AC4587"/>
      <c r="AD4587"/>
    </row>
    <row r="4588" spans="1:30" ht="41.45" customHeight="1">
      <c r="A4588"/>
      <c r="AC4588"/>
      <c r="AD4588"/>
    </row>
    <row r="4589" spans="1:30" ht="41.45" customHeight="1">
      <c r="A4589"/>
      <c r="AC4589"/>
      <c r="AD4589"/>
    </row>
    <row r="4590" spans="1:30" ht="41.45" customHeight="1">
      <c r="A4590"/>
      <c r="AC4590"/>
      <c r="AD4590"/>
    </row>
    <row r="4591" spans="1:30" ht="41.45" customHeight="1">
      <c r="A4591"/>
      <c r="AC4591"/>
      <c r="AD4591"/>
    </row>
    <row r="4592" spans="1:30" ht="41.45" customHeight="1">
      <c r="A4592"/>
      <c r="AC4592"/>
      <c r="AD4592"/>
    </row>
    <row r="4593" spans="1:30" ht="41.45" customHeight="1">
      <c r="A4593"/>
      <c r="AC4593"/>
      <c r="AD4593"/>
    </row>
    <row r="4594" spans="1:30" ht="41.45" customHeight="1">
      <c r="A4594"/>
      <c r="AC4594"/>
      <c r="AD4594"/>
    </row>
    <row r="4595" spans="1:30" ht="41.45" customHeight="1">
      <c r="A4595"/>
      <c r="AC4595"/>
      <c r="AD4595"/>
    </row>
    <row r="4596" spans="1:30" ht="41.45" customHeight="1">
      <c r="A4596"/>
      <c r="AC4596"/>
      <c r="AD4596"/>
    </row>
    <row r="4597" spans="1:30" ht="41.45" customHeight="1">
      <c r="A4597"/>
      <c r="AC4597"/>
      <c r="AD4597"/>
    </row>
    <row r="4598" spans="1:30" ht="41.45" customHeight="1">
      <c r="A4598"/>
      <c r="AC4598"/>
      <c r="AD4598"/>
    </row>
    <row r="4599" spans="1:30" ht="41.45" customHeight="1">
      <c r="A4599"/>
      <c r="AC4599"/>
      <c r="AD4599"/>
    </row>
    <row r="4600" spans="1:30" ht="41.45" customHeight="1">
      <c r="A4600"/>
      <c r="AC4600"/>
      <c r="AD4600"/>
    </row>
    <row r="4601" spans="1:30" ht="41.45" customHeight="1">
      <c r="A4601"/>
      <c r="AC4601"/>
      <c r="AD4601"/>
    </row>
    <row r="4602" spans="1:30" ht="41.45" customHeight="1">
      <c r="A4602"/>
      <c r="AC4602"/>
      <c r="AD4602"/>
    </row>
    <row r="4603" spans="1:30" ht="41.45" customHeight="1">
      <c r="A4603"/>
      <c r="AC4603"/>
      <c r="AD4603"/>
    </row>
    <row r="4604" spans="1:30" ht="41.45" customHeight="1">
      <c r="A4604"/>
      <c r="AC4604"/>
      <c r="AD4604"/>
    </row>
    <row r="4605" spans="1:30" ht="41.45" customHeight="1">
      <c r="A4605"/>
      <c r="AC4605"/>
      <c r="AD4605"/>
    </row>
    <row r="4606" spans="1:30" ht="41.45" customHeight="1">
      <c r="A4606"/>
      <c r="AC4606"/>
      <c r="AD4606"/>
    </row>
    <row r="4607" spans="1:30" ht="41.45" customHeight="1">
      <c r="A4607"/>
      <c r="AC4607"/>
      <c r="AD4607"/>
    </row>
    <row r="4608" spans="1:30" ht="41.45" customHeight="1">
      <c r="A4608"/>
      <c r="AC4608"/>
      <c r="AD4608"/>
    </row>
    <row r="4609" spans="1:30" ht="41.45" customHeight="1">
      <c r="A4609"/>
      <c r="AC4609"/>
      <c r="AD4609"/>
    </row>
    <row r="4610" spans="1:30" ht="41.45" customHeight="1">
      <c r="A4610"/>
      <c r="AC4610"/>
      <c r="AD4610"/>
    </row>
    <row r="4611" spans="1:30" ht="41.45" customHeight="1">
      <c r="A4611"/>
      <c r="AC4611"/>
      <c r="AD4611"/>
    </row>
    <row r="4612" spans="1:30" ht="41.45" customHeight="1">
      <c r="A4612"/>
      <c r="AC4612"/>
      <c r="AD4612"/>
    </row>
    <row r="4613" spans="1:30" ht="41.45" customHeight="1">
      <c r="A4613"/>
      <c r="AC4613"/>
      <c r="AD4613"/>
    </row>
    <row r="4614" spans="1:30" ht="41.45" customHeight="1">
      <c r="A4614"/>
      <c r="AC4614"/>
      <c r="AD4614"/>
    </row>
    <row r="4615" spans="1:30" ht="41.45" customHeight="1">
      <c r="A4615"/>
      <c r="AC4615"/>
      <c r="AD4615"/>
    </row>
    <row r="4616" spans="1:30" ht="41.45" customHeight="1">
      <c r="A4616"/>
      <c r="AC4616"/>
      <c r="AD4616"/>
    </row>
    <row r="4617" spans="1:30" ht="41.45" customHeight="1">
      <c r="A4617"/>
      <c r="AC4617"/>
      <c r="AD4617"/>
    </row>
    <row r="4618" spans="1:30" ht="41.45" customHeight="1">
      <c r="A4618"/>
      <c r="AC4618"/>
      <c r="AD4618"/>
    </row>
    <row r="4619" spans="1:30" ht="41.45" customHeight="1">
      <c r="A4619"/>
      <c r="AC4619"/>
      <c r="AD4619"/>
    </row>
    <row r="4620" spans="1:30" ht="41.45" customHeight="1">
      <c r="A4620"/>
      <c r="AC4620"/>
      <c r="AD4620"/>
    </row>
    <row r="4621" spans="1:30" ht="41.45" customHeight="1">
      <c r="A4621"/>
      <c r="AC4621"/>
      <c r="AD4621"/>
    </row>
    <row r="4622" spans="1:30" ht="41.45" customHeight="1">
      <c r="A4622"/>
      <c r="AC4622"/>
      <c r="AD4622"/>
    </row>
    <row r="4623" spans="1:30" ht="41.45" customHeight="1">
      <c r="A4623"/>
      <c r="AC4623"/>
      <c r="AD4623"/>
    </row>
    <row r="4624" spans="1:30" ht="41.45" customHeight="1">
      <c r="A4624"/>
      <c r="AC4624"/>
      <c r="AD4624"/>
    </row>
    <row r="4625" spans="1:30" ht="41.45" customHeight="1">
      <c r="A4625"/>
      <c r="AC4625"/>
      <c r="AD4625"/>
    </row>
    <row r="4626" spans="1:30" ht="41.45" customHeight="1">
      <c r="A4626"/>
      <c r="AC4626"/>
      <c r="AD4626"/>
    </row>
    <row r="4627" spans="1:30" ht="41.45" customHeight="1">
      <c r="A4627"/>
      <c r="AC4627"/>
      <c r="AD4627"/>
    </row>
    <row r="4628" spans="1:30" ht="41.45" customHeight="1">
      <c r="A4628"/>
      <c r="AC4628"/>
      <c r="AD4628"/>
    </row>
    <row r="4629" spans="1:30" ht="41.45" customHeight="1">
      <c r="A4629"/>
      <c r="AC4629"/>
      <c r="AD4629"/>
    </row>
    <row r="4630" spans="1:30" ht="41.45" customHeight="1">
      <c r="A4630"/>
      <c r="AC4630"/>
      <c r="AD4630"/>
    </row>
    <row r="4631" spans="1:30" ht="41.45" customHeight="1">
      <c r="A4631"/>
      <c r="AC4631"/>
      <c r="AD4631"/>
    </row>
    <row r="4632" spans="1:30" ht="41.45" customHeight="1">
      <c r="A4632"/>
      <c r="AC4632"/>
      <c r="AD4632"/>
    </row>
    <row r="4633" spans="1:30" ht="41.45" customHeight="1">
      <c r="A4633"/>
      <c r="AC4633"/>
      <c r="AD4633"/>
    </row>
    <row r="4634" spans="1:30" ht="41.45" customHeight="1">
      <c r="A4634"/>
      <c r="AC4634"/>
      <c r="AD4634"/>
    </row>
    <row r="4635" spans="1:30" ht="41.45" customHeight="1">
      <c r="A4635"/>
      <c r="AC4635"/>
      <c r="AD4635"/>
    </row>
    <row r="4636" spans="1:30" ht="41.45" customHeight="1">
      <c r="A4636"/>
      <c r="AC4636"/>
      <c r="AD4636"/>
    </row>
    <row r="4637" spans="1:30" ht="41.45" customHeight="1">
      <c r="A4637"/>
      <c r="AC4637"/>
      <c r="AD4637"/>
    </row>
    <row r="4638" spans="1:30" ht="41.45" customHeight="1">
      <c r="A4638"/>
      <c r="AC4638"/>
      <c r="AD4638"/>
    </row>
    <row r="4639" spans="1:30" ht="41.45" customHeight="1">
      <c r="A4639"/>
      <c r="AC4639"/>
      <c r="AD4639"/>
    </row>
    <row r="4640" spans="1:30" ht="41.45" customHeight="1">
      <c r="A4640"/>
      <c r="AC4640"/>
      <c r="AD4640"/>
    </row>
    <row r="4641" spans="1:30" ht="41.45" customHeight="1">
      <c r="A4641"/>
      <c r="AC4641"/>
      <c r="AD4641"/>
    </row>
    <row r="4642" spans="1:30" ht="41.45" customHeight="1">
      <c r="A4642"/>
      <c r="AC4642"/>
      <c r="AD4642"/>
    </row>
    <row r="4643" spans="1:30" ht="41.45" customHeight="1">
      <c r="A4643"/>
      <c r="AC4643"/>
      <c r="AD4643"/>
    </row>
    <row r="4644" spans="1:30" ht="41.45" customHeight="1">
      <c r="A4644"/>
      <c r="AC4644"/>
      <c r="AD4644"/>
    </row>
    <row r="4645" spans="1:30" ht="41.45" customHeight="1">
      <c r="A4645"/>
      <c r="AC4645"/>
      <c r="AD4645"/>
    </row>
    <row r="4646" spans="1:30" ht="41.45" customHeight="1">
      <c r="A4646"/>
      <c r="AC4646"/>
      <c r="AD4646"/>
    </row>
    <row r="4647" spans="1:30" ht="41.45" customHeight="1">
      <c r="A4647"/>
      <c r="AC4647"/>
      <c r="AD4647"/>
    </row>
    <row r="4648" spans="1:30" ht="41.45" customHeight="1">
      <c r="A4648"/>
      <c r="AC4648"/>
      <c r="AD4648"/>
    </row>
    <row r="4649" spans="1:30" ht="41.45" customHeight="1">
      <c r="A4649"/>
      <c r="AC4649"/>
      <c r="AD4649"/>
    </row>
    <row r="4650" spans="1:30" ht="41.45" customHeight="1">
      <c r="A4650"/>
      <c r="AC4650"/>
      <c r="AD4650"/>
    </row>
    <row r="4651" spans="1:30" ht="41.45" customHeight="1">
      <c r="A4651"/>
      <c r="AC4651"/>
      <c r="AD4651"/>
    </row>
    <row r="4652" spans="1:30" ht="41.45" customHeight="1">
      <c r="A4652"/>
      <c r="AC4652"/>
      <c r="AD4652"/>
    </row>
    <row r="4653" spans="1:30" ht="41.45" customHeight="1">
      <c r="A4653"/>
      <c r="AC4653"/>
      <c r="AD4653"/>
    </row>
    <row r="4654" spans="1:30" ht="41.45" customHeight="1">
      <c r="A4654"/>
      <c r="AC4654"/>
      <c r="AD4654"/>
    </row>
    <row r="4655" spans="1:30" ht="41.45" customHeight="1">
      <c r="A4655"/>
      <c r="AC4655"/>
      <c r="AD4655"/>
    </row>
    <row r="4656" spans="1:30" ht="41.45" customHeight="1">
      <c r="A4656"/>
      <c r="AC4656"/>
      <c r="AD4656"/>
    </row>
    <row r="4657" spans="1:30" ht="41.45" customHeight="1">
      <c r="A4657"/>
      <c r="AC4657"/>
      <c r="AD4657"/>
    </row>
    <row r="4658" spans="1:30" ht="41.45" customHeight="1">
      <c r="A4658"/>
      <c r="AC4658"/>
      <c r="AD4658"/>
    </row>
    <row r="4659" spans="1:30" ht="41.45" customHeight="1">
      <c r="A4659"/>
      <c r="AC4659"/>
      <c r="AD4659"/>
    </row>
    <row r="4660" spans="1:30" ht="41.45" customHeight="1">
      <c r="A4660"/>
      <c r="AC4660"/>
      <c r="AD4660"/>
    </row>
    <row r="4661" spans="1:30" ht="41.45" customHeight="1">
      <c r="A4661"/>
      <c r="AC4661"/>
      <c r="AD4661"/>
    </row>
    <row r="4662" spans="1:30" ht="41.45" customHeight="1">
      <c r="A4662"/>
      <c r="AC4662"/>
      <c r="AD4662"/>
    </row>
    <row r="4663" spans="1:30" ht="41.45" customHeight="1">
      <c r="A4663"/>
      <c r="AC4663"/>
      <c r="AD4663"/>
    </row>
    <row r="4664" spans="1:30" ht="41.45" customHeight="1">
      <c r="A4664"/>
      <c r="AC4664"/>
      <c r="AD4664"/>
    </row>
    <row r="4665" spans="1:30" ht="41.45" customHeight="1">
      <c r="A4665"/>
      <c r="AC4665"/>
      <c r="AD4665"/>
    </row>
    <row r="4666" spans="1:30" ht="41.45" customHeight="1">
      <c r="A4666"/>
      <c r="AC4666"/>
      <c r="AD4666"/>
    </row>
    <row r="4667" spans="1:30" ht="41.45" customHeight="1">
      <c r="A4667"/>
      <c r="AC4667"/>
      <c r="AD4667"/>
    </row>
    <row r="4668" spans="1:30" ht="41.45" customHeight="1">
      <c r="A4668"/>
      <c r="AC4668"/>
      <c r="AD4668"/>
    </row>
    <row r="4669" spans="1:30" ht="41.45" customHeight="1">
      <c r="A4669"/>
      <c r="AC4669"/>
      <c r="AD4669"/>
    </row>
    <row r="4670" spans="1:30" ht="41.45" customHeight="1">
      <c r="A4670"/>
      <c r="AC4670"/>
      <c r="AD4670"/>
    </row>
    <row r="4671" spans="1:30" ht="41.45" customHeight="1">
      <c r="A4671"/>
      <c r="AC4671"/>
      <c r="AD4671"/>
    </row>
    <row r="4672" spans="1:30" ht="41.45" customHeight="1">
      <c r="A4672"/>
      <c r="AC4672"/>
      <c r="AD4672"/>
    </row>
    <row r="4673" spans="1:30" ht="41.45" customHeight="1">
      <c r="A4673"/>
      <c r="AC4673"/>
      <c r="AD4673"/>
    </row>
    <row r="4674" spans="1:30" ht="41.45" customHeight="1">
      <c r="A4674"/>
      <c r="AC4674"/>
      <c r="AD4674"/>
    </row>
    <row r="4675" spans="1:30" ht="41.45" customHeight="1">
      <c r="A4675"/>
      <c r="AC4675"/>
      <c r="AD4675"/>
    </row>
    <row r="4676" spans="1:30" ht="41.45" customHeight="1">
      <c r="A4676"/>
      <c r="AC4676"/>
      <c r="AD4676"/>
    </row>
    <row r="4677" spans="1:30" ht="41.45" customHeight="1">
      <c r="A4677"/>
      <c r="AC4677"/>
      <c r="AD4677"/>
    </row>
    <row r="4678" spans="1:30" ht="41.45" customHeight="1">
      <c r="A4678"/>
      <c r="AC4678"/>
      <c r="AD4678"/>
    </row>
    <row r="4679" spans="1:30" ht="41.45" customHeight="1">
      <c r="A4679"/>
      <c r="AC4679"/>
      <c r="AD4679"/>
    </row>
    <row r="4680" spans="1:30" ht="41.45" customHeight="1">
      <c r="A4680"/>
      <c r="AC4680"/>
      <c r="AD4680"/>
    </row>
    <row r="4681" spans="1:30" ht="41.45" customHeight="1">
      <c r="A4681"/>
      <c r="AC4681"/>
      <c r="AD4681"/>
    </row>
    <row r="4682" spans="1:30" ht="41.45" customHeight="1">
      <c r="A4682"/>
      <c r="AC4682"/>
      <c r="AD4682"/>
    </row>
    <row r="4683" spans="1:30" ht="41.45" customHeight="1">
      <c r="A4683"/>
      <c r="AC4683"/>
      <c r="AD4683"/>
    </row>
    <row r="4684" spans="1:30" ht="41.45" customHeight="1">
      <c r="A4684"/>
      <c r="AC4684"/>
      <c r="AD4684"/>
    </row>
    <row r="4685" spans="1:30" ht="41.45" customHeight="1">
      <c r="A4685"/>
      <c r="AC4685"/>
      <c r="AD4685"/>
    </row>
    <row r="4686" spans="1:30" ht="41.45" customHeight="1">
      <c r="A4686"/>
      <c r="AC4686"/>
      <c r="AD4686"/>
    </row>
    <row r="4687" spans="1:30" ht="41.45" customHeight="1">
      <c r="A4687"/>
      <c r="AC4687"/>
      <c r="AD4687"/>
    </row>
    <row r="4688" spans="1:30" ht="41.45" customHeight="1">
      <c r="A4688"/>
      <c r="AC4688"/>
      <c r="AD4688"/>
    </row>
    <row r="4689" spans="1:30" ht="41.45" customHeight="1">
      <c r="A4689"/>
      <c r="AC4689"/>
      <c r="AD4689"/>
    </row>
    <row r="4690" spans="1:30" ht="41.45" customHeight="1">
      <c r="A4690"/>
      <c r="AC4690"/>
      <c r="AD4690"/>
    </row>
    <row r="4691" spans="1:30" ht="41.45" customHeight="1">
      <c r="A4691"/>
      <c r="AC4691"/>
      <c r="AD4691"/>
    </row>
    <row r="4692" spans="1:30" ht="41.45" customHeight="1">
      <c r="A4692"/>
      <c r="AC4692"/>
      <c r="AD4692"/>
    </row>
    <row r="4693" spans="1:30" ht="41.45" customHeight="1">
      <c r="A4693"/>
      <c r="AC4693"/>
      <c r="AD4693"/>
    </row>
    <row r="4694" spans="1:30" ht="41.45" customHeight="1">
      <c r="A4694"/>
      <c r="AC4694"/>
      <c r="AD4694"/>
    </row>
    <row r="4695" spans="1:30" ht="41.45" customHeight="1">
      <c r="A4695"/>
      <c r="AC4695"/>
      <c r="AD4695"/>
    </row>
    <row r="4696" spans="1:30" ht="41.45" customHeight="1">
      <c r="A4696"/>
      <c r="AC4696"/>
      <c r="AD4696"/>
    </row>
    <row r="4697" spans="1:30" ht="41.45" customHeight="1">
      <c r="A4697"/>
      <c r="AC4697"/>
      <c r="AD4697"/>
    </row>
    <row r="4698" spans="1:30" ht="41.45" customHeight="1">
      <c r="A4698"/>
      <c r="AC4698"/>
      <c r="AD4698"/>
    </row>
    <row r="4699" spans="1:30" ht="41.45" customHeight="1">
      <c r="A4699"/>
      <c r="AC4699"/>
      <c r="AD4699"/>
    </row>
    <row r="4700" spans="1:30" ht="41.45" customHeight="1">
      <c r="A4700"/>
      <c r="AC4700"/>
      <c r="AD4700"/>
    </row>
    <row r="4701" spans="1:30" ht="41.45" customHeight="1">
      <c r="A4701"/>
      <c r="AC4701"/>
      <c r="AD4701"/>
    </row>
    <row r="4702" spans="1:30" ht="41.45" customHeight="1">
      <c r="A4702"/>
      <c r="AC4702"/>
      <c r="AD4702"/>
    </row>
    <row r="4703" spans="1:30" ht="41.45" customHeight="1">
      <c r="A4703"/>
      <c r="AC4703"/>
      <c r="AD4703"/>
    </row>
    <row r="4704" spans="1:30" ht="41.45" customHeight="1">
      <c r="A4704"/>
      <c r="AC4704"/>
      <c r="AD4704"/>
    </row>
    <row r="4705" spans="1:30" ht="41.45" customHeight="1">
      <c r="A4705"/>
      <c r="AC4705"/>
      <c r="AD4705"/>
    </row>
    <row r="4706" spans="1:30" ht="41.45" customHeight="1">
      <c r="A4706"/>
      <c r="AC4706"/>
      <c r="AD4706"/>
    </row>
    <row r="4707" spans="1:30" ht="41.45" customHeight="1">
      <c r="A4707"/>
      <c r="AC4707"/>
      <c r="AD4707"/>
    </row>
    <row r="4708" spans="1:30" ht="41.45" customHeight="1">
      <c r="A4708"/>
      <c r="AC4708"/>
      <c r="AD4708"/>
    </row>
    <row r="4709" spans="1:30" ht="41.45" customHeight="1">
      <c r="A4709"/>
      <c r="AC4709"/>
      <c r="AD4709"/>
    </row>
    <row r="4710" spans="1:30" ht="41.45" customHeight="1">
      <c r="A4710"/>
      <c r="AC4710"/>
      <c r="AD4710"/>
    </row>
    <row r="4711" spans="1:30" ht="41.45" customHeight="1">
      <c r="A4711"/>
      <c r="AC4711"/>
      <c r="AD4711"/>
    </row>
    <row r="4712" spans="1:30" ht="41.45" customHeight="1">
      <c r="A4712"/>
      <c r="AC4712"/>
      <c r="AD4712"/>
    </row>
    <row r="4713" spans="1:30" ht="41.45" customHeight="1">
      <c r="A4713"/>
      <c r="AC4713"/>
      <c r="AD4713"/>
    </row>
    <row r="4714" spans="1:30" ht="41.45" customHeight="1">
      <c r="A4714"/>
      <c r="AC4714"/>
      <c r="AD4714"/>
    </row>
    <row r="4715" spans="1:30" ht="41.45" customHeight="1">
      <c r="A4715"/>
      <c r="AC4715"/>
      <c r="AD4715"/>
    </row>
    <row r="4716" spans="1:30" ht="41.45" customHeight="1">
      <c r="A4716"/>
      <c r="AC4716"/>
      <c r="AD4716"/>
    </row>
    <row r="4717" spans="1:30" ht="41.45" customHeight="1">
      <c r="A4717"/>
      <c r="AC4717"/>
      <c r="AD4717"/>
    </row>
    <row r="4718" spans="1:30" ht="41.45" customHeight="1">
      <c r="A4718"/>
      <c r="AC4718"/>
      <c r="AD4718"/>
    </row>
    <row r="4719" spans="1:30" ht="41.45" customHeight="1">
      <c r="A4719"/>
      <c r="AC4719"/>
      <c r="AD4719"/>
    </row>
    <row r="4720" spans="1:30" ht="41.45" customHeight="1">
      <c r="A4720"/>
      <c r="AC4720"/>
      <c r="AD4720"/>
    </row>
    <row r="4721" spans="1:30" ht="41.45" customHeight="1">
      <c r="A4721"/>
      <c r="AC4721"/>
      <c r="AD4721"/>
    </row>
    <row r="4722" spans="1:30" ht="41.45" customHeight="1">
      <c r="A4722"/>
      <c r="AC4722"/>
      <c r="AD4722"/>
    </row>
    <row r="4723" spans="1:30" ht="41.45" customHeight="1">
      <c r="A4723"/>
      <c r="AC4723"/>
      <c r="AD4723"/>
    </row>
    <row r="4724" spans="1:30" ht="41.45" customHeight="1">
      <c r="A4724"/>
      <c r="AC4724"/>
      <c r="AD4724"/>
    </row>
    <row r="4725" spans="1:30" ht="41.45" customHeight="1">
      <c r="A4725"/>
      <c r="AC4725"/>
      <c r="AD4725"/>
    </row>
    <row r="4726" spans="1:30" ht="41.45" customHeight="1">
      <c r="A4726"/>
      <c r="AC4726"/>
      <c r="AD4726"/>
    </row>
    <row r="4727" spans="1:30" ht="41.45" customHeight="1">
      <c r="A4727"/>
      <c r="AC4727"/>
      <c r="AD4727"/>
    </row>
    <row r="4728" spans="1:30" ht="41.45" customHeight="1">
      <c r="A4728"/>
      <c r="AC4728"/>
      <c r="AD4728"/>
    </row>
    <row r="4729" spans="1:30" ht="41.45" customHeight="1">
      <c r="A4729"/>
      <c r="AC4729"/>
      <c r="AD4729"/>
    </row>
    <row r="4730" spans="1:30" ht="41.45" customHeight="1">
      <c r="A4730"/>
      <c r="AC4730"/>
      <c r="AD4730"/>
    </row>
    <row r="4731" spans="1:30" ht="41.45" customHeight="1">
      <c r="A4731"/>
      <c r="AC4731"/>
      <c r="AD4731"/>
    </row>
    <row r="4732" spans="1:30" ht="41.45" customHeight="1">
      <c r="A4732"/>
      <c r="AC4732"/>
      <c r="AD4732"/>
    </row>
    <row r="4733" spans="1:30" ht="41.45" customHeight="1">
      <c r="A4733"/>
      <c r="AC4733"/>
      <c r="AD4733"/>
    </row>
    <row r="4734" spans="1:30" ht="41.45" customHeight="1">
      <c r="A4734"/>
      <c r="AC4734"/>
      <c r="AD4734"/>
    </row>
    <row r="4735" spans="1:30" ht="41.45" customHeight="1">
      <c r="A4735"/>
      <c r="AC4735"/>
      <c r="AD4735"/>
    </row>
    <row r="4736" spans="1:30" ht="41.45" customHeight="1">
      <c r="A4736"/>
      <c r="AC4736"/>
      <c r="AD4736"/>
    </row>
    <row r="4737" spans="1:30" ht="41.45" customHeight="1">
      <c r="A4737"/>
      <c r="AC4737"/>
      <c r="AD4737"/>
    </row>
    <row r="4738" spans="1:30" ht="41.45" customHeight="1">
      <c r="A4738"/>
      <c r="AC4738"/>
      <c r="AD4738"/>
    </row>
    <row r="4739" spans="1:30" ht="41.45" customHeight="1">
      <c r="A4739"/>
      <c r="AC4739"/>
      <c r="AD4739"/>
    </row>
    <row r="4740" spans="1:30" ht="41.45" customHeight="1">
      <c r="A4740"/>
      <c r="AC4740"/>
      <c r="AD4740"/>
    </row>
    <row r="4741" spans="1:30" ht="41.45" customHeight="1">
      <c r="A4741"/>
      <c r="AC4741"/>
      <c r="AD4741"/>
    </row>
    <row r="4742" spans="1:30" ht="41.45" customHeight="1">
      <c r="A4742"/>
      <c r="AC4742"/>
      <c r="AD4742"/>
    </row>
    <row r="4743" spans="1:30" ht="41.45" customHeight="1">
      <c r="A4743"/>
      <c r="AC4743"/>
      <c r="AD4743"/>
    </row>
    <row r="4744" spans="1:30" ht="41.45" customHeight="1">
      <c r="A4744"/>
      <c r="AC4744"/>
      <c r="AD4744"/>
    </row>
    <row r="4745" spans="1:30" ht="41.45" customHeight="1">
      <c r="A4745"/>
      <c r="AC4745"/>
      <c r="AD4745"/>
    </row>
    <row r="4746" spans="1:30" ht="41.45" customHeight="1">
      <c r="A4746"/>
      <c r="AC4746"/>
      <c r="AD4746"/>
    </row>
    <row r="4747" spans="1:30" ht="41.45" customHeight="1">
      <c r="A4747"/>
      <c r="AC4747"/>
      <c r="AD4747"/>
    </row>
    <row r="4748" spans="1:30" ht="41.45" customHeight="1">
      <c r="A4748"/>
      <c r="AC4748"/>
      <c r="AD4748"/>
    </row>
    <row r="4749" spans="1:30" ht="41.45" customHeight="1">
      <c r="A4749"/>
      <c r="AC4749"/>
      <c r="AD4749"/>
    </row>
    <row r="4750" spans="1:30" ht="41.45" customHeight="1">
      <c r="A4750"/>
      <c r="AC4750"/>
      <c r="AD4750"/>
    </row>
    <row r="4751" spans="1:30" ht="41.45" customHeight="1">
      <c r="A4751"/>
      <c r="AC4751"/>
      <c r="AD4751"/>
    </row>
    <row r="4752" spans="1:30" ht="41.45" customHeight="1">
      <c r="A4752"/>
      <c r="AC4752"/>
      <c r="AD4752"/>
    </row>
    <row r="4753" spans="1:30" ht="41.45" customHeight="1">
      <c r="A4753"/>
      <c r="AC4753"/>
      <c r="AD4753"/>
    </row>
    <row r="4754" spans="1:30" ht="41.45" customHeight="1">
      <c r="A4754"/>
      <c r="AC4754"/>
      <c r="AD4754"/>
    </row>
    <row r="4755" spans="1:30" ht="41.45" customHeight="1">
      <c r="A4755"/>
      <c r="AC4755"/>
      <c r="AD4755"/>
    </row>
    <row r="4756" spans="1:30" ht="41.45" customHeight="1">
      <c r="A4756"/>
      <c r="AC4756"/>
      <c r="AD4756"/>
    </row>
    <row r="4757" spans="1:30" ht="41.45" customHeight="1">
      <c r="A4757"/>
      <c r="AC4757"/>
      <c r="AD4757"/>
    </row>
    <row r="4758" spans="1:30" ht="41.45" customHeight="1">
      <c r="A4758"/>
      <c r="AC4758"/>
      <c r="AD4758"/>
    </row>
    <row r="4759" spans="1:30" ht="41.45" customHeight="1">
      <c r="A4759"/>
      <c r="AC4759"/>
      <c r="AD4759"/>
    </row>
    <row r="4760" spans="1:30" ht="41.45" customHeight="1">
      <c r="A4760"/>
      <c r="AC4760"/>
      <c r="AD4760"/>
    </row>
    <row r="4761" spans="1:30" ht="41.45" customHeight="1">
      <c r="A4761"/>
      <c r="AC4761"/>
      <c r="AD4761"/>
    </row>
    <row r="4762" spans="1:30" ht="41.45" customHeight="1">
      <c r="A4762"/>
      <c r="AC4762"/>
      <c r="AD4762"/>
    </row>
    <row r="4763" spans="1:30" ht="41.45" customHeight="1">
      <c r="A4763"/>
      <c r="AC4763"/>
      <c r="AD4763"/>
    </row>
    <row r="4764" spans="1:30" ht="41.45" customHeight="1">
      <c r="A4764"/>
      <c r="AC4764"/>
      <c r="AD4764"/>
    </row>
    <row r="4765" spans="1:30" ht="41.45" customHeight="1">
      <c r="A4765"/>
      <c r="AC4765"/>
      <c r="AD4765"/>
    </row>
    <row r="4766" spans="1:30" ht="41.45" customHeight="1">
      <c r="A4766"/>
      <c r="AC4766"/>
      <c r="AD4766"/>
    </row>
    <row r="4767" spans="1:30" ht="41.45" customHeight="1">
      <c r="A4767"/>
      <c r="AC4767"/>
      <c r="AD4767"/>
    </row>
    <row r="4768" spans="1:30" ht="41.45" customHeight="1">
      <c r="A4768"/>
      <c r="AC4768"/>
      <c r="AD4768"/>
    </row>
    <row r="4769" spans="1:30" ht="41.45" customHeight="1">
      <c r="A4769"/>
      <c r="AC4769"/>
      <c r="AD4769"/>
    </row>
    <row r="4770" spans="1:30" ht="41.45" customHeight="1">
      <c r="A4770"/>
      <c r="AC4770"/>
      <c r="AD4770"/>
    </row>
    <row r="4771" spans="1:30" ht="41.45" customHeight="1">
      <c r="A4771"/>
      <c r="AC4771"/>
      <c r="AD4771"/>
    </row>
    <row r="4772" spans="1:30" ht="41.45" customHeight="1">
      <c r="A4772"/>
      <c r="AC4772"/>
      <c r="AD4772"/>
    </row>
    <row r="4773" spans="1:30" ht="41.45" customHeight="1">
      <c r="A4773"/>
      <c r="AC4773"/>
      <c r="AD4773"/>
    </row>
    <row r="4774" spans="1:30" ht="41.45" customHeight="1">
      <c r="A4774"/>
      <c r="AC4774"/>
      <c r="AD4774"/>
    </row>
    <row r="4775" spans="1:30" ht="41.45" customHeight="1">
      <c r="A4775"/>
      <c r="AC4775"/>
      <c r="AD4775"/>
    </row>
    <row r="4776" spans="1:30" ht="41.45" customHeight="1">
      <c r="A4776"/>
      <c r="AC4776"/>
      <c r="AD4776"/>
    </row>
    <row r="4777" spans="1:30" ht="41.45" customHeight="1">
      <c r="A4777"/>
      <c r="AC4777"/>
      <c r="AD4777"/>
    </row>
    <row r="4778" spans="1:30" ht="41.45" customHeight="1">
      <c r="A4778"/>
      <c r="AC4778"/>
      <c r="AD4778"/>
    </row>
    <row r="4779" spans="1:30" ht="41.45" customHeight="1">
      <c r="A4779"/>
      <c r="AC4779"/>
      <c r="AD4779"/>
    </row>
    <row r="4780" spans="1:30" ht="41.45" customHeight="1">
      <c r="A4780"/>
      <c r="AC4780"/>
      <c r="AD4780"/>
    </row>
    <row r="4781" spans="1:30" ht="41.45" customHeight="1">
      <c r="A4781"/>
      <c r="AC4781"/>
      <c r="AD4781"/>
    </row>
    <row r="4782" spans="1:30" ht="41.45" customHeight="1">
      <c r="A4782"/>
      <c r="AC4782"/>
      <c r="AD4782"/>
    </row>
    <row r="4783" spans="1:30" ht="41.45" customHeight="1">
      <c r="A4783"/>
      <c r="AC4783"/>
      <c r="AD4783"/>
    </row>
    <row r="4784" spans="1:30" ht="41.45" customHeight="1">
      <c r="A4784"/>
      <c r="AC4784"/>
      <c r="AD4784"/>
    </row>
    <row r="4785" spans="1:30" ht="41.45" customHeight="1">
      <c r="A4785"/>
      <c r="AC4785"/>
      <c r="AD4785"/>
    </row>
    <row r="4786" spans="1:30" ht="41.45" customHeight="1">
      <c r="A4786"/>
      <c r="AC4786"/>
      <c r="AD4786"/>
    </row>
    <row r="4787" spans="1:30" ht="41.45" customHeight="1">
      <c r="A4787"/>
      <c r="AC4787"/>
      <c r="AD4787"/>
    </row>
    <row r="4788" spans="1:30" ht="41.45" customHeight="1">
      <c r="A4788"/>
      <c r="AC4788"/>
      <c r="AD4788"/>
    </row>
    <row r="4789" spans="1:30" ht="41.45" customHeight="1">
      <c r="A4789"/>
      <c r="AC4789"/>
      <c r="AD4789"/>
    </row>
    <row r="4790" spans="1:30" ht="41.45" customHeight="1">
      <c r="A4790"/>
      <c r="AC4790"/>
      <c r="AD4790"/>
    </row>
    <row r="4791" spans="1:30" ht="41.45" customHeight="1">
      <c r="A4791"/>
      <c r="AC4791"/>
      <c r="AD4791"/>
    </row>
    <row r="4792" spans="1:30" ht="41.45" customHeight="1">
      <c r="A4792"/>
      <c r="AC4792"/>
      <c r="AD4792"/>
    </row>
    <row r="4793" spans="1:30" ht="41.45" customHeight="1">
      <c r="A4793"/>
      <c r="AC4793"/>
      <c r="AD4793"/>
    </row>
    <row r="4794" spans="1:30" ht="41.45" customHeight="1">
      <c r="A4794"/>
      <c r="AC4794"/>
      <c r="AD4794"/>
    </row>
    <row r="4795" spans="1:30" ht="41.45" customHeight="1">
      <c r="A4795"/>
      <c r="AC4795"/>
      <c r="AD4795"/>
    </row>
    <row r="4796" spans="1:30" ht="41.45" customHeight="1">
      <c r="A4796"/>
      <c r="AC4796"/>
      <c r="AD4796"/>
    </row>
    <row r="4797" spans="1:30" ht="41.45" customHeight="1">
      <c r="A4797"/>
      <c r="AC4797"/>
      <c r="AD4797"/>
    </row>
    <row r="4798" spans="1:30" ht="41.45" customHeight="1">
      <c r="A4798"/>
      <c r="AC4798"/>
      <c r="AD4798"/>
    </row>
    <row r="4799" spans="1:30" ht="41.45" customHeight="1">
      <c r="A4799"/>
      <c r="AC4799"/>
      <c r="AD4799"/>
    </row>
    <row r="4800" spans="1:30" ht="41.45" customHeight="1">
      <c r="A4800"/>
      <c r="AC4800"/>
      <c r="AD4800"/>
    </row>
    <row r="4801" spans="1:30" ht="41.45" customHeight="1">
      <c r="A4801"/>
      <c r="AC4801"/>
      <c r="AD4801"/>
    </row>
    <row r="4802" spans="1:30" ht="41.45" customHeight="1">
      <c r="A4802"/>
      <c r="AC4802"/>
      <c r="AD4802"/>
    </row>
    <row r="4803" spans="1:30" ht="41.45" customHeight="1">
      <c r="A4803"/>
      <c r="AC4803"/>
      <c r="AD4803"/>
    </row>
    <row r="4804" spans="1:30" ht="41.45" customHeight="1">
      <c r="A4804"/>
      <c r="AC4804"/>
      <c r="AD4804"/>
    </row>
    <row r="4805" spans="1:30" ht="41.45" customHeight="1">
      <c r="A4805"/>
      <c r="AC4805"/>
      <c r="AD4805"/>
    </row>
    <row r="4806" spans="1:30" ht="41.45" customHeight="1">
      <c r="A4806"/>
      <c r="AC4806"/>
      <c r="AD4806"/>
    </row>
    <row r="4807" spans="1:30" ht="41.45" customHeight="1">
      <c r="A4807"/>
      <c r="AC4807"/>
      <c r="AD4807"/>
    </row>
    <row r="4808" spans="1:30" ht="41.45" customHeight="1">
      <c r="A4808"/>
      <c r="AC4808"/>
      <c r="AD4808"/>
    </row>
    <row r="4809" spans="1:30" ht="41.45" customHeight="1">
      <c r="A4809"/>
      <c r="AC4809"/>
      <c r="AD4809"/>
    </row>
    <row r="4810" spans="1:30" ht="41.45" customHeight="1">
      <c r="A4810"/>
      <c r="AC4810"/>
      <c r="AD4810"/>
    </row>
    <row r="4811" spans="1:30" ht="41.45" customHeight="1">
      <c r="A4811"/>
      <c r="AC4811"/>
      <c r="AD4811"/>
    </row>
    <row r="4812" spans="1:30" ht="41.45" customHeight="1">
      <c r="A4812"/>
      <c r="AC4812"/>
      <c r="AD4812"/>
    </row>
    <row r="4813" spans="1:30" ht="41.45" customHeight="1">
      <c r="A4813"/>
      <c r="AC4813"/>
      <c r="AD4813"/>
    </row>
    <row r="4814" spans="1:30" ht="41.45" customHeight="1">
      <c r="A4814"/>
      <c r="AC4814"/>
      <c r="AD4814"/>
    </row>
    <row r="4815" spans="1:30" ht="41.45" customHeight="1">
      <c r="A4815"/>
      <c r="AC4815"/>
      <c r="AD4815"/>
    </row>
    <row r="4816" spans="1:30" ht="41.45" customHeight="1">
      <c r="A4816"/>
      <c r="AC4816"/>
      <c r="AD4816"/>
    </row>
    <row r="4817" spans="1:30" ht="41.45" customHeight="1">
      <c r="A4817"/>
      <c r="AC4817"/>
      <c r="AD4817"/>
    </row>
    <row r="4818" spans="1:30" ht="41.45" customHeight="1">
      <c r="A4818"/>
      <c r="AC4818"/>
      <c r="AD4818"/>
    </row>
    <row r="4819" spans="1:30" ht="41.45" customHeight="1">
      <c r="A4819"/>
      <c r="AC4819"/>
      <c r="AD4819"/>
    </row>
    <row r="4820" spans="1:30" ht="41.45" customHeight="1">
      <c r="A4820"/>
      <c r="AC4820"/>
      <c r="AD4820"/>
    </row>
    <row r="4821" spans="1:30" ht="41.45" customHeight="1">
      <c r="A4821"/>
      <c r="AC4821"/>
      <c r="AD4821"/>
    </row>
    <row r="4822" spans="1:30" ht="41.45" customHeight="1">
      <c r="A4822"/>
      <c r="AC4822"/>
      <c r="AD4822"/>
    </row>
    <row r="4823" spans="1:30" ht="41.45" customHeight="1">
      <c r="A4823"/>
      <c r="AC4823"/>
      <c r="AD4823"/>
    </row>
    <row r="4824" spans="1:30" ht="41.45" customHeight="1">
      <c r="A4824"/>
      <c r="AC4824"/>
      <c r="AD4824"/>
    </row>
    <row r="4825" spans="1:30" ht="41.45" customHeight="1">
      <c r="A4825"/>
      <c r="AC4825"/>
      <c r="AD4825"/>
    </row>
    <row r="4826" spans="1:30" ht="41.45" customHeight="1">
      <c r="A4826"/>
      <c r="AC4826"/>
      <c r="AD4826"/>
    </row>
    <row r="4827" spans="1:30" ht="41.45" customHeight="1">
      <c r="A4827"/>
      <c r="AC4827"/>
      <c r="AD4827"/>
    </row>
    <row r="4828" spans="1:30" ht="41.45" customHeight="1">
      <c r="A4828"/>
      <c r="AC4828"/>
      <c r="AD4828"/>
    </row>
    <row r="4829" spans="1:30" ht="41.45" customHeight="1">
      <c r="A4829"/>
      <c r="AC4829"/>
      <c r="AD4829"/>
    </row>
    <row r="4830" spans="1:30" ht="41.45" customHeight="1">
      <c r="A4830"/>
      <c r="AC4830"/>
      <c r="AD4830"/>
    </row>
    <row r="4831" spans="1:30" ht="41.45" customHeight="1">
      <c r="A4831"/>
      <c r="AC4831"/>
      <c r="AD4831"/>
    </row>
    <row r="4832" spans="1:30" ht="41.45" customHeight="1">
      <c r="A4832"/>
      <c r="AC4832"/>
      <c r="AD4832"/>
    </row>
    <row r="4833" spans="1:30" ht="41.45" customHeight="1">
      <c r="A4833"/>
      <c r="AC4833"/>
      <c r="AD4833"/>
    </row>
    <row r="4834" spans="1:30" ht="41.45" customHeight="1">
      <c r="A4834"/>
      <c r="AC4834"/>
      <c r="AD4834"/>
    </row>
    <row r="4835" spans="1:30" ht="41.45" customHeight="1">
      <c r="A4835"/>
      <c r="AC4835"/>
      <c r="AD4835"/>
    </row>
    <row r="4836" spans="1:30" ht="41.45" customHeight="1">
      <c r="A4836"/>
      <c r="AC4836"/>
      <c r="AD4836"/>
    </row>
    <row r="4837" spans="1:30" ht="41.45" customHeight="1">
      <c r="A4837"/>
      <c r="AC4837"/>
      <c r="AD4837"/>
    </row>
    <row r="4838" spans="1:30" ht="41.45" customHeight="1">
      <c r="A4838"/>
      <c r="AC4838"/>
      <c r="AD4838"/>
    </row>
    <row r="4839" spans="1:30" ht="41.45" customHeight="1">
      <c r="A4839"/>
      <c r="AC4839"/>
      <c r="AD4839"/>
    </row>
    <row r="4840" spans="1:30" ht="41.45" customHeight="1">
      <c r="A4840"/>
      <c r="AC4840"/>
      <c r="AD4840"/>
    </row>
    <row r="4841" spans="1:30" ht="41.45" customHeight="1">
      <c r="A4841"/>
      <c r="AC4841"/>
      <c r="AD4841"/>
    </row>
    <row r="4842" spans="1:30" ht="41.45" customHeight="1">
      <c r="A4842"/>
      <c r="AC4842"/>
      <c r="AD4842"/>
    </row>
    <row r="4843" spans="1:30" ht="41.45" customHeight="1">
      <c r="A4843"/>
      <c r="AC4843"/>
      <c r="AD4843"/>
    </row>
    <row r="4844" spans="1:30" ht="41.45" customHeight="1">
      <c r="A4844"/>
      <c r="AC4844"/>
      <c r="AD4844"/>
    </row>
    <row r="4845" spans="1:30" ht="41.45" customHeight="1">
      <c r="A4845"/>
      <c r="AC4845"/>
      <c r="AD4845"/>
    </row>
    <row r="4846" spans="1:30" ht="41.45" customHeight="1">
      <c r="A4846"/>
      <c r="AC4846"/>
      <c r="AD4846"/>
    </row>
    <row r="4847" spans="1:30" ht="41.45" customHeight="1">
      <c r="A4847"/>
      <c r="AC4847"/>
      <c r="AD4847"/>
    </row>
    <row r="4848" spans="1:30" ht="41.45" customHeight="1">
      <c r="A4848"/>
      <c r="AC4848"/>
      <c r="AD4848"/>
    </row>
    <row r="4849" spans="1:30" ht="41.45" customHeight="1">
      <c r="A4849"/>
      <c r="AC4849"/>
      <c r="AD4849"/>
    </row>
    <row r="4850" spans="1:30" ht="41.45" customHeight="1">
      <c r="A4850"/>
      <c r="AC4850"/>
      <c r="AD4850"/>
    </row>
    <row r="4851" spans="1:30" ht="41.45" customHeight="1">
      <c r="A4851"/>
      <c r="AC4851"/>
      <c r="AD4851"/>
    </row>
    <row r="4852" spans="1:30" ht="41.45" customHeight="1">
      <c r="A4852"/>
      <c r="AC4852"/>
      <c r="AD4852"/>
    </row>
    <row r="4853" spans="1:30" ht="41.45" customHeight="1">
      <c r="A4853"/>
      <c r="AC4853"/>
      <c r="AD4853"/>
    </row>
    <row r="4854" spans="1:30" ht="41.45" customHeight="1">
      <c r="A4854"/>
      <c r="AC4854"/>
      <c r="AD4854"/>
    </row>
    <row r="4855" spans="1:30" ht="41.45" customHeight="1">
      <c r="A4855"/>
      <c r="AC4855"/>
      <c r="AD4855"/>
    </row>
    <row r="4856" spans="1:30" ht="41.45" customHeight="1">
      <c r="A4856"/>
      <c r="AC4856"/>
      <c r="AD4856"/>
    </row>
    <row r="4857" spans="1:30" ht="41.45" customHeight="1">
      <c r="A4857"/>
      <c r="AC4857"/>
      <c r="AD4857"/>
    </row>
    <row r="4858" spans="1:30" ht="41.45" customHeight="1">
      <c r="A4858"/>
      <c r="AC4858"/>
      <c r="AD4858"/>
    </row>
    <row r="4859" spans="1:30" ht="41.45" customHeight="1">
      <c r="A4859"/>
      <c r="AC4859"/>
      <c r="AD4859"/>
    </row>
    <row r="4860" spans="1:30" ht="41.45" customHeight="1">
      <c r="A4860"/>
      <c r="AC4860"/>
      <c r="AD4860"/>
    </row>
    <row r="4861" spans="1:30" ht="41.45" customHeight="1">
      <c r="A4861"/>
      <c r="AC4861"/>
      <c r="AD4861"/>
    </row>
    <row r="4862" spans="1:30" ht="41.45" customHeight="1">
      <c r="A4862"/>
      <c r="AC4862"/>
      <c r="AD4862"/>
    </row>
    <row r="4863" spans="1:30" ht="41.45" customHeight="1">
      <c r="A4863"/>
      <c r="AC4863"/>
      <c r="AD4863"/>
    </row>
    <row r="4864" spans="1:30" ht="41.45" customHeight="1">
      <c r="A4864"/>
      <c r="AC4864"/>
      <c r="AD4864"/>
    </row>
    <row r="4865" spans="1:30" ht="41.45" customHeight="1">
      <c r="A4865"/>
      <c r="AC4865"/>
      <c r="AD4865"/>
    </row>
    <row r="4866" spans="1:30" ht="41.45" customHeight="1">
      <c r="A4866"/>
      <c r="AC4866"/>
      <c r="AD4866"/>
    </row>
    <row r="4867" spans="1:30" ht="41.45" customHeight="1">
      <c r="A4867"/>
      <c r="AC4867"/>
      <c r="AD4867"/>
    </row>
    <row r="4868" spans="1:30" ht="41.45" customHeight="1">
      <c r="A4868"/>
      <c r="AC4868"/>
      <c r="AD4868"/>
    </row>
    <row r="4869" spans="1:30" ht="41.45" customHeight="1">
      <c r="A4869"/>
      <c r="AC4869"/>
      <c r="AD4869"/>
    </row>
    <row r="4870" spans="1:30" ht="41.45" customHeight="1">
      <c r="A4870"/>
      <c r="AC4870"/>
      <c r="AD4870"/>
    </row>
    <row r="4871" spans="1:30" ht="41.45" customHeight="1">
      <c r="A4871"/>
      <c r="AC4871"/>
      <c r="AD4871"/>
    </row>
    <row r="4872" spans="1:30" ht="41.45" customHeight="1">
      <c r="A4872"/>
      <c r="AC4872"/>
      <c r="AD4872"/>
    </row>
    <row r="4873" spans="1:30" ht="41.45" customHeight="1">
      <c r="A4873"/>
      <c r="AC4873"/>
      <c r="AD4873"/>
    </row>
    <row r="4874" spans="1:30" ht="41.45" customHeight="1">
      <c r="A4874"/>
      <c r="AC4874"/>
      <c r="AD4874"/>
    </row>
    <row r="4875" spans="1:30" ht="41.45" customHeight="1">
      <c r="A4875"/>
      <c r="AC4875"/>
      <c r="AD4875"/>
    </row>
    <row r="4876" spans="1:30" ht="41.45" customHeight="1">
      <c r="A4876"/>
      <c r="AC4876"/>
      <c r="AD4876"/>
    </row>
    <row r="4877" spans="1:30" ht="41.45" customHeight="1">
      <c r="A4877"/>
      <c r="AC4877"/>
      <c r="AD4877"/>
    </row>
    <row r="4878" spans="1:30" ht="41.45" customHeight="1">
      <c r="A4878"/>
      <c r="AC4878"/>
      <c r="AD4878"/>
    </row>
    <row r="4879" spans="1:30" ht="41.45" customHeight="1">
      <c r="A4879"/>
      <c r="AC4879"/>
      <c r="AD4879"/>
    </row>
    <row r="4880" spans="1:30" ht="41.45" customHeight="1">
      <c r="A4880"/>
      <c r="AC4880"/>
      <c r="AD4880"/>
    </row>
    <row r="4881" spans="1:30" ht="41.45" customHeight="1">
      <c r="A4881"/>
      <c r="AC4881"/>
      <c r="AD4881"/>
    </row>
    <row r="4882" spans="1:30" ht="41.45" customHeight="1">
      <c r="A4882"/>
      <c r="AC4882"/>
      <c r="AD4882"/>
    </row>
    <row r="4883" spans="1:30" ht="41.45" customHeight="1">
      <c r="A4883"/>
      <c r="AC4883"/>
      <c r="AD4883"/>
    </row>
    <row r="4884" spans="1:30" ht="41.45" customHeight="1">
      <c r="A4884"/>
      <c r="AC4884"/>
      <c r="AD4884"/>
    </row>
    <row r="4885" spans="1:30" ht="41.45" customHeight="1">
      <c r="A4885"/>
      <c r="AC4885"/>
      <c r="AD4885"/>
    </row>
    <row r="4886" spans="1:30" ht="41.45" customHeight="1">
      <c r="A4886"/>
      <c r="AC4886"/>
      <c r="AD4886"/>
    </row>
    <row r="4887" spans="1:30" ht="41.45" customHeight="1">
      <c r="A4887"/>
      <c r="AC4887"/>
      <c r="AD4887"/>
    </row>
    <row r="4888" spans="1:30" ht="41.45" customHeight="1">
      <c r="A4888"/>
      <c r="AC4888"/>
      <c r="AD4888"/>
    </row>
    <row r="4889" spans="1:30" ht="41.45" customHeight="1">
      <c r="A4889"/>
      <c r="AC4889"/>
      <c r="AD4889"/>
    </row>
    <row r="4890" spans="1:30" ht="41.45" customHeight="1">
      <c r="A4890"/>
      <c r="AC4890"/>
      <c r="AD4890"/>
    </row>
    <row r="4891" spans="1:30" ht="41.45" customHeight="1">
      <c r="A4891"/>
      <c r="AC4891"/>
      <c r="AD4891"/>
    </row>
    <row r="4892" spans="1:30" ht="41.45" customHeight="1">
      <c r="A4892"/>
      <c r="AC4892"/>
      <c r="AD4892"/>
    </row>
    <row r="4893" spans="1:30" ht="41.45" customHeight="1">
      <c r="A4893"/>
      <c r="AC4893"/>
      <c r="AD4893"/>
    </row>
    <row r="4894" spans="1:30" ht="41.45" customHeight="1">
      <c r="A4894"/>
      <c r="AC4894"/>
      <c r="AD4894"/>
    </row>
    <row r="4895" spans="1:30" ht="41.45" customHeight="1">
      <c r="A4895"/>
      <c r="AC4895"/>
      <c r="AD4895"/>
    </row>
    <row r="4896" spans="1:30" ht="41.45" customHeight="1">
      <c r="A4896"/>
      <c r="AC4896"/>
      <c r="AD4896"/>
    </row>
    <row r="4897" spans="1:30" ht="41.45" customHeight="1">
      <c r="A4897"/>
      <c r="AC4897"/>
      <c r="AD4897"/>
    </row>
    <row r="4898" spans="1:30" ht="41.45" customHeight="1">
      <c r="A4898"/>
      <c r="AC4898"/>
      <c r="AD4898"/>
    </row>
    <row r="4899" spans="1:30" ht="41.45" customHeight="1">
      <c r="A4899"/>
      <c r="AC4899"/>
      <c r="AD4899"/>
    </row>
    <row r="4900" spans="1:30" ht="41.45" customHeight="1">
      <c r="A4900"/>
      <c r="AC4900"/>
      <c r="AD4900"/>
    </row>
    <row r="4901" spans="1:30" ht="41.45" customHeight="1">
      <c r="A4901"/>
      <c r="AC4901"/>
      <c r="AD4901"/>
    </row>
    <row r="4902" spans="1:30" ht="41.45" customHeight="1">
      <c r="A4902"/>
      <c r="AC4902"/>
      <c r="AD4902"/>
    </row>
    <row r="4903" spans="1:30" ht="41.45" customHeight="1">
      <c r="A4903"/>
      <c r="AC4903"/>
      <c r="AD4903"/>
    </row>
    <row r="4904" spans="1:30" ht="41.45" customHeight="1">
      <c r="A4904"/>
      <c r="AC4904"/>
      <c r="AD4904"/>
    </row>
    <row r="4905" spans="1:30" ht="41.45" customHeight="1">
      <c r="A4905"/>
      <c r="AC4905"/>
      <c r="AD4905"/>
    </row>
    <row r="4906" spans="1:30" ht="41.45" customHeight="1">
      <c r="A4906"/>
      <c r="AC4906"/>
      <c r="AD4906"/>
    </row>
    <row r="4907" spans="1:30" ht="41.45" customHeight="1">
      <c r="A4907"/>
      <c r="AC4907"/>
      <c r="AD4907"/>
    </row>
    <row r="4908" spans="1:30" ht="41.45" customHeight="1">
      <c r="A4908"/>
      <c r="AC4908"/>
      <c r="AD4908"/>
    </row>
    <row r="4909" spans="1:30" ht="41.45" customHeight="1">
      <c r="A4909"/>
      <c r="AC4909"/>
      <c r="AD4909"/>
    </row>
    <row r="4910" spans="1:30" ht="41.45" customHeight="1">
      <c r="A4910"/>
      <c r="AC4910"/>
      <c r="AD4910"/>
    </row>
    <row r="4911" spans="1:30" ht="41.45" customHeight="1">
      <c r="A4911"/>
      <c r="AC4911"/>
      <c r="AD4911"/>
    </row>
    <row r="4912" spans="1:30" ht="41.45" customHeight="1">
      <c r="A4912"/>
      <c r="AC4912"/>
      <c r="AD4912"/>
    </row>
    <row r="4913" spans="1:30" ht="41.45" customHeight="1">
      <c r="A4913"/>
      <c r="AC4913"/>
      <c r="AD4913"/>
    </row>
    <row r="4914" spans="1:30" ht="41.45" customHeight="1">
      <c r="A4914"/>
      <c r="AC4914"/>
      <c r="AD4914"/>
    </row>
    <row r="4915" spans="1:30" ht="41.45" customHeight="1">
      <c r="A4915"/>
      <c r="AC4915"/>
      <c r="AD4915"/>
    </row>
    <row r="4916" spans="1:30" ht="41.45" customHeight="1">
      <c r="A4916"/>
      <c r="AC4916"/>
      <c r="AD4916"/>
    </row>
    <row r="4917" spans="1:30" ht="41.45" customHeight="1">
      <c r="A4917"/>
      <c r="AC4917"/>
      <c r="AD4917"/>
    </row>
    <row r="4918" spans="1:30" ht="41.45" customHeight="1">
      <c r="A4918"/>
      <c r="AC4918"/>
      <c r="AD4918"/>
    </row>
    <row r="4919" spans="1:30" ht="41.45" customHeight="1">
      <c r="A4919"/>
      <c r="AC4919"/>
      <c r="AD4919"/>
    </row>
    <row r="4920" spans="1:30" ht="41.45" customHeight="1">
      <c r="A4920"/>
      <c r="AC4920"/>
      <c r="AD4920"/>
    </row>
    <row r="4921" spans="1:30" ht="41.45" customHeight="1">
      <c r="A4921"/>
      <c r="AC4921"/>
      <c r="AD4921"/>
    </row>
    <row r="4922" spans="1:30" ht="41.45" customHeight="1">
      <c r="A4922"/>
      <c r="AC4922"/>
      <c r="AD4922"/>
    </row>
    <row r="4923" spans="1:30" ht="41.45" customHeight="1">
      <c r="A4923"/>
      <c r="AC4923"/>
      <c r="AD4923"/>
    </row>
    <row r="4924" spans="1:30" ht="41.45" customHeight="1">
      <c r="A4924"/>
      <c r="AC4924"/>
      <c r="AD4924"/>
    </row>
    <row r="4925" spans="1:30" ht="41.45" customHeight="1">
      <c r="A4925"/>
      <c r="AC4925"/>
      <c r="AD4925"/>
    </row>
    <row r="4926" spans="1:30" ht="41.45" customHeight="1">
      <c r="A4926"/>
      <c r="AC4926"/>
      <c r="AD4926"/>
    </row>
    <row r="4927" spans="1:30" ht="41.45" customHeight="1">
      <c r="A4927"/>
      <c r="AC4927"/>
      <c r="AD4927"/>
    </row>
    <row r="4928" spans="1:30" ht="41.45" customHeight="1">
      <c r="A4928"/>
      <c r="AC4928"/>
      <c r="AD4928"/>
    </row>
    <row r="4929" spans="1:30" ht="41.45" customHeight="1">
      <c r="A4929"/>
      <c r="AC4929"/>
      <c r="AD4929"/>
    </row>
    <row r="4930" spans="1:30" ht="41.45" customHeight="1">
      <c r="A4930"/>
      <c r="AC4930"/>
      <c r="AD4930"/>
    </row>
    <row r="4931" spans="1:30" ht="41.45" customHeight="1">
      <c r="A4931"/>
      <c r="AC4931"/>
      <c r="AD4931"/>
    </row>
    <row r="4932" spans="1:30" ht="41.45" customHeight="1">
      <c r="A4932"/>
      <c r="AC4932"/>
      <c r="AD4932"/>
    </row>
    <row r="4933" spans="1:30" ht="41.45" customHeight="1">
      <c r="A4933"/>
      <c r="AC4933"/>
      <c r="AD4933"/>
    </row>
    <row r="4934" spans="1:30" ht="41.45" customHeight="1">
      <c r="A4934"/>
      <c r="AC4934"/>
      <c r="AD4934"/>
    </row>
    <row r="4935" spans="1:30" ht="41.45" customHeight="1">
      <c r="A4935"/>
      <c r="AC4935"/>
      <c r="AD4935"/>
    </row>
    <row r="4936" spans="1:30" ht="41.45" customHeight="1">
      <c r="A4936"/>
      <c r="AC4936"/>
      <c r="AD4936"/>
    </row>
    <row r="4937" spans="1:30" ht="41.45" customHeight="1">
      <c r="A4937"/>
      <c r="AC4937"/>
      <c r="AD4937"/>
    </row>
    <row r="4938" spans="1:30" ht="41.45" customHeight="1">
      <c r="A4938"/>
      <c r="AC4938"/>
      <c r="AD4938"/>
    </row>
    <row r="4939" spans="1:30" ht="41.45" customHeight="1">
      <c r="A4939"/>
      <c r="AC4939"/>
      <c r="AD4939"/>
    </row>
    <row r="4940" spans="1:30" ht="41.45" customHeight="1">
      <c r="A4940"/>
      <c r="AC4940"/>
      <c r="AD4940"/>
    </row>
    <row r="4941" spans="1:30" ht="41.45" customHeight="1">
      <c r="A4941"/>
      <c r="AC4941"/>
      <c r="AD4941"/>
    </row>
    <row r="4942" spans="1:30" ht="41.45" customHeight="1">
      <c r="A4942"/>
      <c r="AC4942"/>
      <c r="AD4942"/>
    </row>
    <row r="4943" spans="1:30" ht="41.45" customHeight="1">
      <c r="A4943"/>
      <c r="AC4943"/>
      <c r="AD4943"/>
    </row>
    <row r="4944" spans="1:30" ht="41.45" customHeight="1">
      <c r="A4944"/>
      <c r="AC4944"/>
      <c r="AD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7"/>
    <dataValidation allowBlank="1" errorTitle="Invalid Vertex Visibility" error="You have entered an unrecognized vertex visibility.  Try selecting from the drop-down list instead." sqref="DW3"/>
    <dataValidation allowBlank="1" showErrorMessage="1" sqref="D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7"/>
    <dataValidation allowBlank="1" showInputMessage="1" promptTitle="Vertex Tooltip" prompt="Enter optional text that will pop up when the mouse is hovered over the vertex." errorTitle="Invalid Vertex Image Key" sqref="L3:L6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7"/>
    <dataValidation allowBlank="1" showInputMessage="1" promptTitle="Vertex Label Fill Color" prompt="To select an optional fill color for the Label shape, right-click and select Select Color on the right-click menu." sqref="J3:J67"/>
    <dataValidation allowBlank="1" showInputMessage="1" promptTitle="Vertex Image File" prompt="Enter the path to an image file.  Hover over the column header for examples." errorTitle="Invalid Vertex Image Key" sqref="G3:G67"/>
    <dataValidation allowBlank="1" showInputMessage="1" promptTitle="Vertex Color" prompt="To select an optional vertex color, right-click and select Select Color on the right-click menu." sqref="C3:C67"/>
    <dataValidation allowBlank="1" showInputMessage="1" promptTitle="Vertex Opacity" prompt="Enter an optional vertex opacity between 0 (transparent) and 100 (opaque)." errorTitle="Invalid Vertex Opacity" error="The optional vertex opacity must be a whole number between 0 and 10." sqref="F3:F67"/>
    <dataValidation type="list" allowBlank="1" showInputMessage="1" showErrorMessage="1" promptTitle="Vertex Shape" prompt="Select an optional vertex shape." errorTitle="Invalid Vertex Shape" error="You have entered an invalid vertex shape.  Try selecting from the drop-down list instead." sqref="D3:D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1197</v>
      </c>
    </row>
    <row r="2" ht="15" customHeight="1"/>
    <row r="3" ht="15" customHeight="1">
      <c r="A3" s="27" t="s">
        <v>1198</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271"/>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 min="42" max="42" width="19.140625" style="0" bestFit="1" customWidth="1"/>
    <col min="43" max="43" width="23.8515625" style="0" bestFit="1" customWidth="1"/>
    <col min="44" max="44" width="19.140625" style="0" bestFit="1" customWidth="1"/>
    <col min="45" max="45" width="23.8515625" style="0" bestFit="1" customWidth="1"/>
    <col min="46" max="46" width="19.140625" style="0" bestFit="1" customWidth="1"/>
    <col min="47" max="47" width="23.8515625" style="0" bestFit="1" customWidth="1"/>
  </cols>
  <sheetData>
    <row r="1" spans="2:24" ht="15">
      <c r="B1" s="40" t="s">
        <v>0</v>
      </c>
      <c r="C1" s="41"/>
      <c r="D1" s="41"/>
      <c r="E1" s="42"/>
      <c r="F1" s="38" t="s">
        <v>1</v>
      </c>
      <c r="G1" s="43" t="s">
        <v>682</v>
      </c>
      <c r="H1" s="44"/>
      <c r="I1" s="45" t="s">
        <v>3</v>
      </c>
      <c r="J1" s="46"/>
      <c r="K1" s="47" t="s">
        <v>2</v>
      </c>
      <c r="L1" s="48"/>
      <c r="M1" s="48"/>
      <c r="N1" s="48"/>
      <c r="O1" s="48"/>
      <c r="P1" s="48"/>
      <c r="Q1" s="48"/>
      <c r="R1" s="48"/>
      <c r="S1" s="48"/>
      <c r="T1" s="48"/>
      <c r="U1" s="48"/>
      <c r="V1" s="48"/>
      <c r="W1" s="48"/>
      <c r="X1" s="48"/>
    </row>
    <row r="2" spans="1:47" s="7" customFormat="1" ht="30" customHeight="1">
      <c r="A2" s="10" t="s">
        <v>1199</v>
      </c>
      <c r="B2" s="7" t="s">
        <v>1200</v>
      </c>
      <c r="C2" s="7" t="s">
        <v>1201</v>
      </c>
      <c r="D2" s="7" t="s">
        <v>11</v>
      </c>
      <c r="E2" s="7" t="s">
        <v>1202</v>
      </c>
      <c r="F2" s="7" t="s">
        <v>12</v>
      </c>
      <c r="G2" s="7" t="s">
        <v>1203</v>
      </c>
      <c r="H2" s="7" t="s">
        <v>1204</v>
      </c>
      <c r="I2" s="7" t="s">
        <v>16</v>
      </c>
      <c r="J2" s="7" t="s">
        <v>1205</v>
      </c>
      <c r="K2" s="7" t="s">
        <v>1206</v>
      </c>
      <c r="L2" s="7" t="s">
        <v>1207</v>
      </c>
      <c r="M2" s="7" t="s">
        <v>1208</v>
      </c>
      <c r="N2" s="7" t="s">
        <v>1209</v>
      </c>
      <c r="O2" s="7" t="s">
        <v>1210</v>
      </c>
      <c r="P2" s="7" t="s">
        <v>705</v>
      </c>
      <c r="Q2" s="7" t="s">
        <v>1211</v>
      </c>
      <c r="R2" s="7" t="s">
        <v>1212</v>
      </c>
      <c r="S2" s="7" t="s">
        <v>1213</v>
      </c>
      <c r="T2" s="7" t="s">
        <v>1214</v>
      </c>
      <c r="U2" s="7" t="s">
        <v>1215</v>
      </c>
      <c r="V2" s="7" t="s">
        <v>1216</v>
      </c>
      <c r="W2" s="7" t="s">
        <v>1217</v>
      </c>
      <c r="X2" s="7" t="s">
        <v>1218</v>
      </c>
      <c r="Y2" s="7" t="s">
        <v>1219</v>
      </c>
      <c r="Z2" s="7" t="s">
        <v>1220</v>
      </c>
      <c r="AA2" s="7" t="s">
        <v>1221</v>
      </c>
      <c r="AB2" s="7" t="s">
        <v>1222</v>
      </c>
      <c r="AC2" s="7" t="s">
        <v>1223</v>
      </c>
      <c r="AD2" s="7" t="s">
        <v>1224</v>
      </c>
      <c r="AE2" s="7" t="s">
        <v>1225</v>
      </c>
      <c r="AF2" s="7" t="s">
        <v>1226</v>
      </c>
      <c r="AG2" s="39" t="s">
        <v>32</v>
      </c>
      <c r="AH2" s="39" t="s">
        <v>33</v>
      </c>
      <c r="AI2" s="39" t="s">
        <v>34</v>
      </c>
      <c r="AJ2" s="39" t="s">
        <v>35</v>
      </c>
      <c r="AK2" s="39" t="s">
        <v>36</v>
      </c>
      <c r="AL2" s="39" t="s">
        <v>37</v>
      </c>
      <c r="AM2" s="39" t="s">
        <v>38</v>
      </c>
      <c r="AN2" s="39" t="s">
        <v>39</v>
      </c>
      <c r="AO2" s="39" t="s">
        <v>1227</v>
      </c>
      <c r="AP2" s="39" t="s">
        <v>71</v>
      </c>
      <c r="AQ2" s="39" t="s">
        <v>72</v>
      </c>
      <c r="AR2" s="39" t="s">
        <v>73</v>
      </c>
      <c r="AS2" s="39" t="s">
        <v>74</v>
      </c>
      <c r="AT2" s="39" t="s">
        <v>75</v>
      </c>
      <c r="AU2" s="39" t="s">
        <v>76</v>
      </c>
    </row>
    <row r="3" spans="1:47" ht="15">
      <c r="A3" s="59" t="s">
        <v>1228</v>
      </c>
      <c r="B3" s="60" t="s">
        <v>1229</v>
      </c>
      <c r="C3" s="60" t="s">
        <v>1230</v>
      </c>
      <c r="D3" s="102"/>
      <c r="E3" s="55"/>
      <c r="F3" s="56" t="s">
        <v>2251</v>
      </c>
      <c r="G3" s="57"/>
      <c r="H3" s="57"/>
      <c r="I3" s="103">
        <v>3</v>
      </c>
      <c r="J3" s="58"/>
      <c r="K3" s="35">
        <v>13</v>
      </c>
      <c r="L3" s="35">
        <v>9</v>
      </c>
      <c r="M3" s="35">
        <v>42</v>
      </c>
      <c r="N3" s="35">
        <v>51</v>
      </c>
      <c r="O3" s="35">
        <v>10</v>
      </c>
      <c r="P3" s="36">
        <v>0.08333333333333333</v>
      </c>
      <c r="Q3" s="36">
        <v>0.15384615384615385</v>
      </c>
      <c r="R3" s="35">
        <v>1</v>
      </c>
      <c r="S3" s="35">
        <v>0</v>
      </c>
      <c r="T3" s="35">
        <v>13</v>
      </c>
      <c r="U3" s="35">
        <v>51</v>
      </c>
      <c r="V3" s="35">
        <v>3</v>
      </c>
      <c r="W3" s="36">
        <v>1.822485</v>
      </c>
      <c r="X3" s="36">
        <v>0.08333333333333333</v>
      </c>
      <c r="Y3" s="125" t="s">
        <v>1231</v>
      </c>
      <c r="Z3" s="125" t="s">
        <v>1232</v>
      </c>
      <c r="AA3" s="125" t="s">
        <v>1233</v>
      </c>
      <c r="AB3" s="126" t="s">
        <v>2218</v>
      </c>
      <c r="AC3" s="126" t="s">
        <v>2234</v>
      </c>
      <c r="AD3" s="126" t="s">
        <v>1234</v>
      </c>
      <c r="AE3" s="126" t="s">
        <v>1235</v>
      </c>
      <c r="AF3" s="126" t="s">
        <v>1236</v>
      </c>
      <c r="AG3" s="65"/>
      <c r="AH3" s="75"/>
      <c r="AI3" s="65"/>
      <c r="AJ3" s="75"/>
      <c r="AK3" s="65"/>
      <c r="AL3" s="75"/>
      <c r="AM3" s="65">
        <v>328</v>
      </c>
      <c r="AN3" s="75">
        <v>92.65536723163842</v>
      </c>
      <c r="AO3" s="65">
        <v>354</v>
      </c>
      <c r="AP3" s="65">
        <v>0</v>
      </c>
      <c r="AQ3" s="75">
        <v>0</v>
      </c>
      <c r="AR3" s="65">
        <v>0</v>
      </c>
      <c r="AS3" s="75">
        <v>0</v>
      </c>
      <c r="AT3" s="65">
        <v>0</v>
      </c>
      <c r="AU3" s="75">
        <v>0</v>
      </c>
    </row>
    <row r="4" spans="1:47" ht="15">
      <c r="A4" s="86" t="s">
        <v>1237</v>
      </c>
      <c r="B4" s="60" t="s">
        <v>1238</v>
      </c>
      <c r="C4" s="60" t="s">
        <v>1230</v>
      </c>
      <c r="D4" s="120"/>
      <c r="E4" s="95"/>
      <c r="F4" s="11" t="s">
        <v>2252</v>
      </c>
      <c r="G4" s="96"/>
      <c r="H4" s="96"/>
      <c r="I4" s="104">
        <v>4</v>
      </c>
      <c r="J4" s="121"/>
      <c r="K4" s="35">
        <v>8</v>
      </c>
      <c r="L4" s="35">
        <v>5</v>
      </c>
      <c r="M4" s="35">
        <v>17</v>
      </c>
      <c r="N4" s="35">
        <v>22</v>
      </c>
      <c r="O4" s="35">
        <v>3</v>
      </c>
      <c r="P4" s="36">
        <v>0</v>
      </c>
      <c r="Q4" s="36">
        <v>0</v>
      </c>
      <c r="R4" s="35">
        <v>1</v>
      </c>
      <c r="S4" s="35">
        <v>0</v>
      </c>
      <c r="T4" s="35">
        <v>8</v>
      </c>
      <c r="U4" s="35">
        <v>22</v>
      </c>
      <c r="V4" s="35">
        <v>3</v>
      </c>
      <c r="W4" s="36">
        <v>1.6875</v>
      </c>
      <c r="X4" s="36">
        <v>0.125</v>
      </c>
      <c r="Y4" s="125" t="s">
        <v>1239</v>
      </c>
      <c r="Z4" s="125" t="s">
        <v>1240</v>
      </c>
      <c r="AA4" s="125" t="s">
        <v>1241</v>
      </c>
      <c r="AB4" s="126" t="s">
        <v>2219</v>
      </c>
      <c r="AC4" s="126" t="s">
        <v>2235</v>
      </c>
      <c r="AD4" s="125" t="s">
        <v>616</v>
      </c>
      <c r="AE4" s="125" t="s">
        <v>1242</v>
      </c>
      <c r="AF4" s="125" t="s">
        <v>1243</v>
      </c>
      <c r="AG4" s="97"/>
      <c r="AH4" s="123"/>
      <c r="AI4" s="122"/>
      <c r="AJ4" s="123"/>
      <c r="AK4" s="122"/>
      <c r="AL4" s="123"/>
      <c r="AM4" s="35">
        <v>318</v>
      </c>
      <c r="AN4" s="36">
        <v>64.63414634146342</v>
      </c>
      <c r="AO4" s="35">
        <v>492</v>
      </c>
      <c r="AP4" s="35">
        <v>0</v>
      </c>
      <c r="AQ4" s="36">
        <v>0</v>
      </c>
      <c r="AR4" s="35">
        <v>0</v>
      </c>
      <c r="AS4" s="36">
        <v>0</v>
      </c>
      <c r="AT4" s="35">
        <v>0</v>
      </c>
      <c r="AU4" s="36">
        <v>0</v>
      </c>
    </row>
    <row r="5" spans="1:47" ht="15">
      <c r="A5" s="86" t="s">
        <v>1244</v>
      </c>
      <c r="B5" s="60" t="s">
        <v>1245</v>
      </c>
      <c r="C5" s="60" t="s">
        <v>1230</v>
      </c>
      <c r="D5" s="120"/>
      <c r="E5" s="95"/>
      <c r="F5" s="11" t="s">
        <v>1246</v>
      </c>
      <c r="G5" s="96"/>
      <c r="H5" s="96"/>
      <c r="I5" s="104">
        <v>5</v>
      </c>
      <c r="J5" s="121"/>
      <c r="K5" s="35">
        <v>7</v>
      </c>
      <c r="L5" s="35">
        <v>10</v>
      </c>
      <c r="M5" s="35">
        <v>2</v>
      </c>
      <c r="N5" s="35">
        <v>12</v>
      </c>
      <c r="O5" s="35">
        <v>5</v>
      </c>
      <c r="P5" s="36">
        <v>0</v>
      </c>
      <c r="Q5" s="36">
        <v>0</v>
      </c>
      <c r="R5" s="35">
        <v>1</v>
      </c>
      <c r="S5" s="35">
        <v>0</v>
      </c>
      <c r="T5" s="35">
        <v>7</v>
      </c>
      <c r="U5" s="35">
        <v>12</v>
      </c>
      <c r="V5" s="35">
        <v>4</v>
      </c>
      <c r="W5" s="36">
        <v>1.795918</v>
      </c>
      <c r="X5" s="36">
        <v>0.14285714285714285</v>
      </c>
      <c r="Y5" s="125"/>
      <c r="Z5" s="125"/>
      <c r="AA5" s="125"/>
      <c r="AB5" s="126" t="s">
        <v>1247</v>
      </c>
      <c r="AC5" s="126" t="s">
        <v>1248</v>
      </c>
      <c r="AD5" s="125"/>
      <c r="AE5" s="125" t="s">
        <v>1249</v>
      </c>
      <c r="AF5" s="125" t="s">
        <v>1250</v>
      </c>
      <c r="AG5" s="97"/>
      <c r="AH5" s="123"/>
      <c r="AI5" s="122"/>
      <c r="AJ5" s="123"/>
      <c r="AK5" s="122"/>
      <c r="AL5" s="123"/>
      <c r="AM5" s="35">
        <v>88</v>
      </c>
      <c r="AN5" s="36">
        <v>67.6923076923077</v>
      </c>
      <c r="AO5" s="35">
        <v>130</v>
      </c>
      <c r="AP5" s="35">
        <v>0</v>
      </c>
      <c r="AQ5" s="36">
        <v>0</v>
      </c>
      <c r="AR5" s="35">
        <v>0</v>
      </c>
      <c r="AS5" s="36">
        <v>0</v>
      </c>
      <c r="AT5" s="35">
        <v>0</v>
      </c>
      <c r="AU5" s="36">
        <v>0</v>
      </c>
    </row>
    <row r="6" spans="1:47" ht="15">
      <c r="A6" s="86" t="s">
        <v>1251</v>
      </c>
      <c r="B6" s="60" t="s">
        <v>1252</v>
      </c>
      <c r="C6" s="60" t="s">
        <v>1230</v>
      </c>
      <c r="D6" s="120"/>
      <c r="E6" s="95"/>
      <c r="F6" s="11" t="s">
        <v>1253</v>
      </c>
      <c r="G6" s="96"/>
      <c r="H6" s="96"/>
      <c r="I6" s="104">
        <v>6</v>
      </c>
      <c r="J6" s="121"/>
      <c r="K6" s="35">
        <v>6</v>
      </c>
      <c r="L6" s="35">
        <v>6</v>
      </c>
      <c r="M6" s="35">
        <v>5</v>
      </c>
      <c r="N6" s="35">
        <v>11</v>
      </c>
      <c r="O6" s="35">
        <v>3</v>
      </c>
      <c r="P6" s="36">
        <v>0</v>
      </c>
      <c r="Q6" s="36">
        <v>0</v>
      </c>
      <c r="R6" s="35">
        <v>1</v>
      </c>
      <c r="S6" s="35">
        <v>0</v>
      </c>
      <c r="T6" s="35">
        <v>6</v>
      </c>
      <c r="U6" s="35">
        <v>11</v>
      </c>
      <c r="V6" s="35">
        <v>2</v>
      </c>
      <c r="W6" s="36">
        <v>1.388889</v>
      </c>
      <c r="X6" s="36">
        <v>0.16666666666666666</v>
      </c>
      <c r="Y6" s="125" t="s">
        <v>947</v>
      </c>
      <c r="Z6" s="125" t="s">
        <v>276</v>
      </c>
      <c r="AA6" s="125"/>
      <c r="AB6" s="126" t="s">
        <v>1254</v>
      </c>
      <c r="AC6" s="126" t="s">
        <v>2236</v>
      </c>
      <c r="AD6" s="125" t="s">
        <v>1255</v>
      </c>
      <c r="AE6" s="125" t="s">
        <v>1256</v>
      </c>
      <c r="AF6" s="125" t="s">
        <v>1257</v>
      </c>
      <c r="AG6" s="97"/>
      <c r="AH6" s="123"/>
      <c r="AI6" s="122"/>
      <c r="AJ6" s="123"/>
      <c r="AK6" s="122"/>
      <c r="AL6" s="123"/>
      <c r="AM6" s="35">
        <v>74</v>
      </c>
      <c r="AN6" s="36">
        <v>56.48854961832061</v>
      </c>
      <c r="AO6" s="35">
        <v>131</v>
      </c>
      <c r="AP6" s="35">
        <v>0</v>
      </c>
      <c r="AQ6" s="36">
        <v>0</v>
      </c>
      <c r="AR6" s="35">
        <v>0</v>
      </c>
      <c r="AS6" s="36">
        <v>0</v>
      </c>
      <c r="AT6" s="35">
        <v>0</v>
      </c>
      <c r="AU6" s="36">
        <v>0</v>
      </c>
    </row>
    <row r="7" spans="1:47" ht="15">
      <c r="A7" s="86" t="s">
        <v>1258</v>
      </c>
      <c r="B7" s="60" t="s">
        <v>1259</v>
      </c>
      <c r="C7" s="60" t="s">
        <v>1230</v>
      </c>
      <c r="D7" s="120"/>
      <c r="E7" s="95"/>
      <c r="F7" s="11" t="s">
        <v>1258</v>
      </c>
      <c r="G7" s="96"/>
      <c r="H7" s="96"/>
      <c r="I7" s="104">
        <v>7</v>
      </c>
      <c r="J7" s="121"/>
      <c r="K7" s="35">
        <v>6</v>
      </c>
      <c r="L7" s="35">
        <v>5</v>
      </c>
      <c r="M7" s="35">
        <v>0</v>
      </c>
      <c r="N7" s="35">
        <v>5</v>
      </c>
      <c r="O7" s="35">
        <v>0</v>
      </c>
      <c r="P7" s="36">
        <v>0</v>
      </c>
      <c r="Q7" s="36">
        <v>0</v>
      </c>
      <c r="R7" s="35">
        <v>1</v>
      </c>
      <c r="S7" s="35">
        <v>0</v>
      </c>
      <c r="T7" s="35">
        <v>6</v>
      </c>
      <c r="U7" s="35">
        <v>5</v>
      </c>
      <c r="V7" s="35">
        <v>2</v>
      </c>
      <c r="W7" s="36">
        <v>1.388889</v>
      </c>
      <c r="X7" s="36">
        <v>0.16666666666666666</v>
      </c>
      <c r="Y7" s="125"/>
      <c r="Z7" s="125"/>
      <c r="AA7" s="125"/>
      <c r="AB7" s="126" t="s">
        <v>143</v>
      </c>
      <c r="AC7" s="126" t="s">
        <v>143</v>
      </c>
      <c r="AD7" s="125" t="s">
        <v>1260</v>
      </c>
      <c r="AE7" s="125" t="s">
        <v>1261</v>
      </c>
      <c r="AF7" s="125" t="s">
        <v>1262</v>
      </c>
      <c r="AG7" s="97"/>
      <c r="AH7" s="123"/>
      <c r="AI7" s="122"/>
      <c r="AJ7" s="123"/>
      <c r="AK7" s="122"/>
      <c r="AL7" s="123"/>
      <c r="AM7" s="35">
        <v>10</v>
      </c>
      <c r="AN7" s="36">
        <v>100</v>
      </c>
      <c r="AO7" s="35">
        <v>10</v>
      </c>
      <c r="AP7" s="35">
        <v>0</v>
      </c>
      <c r="AQ7" s="36">
        <v>0</v>
      </c>
      <c r="AR7" s="35">
        <v>0</v>
      </c>
      <c r="AS7" s="36">
        <v>0</v>
      </c>
      <c r="AT7" s="35">
        <v>0</v>
      </c>
      <c r="AU7" s="36">
        <v>0</v>
      </c>
    </row>
    <row r="8" spans="1:47" ht="15">
      <c r="A8" s="86" t="s">
        <v>1263</v>
      </c>
      <c r="B8" s="60" t="s">
        <v>1264</v>
      </c>
      <c r="C8" s="60" t="s">
        <v>1230</v>
      </c>
      <c r="D8" s="120"/>
      <c r="E8" s="95"/>
      <c r="F8" s="11" t="s">
        <v>1265</v>
      </c>
      <c r="G8" s="96"/>
      <c r="H8" s="96"/>
      <c r="I8" s="104">
        <v>8</v>
      </c>
      <c r="J8" s="121"/>
      <c r="K8" s="35">
        <v>5</v>
      </c>
      <c r="L8" s="35">
        <v>0</v>
      </c>
      <c r="M8" s="35">
        <v>8</v>
      </c>
      <c r="N8" s="35">
        <v>8</v>
      </c>
      <c r="O8" s="35">
        <v>0</v>
      </c>
      <c r="P8" s="36">
        <v>0</v>
      </c>
      <c r="Q8" s="36">
        <v>0</v>
      </c>
      <c r="R8" s="35">
        <v>1</v>
      </c>
      <c r="S8" s="35">
        <v>0</v>
      </c>
      <c r="T8" s="35">
        <v>5</v>
      </c>
      <c r="U8" s="35">
        <v>8</v>
      </c>
      <c r="V8" s="35">
        <v>2</v>
      </c>
      <c r="W8" s="36">
        <v>1.28</v>
      </c>
      <c r="X8" s="36">
        <v>0.2</v>
      </c>
      <c r="Y8" s="125"/>
      <c r="Z8" s="125"/>
      <c r="AA8" s="125"/>
      <c r="AB8" s="126" t="s">
        <v>1266</v>
      </c>
      <c r="AC8" s="126" t="s">
        <v>1267</v>
      </c>
      <c r="AD8" s="125" t="s">
        <v>1268</v>
      </c>
      <c r="AE8" s="125" t="s">
        <v>1269</v>
      </c>
      <c r="AF8" s="125" t="s">
        <v>1270</v>
      </c>
      <c r="AG8" s="97"/>
      <c r="AH8" s="123"/>
      <c r="AI8" s="122"/>
      <c r="AJ8" s="123"/>
      <c r="AK8" s="122"/>
      <c r="AL8" s="123"/>
      <c r="AM8" s="35">
        <v>14</v>
      </c>
      <c r="AN8" s="36">
        <v>87.5</v>
      </c>
      <c r="AO8" s="35">
        <v>16</v>
      </c>
      <c r="AP8" s="35">
        <v>0</v>
      </c>
      <c r="AQ8" s="36">
        <v>0</v>
      </c>
      <c r="AR8" s="35">
        <v>0</v>
      </c>
      <c r="AS8" s="36">
        <v>0</v>
      </c>
      <c r="AT8" s="35">
        <v>0</v>
      </c>
      <c r="AU8" s="36">
        <v>0</v>
      </c>
    </row>
    <row r="9" spans="1:47" ht="15">
      <c r="A9" s="86" t="s">
        <v>1271</v>
      </c>
      <c r="B9" s="60" t="s">
        <v>1272</v>
      </c>
      <c r="C9" s="60" t="s">
        <v>1230</v>
      </c>
      <c r="D9" s="120"/>
      <c r="E9" s="95"/>
      <c r="F9" s="11" t="s">
        <v>1273</v>
      </c>
      <c r="G9" s="96"/>
      <c r="H9" s="96"/>
      <c r="I9" s="104">
        <v>9</v>
      </c>
      <c r="J9" s="121"/>
      <c r="K9" s="35">
        <v>4</v>
      </c>
      <c r="L9" s="35">
        <v>6</v>
      </c>
      <c r="M9" s="35">
        <v>0</v>
      </c>
      <c r="N9" s="35">
        <v>6</v>
      </c>
      <c r="O9" s="35">
        <v>3</v>
      </c>
      <c r="P9" s="36">
        <v>0</v>
      </c>
      <c r="Q9" s="36">
        <v>0</v>
      </c>
      <c r="R9" s="35">
        <v>1</v>
      </c>
      <c r="S9" s="35">
        <v>0</v>
      </c>
      <c r="T9" s="35">
        <v>4</v>
      </c>
      <c r="U9" s="35">
        <v>6</v>
      </c>
      <c r="V9" s="35">
        <v>2</v>
      </c>
      <c r="W9" s="36">
        <v>1.125</v>
      </c>
      <c r="X9" s="36">
        <v>0.25</v>
      </c>
      <c r="Y9" s="125" t="s">
        <v>1017</v>
      </c>
      <c r="Z9" s="125" t="s">
        <v>342</v>
      </c>
      <c r="AA9" s="125" t="s">
        <v>1274</v>
      </c>
      <c r="AB9" s="126" t="s">
        <v>1275</v>
      </c>
      <c r="AC9" s="126" t="s">
        <v>2237</v>
      </c>
      <c r="AD9" s="125"/>
      <c r="AE9" s="125" t="s">
        <v>1276</v>
      </c>
      <c r="AF9" s="125" t="s">
        <v>1277</v>
      </c>
      <c r="AG9" s="97"/>
      <c r="AH9" s="123"/>
      <c r="AI9" s="122"/>
      <c r="AJ9" s="123"/>
      <c r="AK9" s="122"/>
      <c r="AL9" s="123"/>
      <c r="AM9" s="35">
        <v>105</v>
      </c>
      <c r="AN9" s="36">
        <v>69.07894736842105</v>
      </c>
      <c r="AO9" s="35">
        <v>152</v>
      </c>
      <c r="AP9" s="35">
        <v>0</v>
      </c>
      <c r="AQ9" s="36">
        <v>0</v>
      </c>
      <c r="AR9" s="35">
        <v>0</v>
      </c>
      <c r="AS9" s="36">
        <v>0</v>
      </c>
      <c r="AT9" s="35">
        <v>0</v>
      </c>
      <c r="AU9" s="36">
        <v>0</v>
      </c>
    </row>
    <row r="10" spans="1:47" ht="14.25" customHeight="1">
      <c r="A10" s="86" t="s">
        <v>1278</v>
      </c>
      <c r="B10" s="60" t="s">
        <v>1279</v>
      </c>
      <c r="C10" s="60" t="s">
        <v>1230</v>
      </c>
      <c r="D10" s="120"/>
      <c r="E10" s="95"/>
      <c r="F10" s="11" t="s">
        <v>1280</v>
      </c>
      <c r="G10" s="96"/>
      <c r="H10" s="96"/>
      <c r="I10" s="104">
        <v>10</v>
      </c>
      <c r="J10" s="121"/>
      <c r="K10" s="35">
        <v>3</v>
      </c>
      <c r="L10" s="35">
        <v>2</v>
      </c>
      <c r="M10" s="35">
        <v>0</v>
      </c>
      <c r="N10" s="35">
        <v>2</v>
      </c>
      <c r="O10" s="35">
        <v>0</v>
      </c>
      <c r="P10" s="36">
        <v>0</v>
      </c>
      <c r="Q10" s="36">
        <v>0</v>
      </c>
      <c r="R10" s="35">
        <v>1</v>
      </c>
      <c r="S10" s="35">
        <v>0</v>
      </c>
      <c r="T10" s="35">
        <v>3</v>
      </c>
      <c r="U10" s="35">
        <v>2</v>
      </c>
      <c r="V10" s="35">
        <v>2</v>
      </c>
      <c r="W10" s="36">
        <v>0.888889</v>
      </c>
      <c r="X10" s="36">
        <v>0.3333333333333333</v>
      </c>
      <c r="Y10" s="125"/>
      <c r="Z10" s="125"/>
      <c r="AA10" s="125"/>
      <c r="AB10" s="126" t="s">
        <v>860</v>
      </c>
      <c r="AC10" s="126" t="s">
        <v>1174</v>
      </c>
      <c r="AD10" s="125"/>
      <c r="AE10" s="125" t="s">
        <v>1281</v>
      </c>
      <c r="AF10" s="125" t="s">
        <v>1282</v>
      </c>
      <c r="AG10" s="97"/>
      <c r="AH10" s="123"/>
      <c r="AI10" s="122"/>
      <c r="AJ10" s="123"/>
      <c r="AK10" s="122"/>
      <c r="AL10" s="123"/>
      <c r="AM10" s="35">
        <v>24</v>
      </c>
      <c r="AN10" s="36">
        <v>64.86486486486487</v>
      </c>
      <c r="AO10" s="35">
        <v>37</v>
      </c>
      <c r="AP10" s="35">
        <v>0</v>
      </c>
      <c r="AQ10" s="36">
        <v>0</v>
      </c>
      <c r="AR10" s="35">
        <v>0</v>
      </c>
      <c r="AS10" s="36">
        <v>0</v>
      </c>
      <c r="AT10" s="35">
        <v>0</v>
      </c>
      <c r="AU10" s="36">
        <v>0</v>
      </c>
    </row>
    <row r="11" spans="1:47" ht="15">
      <c r="A11" s="86" t="s">
        <v>1283</v>
      </c>
      <c r="B11" s="60" t="s">
        <v>1284</v>
      </c>
      <c r="C11" s="60" t="s">
        <v>1230</v>
      </c>
      <c r="D11" s="120"/>
      <c r="E11" s="95"/>
      <c r="F11" s="11" t="s">
        <v>1285</v>
      </c>
      <c r="G11" s="96"/>
      <c r="H11" s="96"/>
      <c r="I11" s="104">
        <v>11</v>
      </c>
      <c r="J11" s="121"/>
      <c r="K11" s="35">
        <v>3</v>
      </c>
      <c r="L11" s="35">
        <v>2</v>
      </c>
      <c r="M11" s="35">
        <v>0</v>
      </c>
      <c r="N11" s="35">
        <v>2</v>
      </c>
      <c r="O11" s="35">
        <v>0</v>
      </c>
      <c r="P11" s="36">
        <v>0</v>
      </c>
      <c r="Q11" s="36">
        <v>0</v>
      </c>
      <c r="R11" s="35">
        <v>1</v>
      </c>
      <c r="S11" s="35">
        <v>0</v>
      </c>
      <c r="T11" s="35">
        <v>3</v>
      </c>
      <c r="U11" s="35">
        <v>2</v>
      </c>
      <c r="V11" s="35">
        <v>2</v>
      </c>
      <c r="W11" s="36">
        <v>0.888889</v>
      </c>
      <c r="X11" s="36">
        <v>0.3333333333333333</v>
      </c>
      <c r="Y11" s="125"/>
      <c r="Z11" s="125"/>
      <c r="AA11" s="125"/>
      <c r="AB11" s="126" t="s">
        <v>1286</v>
      </c>
      <c r="AC11" s="126" t="s">
        <v>143</v>
      </c>
      <c r="AD11" s="125" t="s">
        <v>339</v>
      </c>
      <c r="AE11" s="125" t="s">
        <v>331</v>
      </c>
      <c r="AF11" s="125" t="s">
        <v>1287</v>
      </c>
      <c r="AG11" s="97"/>
      <c r="AH11" s="123"/>
      <c r="AI11" s="122"/>
      <c r="AJ11" s="123"/>
      <c r="AK11" s="122"/>
      <c r="AL11" s="123"/>
      <c r="AM11" s="35">
        <v>12</v>
      </c>
      <c r="AN11" s="36">
        <v>70.58823529411765</v>
      </c>
      <c r="AO11" s="35">
        <v>17</v>
      </c>
      <c r="AP11" s="35">
        <v>0</v>
      </c>
      <c r="AQ11" s="36">
        <v>0</v>
      </c>
      <c r="AR11" s="35">
        <v>0</v>
      </c>
      <c r="AS11" s="36">
        <v>0</v>
      </c>
      <c r="AT11" s="35">
        <v>0</v>
      </c>
      <c r="AU11" s="36">
        <v>0</v>
      </c>
    </row>
    <row r="12" spans="1:47" ht="15">
      <c r="A12" s="86" t="s">
        <v>1288</v>
      </c>
      <c r="B12" s="60" t="s">
        <v>1289</v>
      </c>
      <c r="C12" s="60" t="s">
        <v>1230</v>
      </c>
      <c r="D12" s="120"/>
      <c r="E12" s="95"/>
      <c r="F12" s="11" t="s">
        <v>1288</v>
      </c>
      <c r="G12" s="96"/>
      <c r="H12" s="96"/>
      <c r="I12" s="104">
        <v>12</v>
      </c>
      <c r="J12" s="121"/>
      <c r="K12" s="35">
        <v>2</v>
      </c>
      <c r="L12" s="35">
        <v>1</v>
      </c>
      <c r="M12" s="35">
        <v>0</v>
      </c>
      <c r="N12" s="35">
        <v>1</v>
      </c>
      <c r="O12" s="35">
        <v>0</v>
      </c>
      <c r="P12" s="36">
        <v>0</v>
      </c>
      <c r="Q12" s="36">
        <v>0</v>
      </c>
      <c r="R12" s="35">
        <v>1</v>
      </c>
      <c r="S12" s="35">
        <v>0</v>
      </c>
      <c r="T12" s="35">
        <v>2</v>
      </c>
      <c r="U12" s="35">
        <v>1</v>
      </c>
      <c r="V12" s="35">
        <v>1</v>
      </c>
      <c r="W12" s="36">
        <v>0.5</v>
      </c>
      <c r="X12" s="36">
        <v>0.5</v>
      </c>
      <c r="Y12" s="125"/>
      <c r="Z12" s="125"/>
      <c r="AA12" s="125"/>
      <c r="AB12" s="126" t="s">
        <v>143</v>
      </c>
      <c r="AC12" s="126" t="s">
        <v>143</v>
      </c>
      <c r="AD12" s="125" t="s">
        <v>234</v>
      </c>
      <c r="AE12" s="125"/>
      <c r="AF12" s="125" t="s">
        <v>1290</v>
      </c>
      <c r="AG12" s="97"/>
      <c r="AH12" s="123"/>
      <c r="AI12" s="122"/>
      <c r="AJ12" s="123"/>
      <c r="AK12" s="122"/>
      <c r="AL12" s="123"/>
      <c r="AM12" s="35">
        <v>4</v>
      </c>
      <c r="AN12" s="36">
        <v>100</v>
      </c>
      <c r="AO12" s="35">
        <v>4</v>
      </c>
      <c r="AP12" s="35">
        <v>0</v>
      </c>
      <c r="AQ12" s="36">
        <v>0</v>
      </c>
      <c r="AR12" s="35">
        <v>0</v>
      </c>
      <c r="AS12" s="36">
        <v>0</v>
      </c>
      <c r="AT12" s="35">
        <v>0</v>
      </c>
      <c r="AU12" s="36">
        <v>0</v>
      </c>
    </row>
    <row r="13" spans="1:47" ht="15">
      <c r="A13" s="86" t="s">
        <v>1291</v>
      </c>
      <c r="B13" s="60" t="s">
        <v>1292</v>
      </c>
      <c r="C13" s="60" t="s">
        <v>1230</v>
      </c>
      <c r="D13" s="120"/>
      <c r="E13" s="95"/>
      <c r="F13" s="11" t="s">
        <v>1291</v>
      </c>
      <c r="G13" s="96"/>
      <c r="H13" s="96"/>
      <c r="I13" s="104">
        <v>13</v>
      </c>
      <c r="J13" s="121"/>
      <c r="K13" s="35">
        <v>2</v>
      </c>
      <c r="L13" s="35">
        <v>1</v>
      </c>
      <c r="M13" s="35">
        <v>0</v>
      </c>
      <c r="N13" s="35">
        <v>1</v>
      </c>
      <c r="O13" s="35">
        <v>0</v>
      </c>
      <c r="P13" s="36">
        <v>0</v>
      </c>
      <c r="Q13" s="36">
        <v>0</v>
      </c>
      <c r="R13" s="35">
        <v>1</v>
      </c>
      <c r="S13" s="35">
        <v>0</v>
      </c>
      <c r="T13" s="35">
        <v>2</v>
      </c>
      <c r="U13" s="35">
        <v>1</v>
      </c>
      <c r="V13" s="35">
        <v>1</v>
      </c>
      <c r="W13" s="36">
        <v>0.5</v>
      </c>
      <c r="X13" s="36">
        <v>0.5</v>
      </c>
      <c r="Y13" s="125"/>
      <c r="Z13" s="125"/>
      <c r="AA13" s="125"/>
      <c r="AB13" s="126" t="s">
        <v>143</v>
      </c>
      <c r="AC13" s="126" t="s">
        <v>143</v>
      </c>
      <c r="AD13" s="125" t="s">
        <v>190</v>
      </c>
      <c r="AE13" s="125"/>
      <c r="AF13" s="125" t="s">
        <v>1293</v>
      </c>
      <c r="AG13" s="97"/>
      <c r="AH13" s="123"/>
      <c r="AI13" s="122"/>
      <c r="AJ13" s="123"/>
      <c r="AK13" s="122"/>
      <c r="AL13" s="123"/>
      <c r="AM13" s="35">
        <v>2</v>
      </c>
      <c r="AN13" s="36">
        <v>100</v>
      </c>
      <c r="AO13" s="35">
        <v>2</v>
      </c>
      <c r="AP13" s="35">
        <v>0</v>
      </c>
      <c r="AQ13" s="36">
        <v>0</v>
      </c>
      <c r="AR13" s="35">
        <v>0</v>
      </c>
      <c r="AS13" s="36">
        <v>0</v>
      </c>
      <c r="AT13" s="35">
        <v>0</v>
      </c>
      <c r="AU13" s="36">
        <v>0</v>
      </c>
    </row>
    <row r="14" spans="1:47" ht="15">
      <c r="A14" s="86" t="s">
        <v>1294</v>
      </c>
      <c r="B14" s="60" t="s">
        <v>1295</v>
      </c>
      <c r="C14" s="60" t="s">
        <v>1230</v>
      </c>
      <c r="D14" s="120"/>
      <c r="E14" s="95"/>
      <c r="F14" s="11" t="s">
        <v>1296</v>
      </c>
      <c r="G14" s="96"/>
      <c r="H14" s="96"/>
      <c r="I14" s="104">
        <v>14</v>
      </c>
      <c r="J14" s="121"/>
      <c r="K14" s="35">
        <v>2</v>
      </c>
      <c r="L14" s="35">
        <v>2</v>
      </c>
      <c r="M14" s="35">
        <v>0</v>
      </c>
      <c r="N14" s="35">
        <v>2</v>
      </c>
      <c r="O14" s="35">
        <v>1</v>
      </c>
      <c r="P14" s="36">
        <v>0</v>
      </c>
      <c r="Q14" s="36">
        <v>0</v>
      </c>
      <c r="R14" s="35">
        <v>1</v>
      </c>
      <c r="S14" s="35">
        <v>0</v>
      </c>
      <c r="T14" s="35">
        <v>2</v>
      </c>
      <c r="U14" s="35">
        <v>2</v>
      </c>
      <c r="V14" s="35">
        <v>1</v>
      </c>
      <c r="W14" s="36">
        <v>0.5</v>
      </c>
      <c r="X14" s="36">
        <v>0.5</v>
      </c>
      <c r="Y14" s="125"/>
      <c r="Z14" s="125"/>
      <c r="AA14" s="125"/>
      <c r="AB14" s="126" t="s">
        <v>814</v>
      </c>
      <c r="AC14" s="126" t="s">
        <v>815</v>
      </c>
      <c r="AD14" s="125"/>
      <c r="AE14" s="125" t="s">
        <v>151</v>
      </c>
      <c r="AF14" s="125" t="s">
        <v>1297</v>
      </c>
      <c r="AG14" s="97"/>
      <c r="AH14" s="123"/>
      <c r="AI14" s="122"/>
      <c r="AJ14" s="123"/>
      <c r="AK14" s="122"/>
      <c r="AL14" s="123"/>
      <c r="AM14" s="35">
        <v>9</v>
      </c>
      <c r="AN14" s="36">
        <v>90</v>
      </c>
      <c r="AO14" s="35">
        <v>10</v>
      </c>
      <c r="AP14" s="35">
        <v>0</v>
      </c>
      <c r="AQ14" s="36">
        <v>0</v>
      </c>
      <c r="AR14" s="35">
        <v>0</v>
      </c>
      <c r="AS14" s="36">
        <v>0</v>
      </c>
      <c r="AT14" s="35">
        <v>0</v>
      </c>
      <c r="AU14" s="36">
        <v>0</v>
      </c>
    </row>
    <row r="15" spans="1:47" ht="15">
      <c r="A15" s="86" t="s">
        <v>1298</v>
      </c>
      <c r="B15" s="60" t="s">
        <v>1229</v>
      </c>
      <c r="C15" s="60" t="s">
        <v>1299</v>
      </c>
      <c r="D15" s="120"/>
      <c r="E15" s="95"/>
      <c r="F15" s="11" t="s">
        <v>1300</v>
      </c>
      <c r="G15" s="96"/>
      <c r="H15" s="96"/>
      <c r="I15" s="104">
        <v>15</v>
      </c>
      <c r="J15" s="121"/>
      <c r="K15" s="35">
        <v>2</v>
      </c>
      <c r="L15" s="35">
        <v>2</v>
      </c>
      <c r="M15" s="35">
        <v>0</v>
      </c>
      <c r="N15" s="35">
        <v>2</v>
      </c>
      <c r="O15" s="35">
        <v>1</v>
      </c>
      <c r="P15" s="36">
        <v>0</v>
      </c>
      <c r="Q15" s="36">
        <v>0</v>
      </c>
      <c r="R15" s="35">
        <v>1</v>
      </c>
      <c r="S15" s="35">
        <v>0</v>
      </c>
      <c r="T15" s="35">
        <v>2</v>
      </c>
      <c r="U15" s="35">
        <v>2</v>
      </c>
      <c r="V15" s="35">
        <v>1</v>
      </c>
      <c r="W15" s="36">
        <v>0.5</v>
      </c>
      <c r="X15" s="36">
        <v>0.5</v>
      </c>
      <c r="Y15" s="125" t="s">
        <v>790</v>
      </c>
      <c r="Z15" s="125" t="s">
        <v>791</v>
      </c>
      <c r="AA15" s="125"/>
      <c r="AB15" s="126" t="s">
        <v>1301</v>
      </c>
      <c r="AC15" s="126" t="s">
        <v>143</v>
      </c>
      <c r="AD15" s="125"/>
      <c r="AE15" s="125" t="s">
        <v>134</v>
      </c>
      <c r="AF15" s="125" t="s">
        <v>1302</v>
      </c>
      <c r="AG15" s="97"/>
      <c r="AH15" s="123"/>
      <c r="AI15" s="122"/>
      <c r="AJ15" s="123"/>
      <c r="AK15" s="122"/>
      <c r="AL15" s="123"/>
      <c r="AM15" s="35">
        <v>28</v>
      </c>
      <c r="AN15" s="36">
        <v>57.142857142857146</v>
      </c>
      <c r="AO15" s="35">
        <v>49</v>
      </c>
      <c r="AP15" s="35">
        <v>0</v>
      </c>
      <c r="AQ15" s="36">
        <v>0</v>
      </c>
      <c r="AR15" s="35">
        <v>0</v>
      </c>
      <c r="AS15" s="36">
        <v>0</v>
      </c>
      <c r="AT15" s="35">
        <v>0</v>
      </c>
      <c r="AU15" s="36">
        <v>0</v>
      </c>
    </row>
    <row r="16" spans="1:47" ht="15">
      <c r="A16" s="86" t="s">
        <v>1303</v>
      </c>
      <c r="B16" s="60" t="s">
        <v>1238</v>
      </c>
      <c r="C16" s="60" t="s">
        <v>1299</v>
      </c>
      <c r="D16" s="105"/>
      <c r="E16" s="87"/>
      <c r="F16" s="88" t="s">
        <v>1303</v>
      </c>
      <c r="G16" s="89"/>
      <c r="H16" s="89"/>
      <c r="I16" s="106">
        <v>16</v>
      </c>
      <c r="J16" s="90"/>
      <c r="K16" s="35">
        <v>2</v>
      </c>
      <c r="L16" s="35">
        <v>2</v>
      </c>
      <c r="M16" s="35">
        <v>0</v>
      </c>
      <c r="N16" s="35">
        <v>2</v>
      </c>
      <c r="O16" s="35">
        <v>2</v>
      </c>
      <c r="P16" s="36" t="s">
        <v>1304</v>
      </c>
      <c r="Q16" s="36" t="s">
        <v>1304</v>
      </c>
      <c r="R16" s="35">
        <v>2</v>
      </c>
      <c r="S16" s="35">
        <v>2</v>
      </c>
      <c r="T16" s="35">
        <v>1</v>
      </c>
      <c r="U16" s="35">
        <v>1</v>
      </c>
      <c r="V16" s="35">
        <v>0</v>
      </c>
      <c r="W16" s="36">
        <v>0</v>
      </c>
      <c r="X16" s="36">
        <v>0</v>
      </c>
      <c r="Y16" s="125" t="s">
        <v>941</v>
      </c>
      <c r="Z16" s="125" t="s">
        <v>258</v>
      </c>
      <c r="AA16" s="125" t="s">
        <v>226</v>
      </c>
      <c r="AB16" s="126" t="s">
        <v>143</v>
      </c>
      <c r="AC16" s="126" t="s">
        <v>143</v>
      </c>
      <c r="AD16" s="125"/>
      <c r="AE16" s="125"/>
      <c r="AF16" s="125" t="s">
        <v>1305</v>
      </c>
      <c r="AG16" s="91"/>
      <c r="AH16" s="84"/>
      <c r="AI16" s="83"/>
      <c r="AJ16" s="84"/>
      <c r="AK16" s="83"/>
      <c r="AL16" s="84"/>
      <c r="AM16" s="35">
        <v>4</v>
      </c>
      <c r="AN16" s="36">
        <v>50</v>
      </c>
      <c r="AO16" s="35">
        <v>8</v>
      </c>
      <c r="AP16" s="35">
        <v>0</v>
      </c>
      <c r="AQ16" s="36">
        <v>0</v>
      </c>
      <c r="AR16" s="35">
        <v>0</v>
      </c>
      <c r="AS16" s="36">
        <v>0</v>
      </c>
      <c r="AT16" s="35">
        <v>0</v>
      </c>
      <c r="AU16" s="36">
        <v>0</v>
      </c>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sheetData>
  <dataValidations count="8">
    <dataValidation allowBlank="1" showInputMessage="1" promptTitle="Group Vertex Color" prompt="To select a color to use for all vertices in the group, right-click and select Select Color on the right-click menu." sqref="B1272:B1397 B955:B1031 B764:B945 B442:B633 B112:B146 B107:B110 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72:C1397 C955:C1031 C764:C945 C442:C633 C112:C146 C107:C110 C3:C16">
      <formula1>ValidGroupShapes</formula1>
    </dataValidation>
    <dataValidation allowBlank="1" showInputMessage="1" showErrorMessage="1" promptTitle="Group Name" prompt="Enter the name of the group." sqref="A1272:A1397 A955:A1031 A764:A945 A442:A633 A112:A146 A107:A110 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1199</v>
      </c>
      <c r="B1" s="10" t="s">
        <v>683</v>
      </c>
      <c r="C1" s="10" t="s">
        <v>1306</v>
      </c>
    </row>
    <row r="2" spans="1:3" ht="15">
      <c r="A2" s="125" t="s">
        <v>1228</v>
      </c>
      <c r="B2" s="126" t="s">
        <v>587</v>
      </c>
      <c r="C2" s="125">
        <f>VLOOKUP(GroupVertices[[#This Row],[Vertex]],Vertices[],MATCH("ID",Vertices[[#Headers],[Vertex]:[Withheld]],0),FALSE)</f>
        <v>61</v>
      </c>
    </row>
    <row r="3" spans="1:3" ht="15">
      <c r="A3" s="124" t="s">
        <v>1228</v>
      </c>
      <c r="B3" s="126" t="s">
        <v>560</v>
      </c>
      <c r="C3" s="125">
        <f>VLOOKUP(GroupVertices[[#This Row],[Vertex]],Vertices[],MATCH("ID",Vertices[[#Headers],[Vertex]:[Withheld]],0),FALSE)</f>
        <v>59</v>
      </c>
    </row>
    <row r="4" spans="1:3" ht="15">
      <c r="A4" s="124" t="s">
        <v>1228</v>
      </c>
      <c r="B4" s="126" t="s">
        <v>412</v>
      </c>
      <c r="C4" s="125">
        <f>VLOOKUP(GroupVertices[[#This Row],[Vertex]],Vertices[],MATCH("ID",Vertices[[#Headers],[Vertex]:[Withheld]],0),FALSE)</f>
        <v>49</v>
      </c>
    </row>
    <row r="5" spans="1:3" ht="15">
      <c r="A5" s="124" t="s">
        <v>1228</v>
      </c>
      <c r="B5" s="126" t="s">
        <v>555</v>
      </c>
      <c r="C5" s="125">
        <f>VLOOKUP(GroupVertices[[#This Row],[Vertex]],Vertices[],MATCH("ID",Vertices[[#Headers],[Vertex]:[Withheld]],0),FALSE)</f>
        <v>58</v>
      </c>
    </row>
    <row r="6" spans="1:3" ht="15">
      <c r="A6" s="124" t="s">
        <v>1228</v>
      </c>
      <c r="B6" s="126" t="s">
        <v>530</v>
      </c>
      <c r="C6" s="125">
        <f>VLOOKUP(GroupVertices[[#This Row],[Vertex]],Vertices[],MATCH("ID",Vertices[[#Headers],[Vertex]:[Withheld]],0),FALSE)</f>
        <v>57</v>
      </c>
    </row>
    <row r="7" spans="1:3" ht="15">
      <c r="A7" s="124" t="s">
        <v>1228</v>
      </c>
      <c r="B7" s="126" t="s">
        <v>504</v>
      </c>
      <c r="C7" s="125">
        <f>VLOOKUP(GroupVertices[[#This Row],[Vertex]],Vertices[],MATCH("ID",Vertices[[#Headers],[Vertex]:[Withheld]],0),FALSE)</f>
        <v>56</v>
      </c>
    </row>
    <row r="8" spans="1:3" ht="15">
      <c r="A8" s="124" t="s">
        <v>1228</v>
      </c>
      <c r="B8" s="126" t="s">
        <v>490</v>
      </c>
      <c r="C8" s="125">
        <f>VLOOKUP(GroupVertices[[#This Row],[Vertex]],Vertices[],MATCH("ID",Vertices[[#Headers],[Vertex]:[Withheld]],0),FALSE)</f>
        <v>55</v>
      </c>
    </row>
    <row r="9" spans="1:3" ht="15">
      <c r="A9" s="124" t="s">
        <v>1228</v>
      </c>
      <c r="B9" s="126" t="s">
        <v>480</v>
      </c>
      <c r="C9" s="125">
        <f>VLOOKUP(GroupVertices[[#This Row],[Vertex]],Vertices[],MATCH("ID",Vertices[[#Headers],[Vertex]:[Withheld]],0),FALSE)</f>
        <v>54</v>
      </c>
    </row>
    <row r="10" spans="1:3" ht="15">
      <c r="A10" s="124" t="s">
        <v>1228</v>
      </c>
      <c r="B10" s="126" t="s">
        <v>468</v>
      </c>
      <c r="C10" s="125">
        <f>VLOOKUP(GroupVertices[[#This Row],[Vertex]],Vertices[],MATCH("ID",Vertices[[#Headers],[Vertex]:[Withheld]],0),FALSE)</f>
        <v>53</v>
      </c>
    </row>
    <row r="11" spans="1:3" ht="15">
      <c r="A11" s="124" t="s">
        <v>1228</v>
      </c>
      <c r="B11" s="126" t="s">
        <v>450</v>
      </c>
      <c r="C11" s="125">
        <f>VLOOKUP(GroupVertices[[#This Row],[Vertex]],Vertices[],MATCH("ID",Vertices[[#Headers],[Vertex]:[Withheld]],0),FALSE)</f>
        <v>52</v>
      </c>
    </row>
    <row r="12" spans="1:3" ht="15">
      <c r="A12" s="124" t="s">
        <v>1228</v>
      </c>
      <c r="B12" s="126" t="s">
        <v>435</v>
      </c>
      <c r="C12" s="125">
        <f>VLOOKUP(GroupVertices[[#This Row],[Vertex]],Vertices[],MATCH("ID",Vertices[[#Headers],[Vertex]:[Withheld]],0),FALSE)</f>
        <v>51</v>
      </c>
    </row>
    <row r="13" spans="1:3" ht="15">
      <c r="A13" s="124" t="s">
        <v>1228</v>
      </c>
      <c r="B13" s="126" t="s">
        <v>421</v>
      </c>
      <c r="C13" s="125">
        <f>VLOOKUP(GroupVertices[[#This Row],[Vertex]],Vertices[],MATCH("ID",Vertices[[#Headers],[Vertex]:[Withheld]],0),FALSE)</f>
        <v>50</v>
      </c>
    </row>
    <row r="14" spans="1:3" ht="15">
      <c r="A14" s="124" t="s">
        <v>1228</v>
      </c>
      <c r="B14" s="126" t="s">
        <v>404</v>
      </c>
      <c r="C14" s="125">
        <f>VLOOKUP(GroupVertices[[#This Row],[Vertex]],Vertices[],MATCH("ID",Vertices[[#Headers],[Vertex]:[Withheld]],0),FALSE)</f>
        <v>48</v>
      </c>
    </row>
    <row r="15" spans="1:3" ht="15">
      <c r="A15" s="124" t="s">
        <v>1237</v>
      </c>
      <c r="B15" s="126" t="s">
        <v>183</v>
      </c>
      <c r="C15" s="125">
        <f>VLOOKUP(GroupVertices[[#This Row],[Vertex]],Vertices[],MATCH("ID",Vertices[[#Headers],[Vertex]:[Withheld]],0),FALSE)</f>
        <v>12</v>
      </c>
    </row>
    <row r="16" spans="1:3" ht="15">
      <c r="A16" s="124" t="s">
        <v>1237</v>
      </c>
      <c r="B16" s="126" t="s">
        <v>623</v>
      </c>
      <c r="C16" s="125">
        <f>VLOOKUP(GroupVertices[[#This Row],[Vertex]],Vertices[],MATCH("ID",Vertices[[#Headers],[Vertex]:[Withheld]],0),FALSE)</f>
        <v>67</v>
      </c>
    </row>
    <row r="17" spans="1:3" ht="15">
      <c r="A17" s="124" t="s">
        <v>1237</v>
      </c>
      <c r="B17" s="126" t="s">
        <v>616</v>
      </c>
      <c r="C17" s="125">
        <f>VLOOKUP(GroupVertices[[#This Row],[Vertex]],Vertices[],MATCH("ID",Vertices[[#Headers],[Vertex]:[Withheld]],0),FALSE)</f>
        <v>66</v>
      </c>
    </row>
    <row r="18" spans="1:3" ht="15">
      <c r="A18" s="124" t="s">
        <v>1237</v>
      </c>
      <c r="B18" s="126" t="s">
        <v>611</v>
      </c>
      <c r="C18" s="125">
        <f>VLOOKUP(GroupVertices[[#This Row],[Vertex]],Vertices[],MATCH("ID",Vertices[[#Headers],[Vertex]:[Withheld]],0),FALSE)</f>
        <v>65</v>
      </c>
    </row>
    <row r="19" spans="1:3" ht="15">
      <c r="A19" s="124" t="s">
        <v>1237</v>
      </c>
      <c r="B19" s="126" t="s">
        <v>605</v>
      </c>
      <c r="C19" s="125">
        <f>VLOOKUP(GroupVertices[[#This Row],[Vertex]],Vertices[],MATCH("ID",Vertices[[#Headers],[Vertex]:[Withheld]],0),FALSE)</f>
        <v>64</v>
      </c>
    </row>
    <row r="20" spans="1:3" ht="15">
      <c r="A20" s="124" t="s">
        <v>1237</v>
      </c>
      <c r="B20" s="126" t="s">
        <v>600</v>
      </c>
      <c r="C20" s="125">
        <f>VLOOKUP(GroupVertices[[#This Row],[Vertex]],Vertices[],MATCH("ID",Vertices[[#Headers],[Vertex]:[Withheld]],0),FALSE)</f>
        <v>63</v>
      </c>
    </row>
    <row r="21" spans="1:3" ht="15">
      <c r="A21" s="124" t="s">
        <v>1237</v>
      </c>
      <c r="B21" s="126" t="s">
        <v>317</v>
      </c>
      <c r="C21" s="125">
        <f>VLOOKUP(GroupVertices[[#This Row],[Vertex]],Vertices[],MATCH("ID",Vertices[[#Headers],[Vertex]:[Withheld]],0),FALSE)</f>
        <v>35</v>
      </c>
    </row>
    <row r="22" spans="1:3" ht="15">
      <c r="A22" s="124" t="s">
        <v>1237</v>
      </c>
      <c r="B22" s="126" t="s">
        <v>318</v>
      </c>
      <c r="C22" s="125">
        <f>VLOOKUP(GroupVertices[[#This Row],[Vertex]],Vertices[],MATCH("ID",Vertices[[#Headers],[Vertex]:[Withheld]],0),FALSE)</f>
        <v>36</v>
      </c>
    </row>
    <row r="23" spans="1:3" ht="15">
      <c r="A23" s="124" t="s">
        <v>1244</v>
      </c>
      <c r="B23" s="126" t="s">
        <v>387</v>
      </c>
      <c r="C23" s="125">
        <f>VLOOKUP(GroupVertices[[#This Row],[Vertex]],Vertices[],MATCH("ID",Vertices[[#Headers],[Vertex]:[Withheld]],0),FALSE)</f>
        <v>46</v>
      </c>
    </row>
    <row r="24" spans="1:3" ht="15">
      <c r="A24" s="124" t="s">
        <v>1244</v>
      </c>
      <c r="B24" s="126" t="s">
        <v>576</v>
      </c>
      <c r="C24" s="125">
        <f>VLOOKUP(GroupVertices[[#This Row],[Vertex]],Vertices[],MATCH("ID",Vertices[[#Headers],[Vertex]:[Withheld]],0),FALSE)</f>
        <v>60</v>
      </c>
    </row>
    <row r="25" spans="1:3" ht="15">
      <c r="A25" s="124" t="s">
        <v>1244</v>
      </c>
      <c r="B25" s="126" t="s">
        <v>397</v>
      </c>
      <c r="C25" s="125">
        <f>VLOOKUP(GroupVertices[[#This Row],[Vertex]],Vertices[],MATCH("ID",Vertices[[#Headers],[Vertex]:[Withheld]],0),FALSE)</f>
        <v>47</v>
      </c>
    </row>
    <row r="26" spans="1:3" ht="15">
      <c r="A26" s="124" t="s">
        <v>1244</v>
      </c>
      <c r="B26" s="126" t="s">
        <v>380</v>
      </c>
      <c r="C26" s="125">
        <f>VLOOKUP(GroupVertices[[#This Row],[Vertex]],Vertices[],MATCH("ID",Vertices[[#Headers],[Vertex]:[Withheld]],0),FALSE)</f>
        <v>45</v>
      </c>
    </row>
    <row r="27" spans="1:3" ht="15">
      <c r="A27" s="124" t="s">
        <v>1244</v>
      </c>
      <c r="B27" s="126" t="s">
        <v>250</v>
      </c>
      <c r="C27" s="125">
        <f>VLOOKUP(GroupVertices[[#This Row],[Vertex]],Vertices[],MATCH("ID",Vertices[[#Headers],[Vertex]:[Withheld]],0),FALSE)</f>
        <v>27</v>
      </c>
    </row>
    <row r="28" spans="1:3" ht="15">
      <c r="A28" s="124" t="s">
        <v>1244</v>
      </c>
      <c r="B28" s="126" t="s">
        <v>372</v>
      </c>
      <c r="C28" s="125">
        <f>VLOOKUP(GroupVertices[[#This Row],[Vertex]],Vertices[],MATCH("ID",Vertices[[#Headers],[Vertex]:[Withheld]],0),FALSE)</f>
        <v>44</v>
      </c>
    </row>
    <row r="29" spans="1:3" ht="15">
      <c r="A29" s="124" t="s">
        <v>1244</v>
      </c>
      <c r="B29" s="126" t="s">
        <v>242</v>
      </c>
      <c r="C29" s="125">
        <f>VLOOKUP(GroupVertices[[#This Row],[Vertex]],Vertices[],MATCH("ID",Vertices[[#Headers],[Vertex]:[Withheld]],0),FALSE)</f>
        <v>26</v>
      </c>
    </row>
    <row r="30" spans="1:3" ht="15">
      <c r="A30" s="124" t="s">
        <v>1251</v>
      </c>
      <c r="B30" s="126" t="s">
        <v>307</v>
      </c>
      <c r="C30" s="125">
        <f>VLOOKUP(GroupVertices[[#This Row],[Vertex]],Vertices[],MATCH("ID",Vertices[[#Headers],[Vertex]:[Withheld]],0),FALSE)</f>
        <v>34</v>
      </c>
    </row>
    <row r="31" spans="1:3" ht="15">
      <c r="A31" s="124" t="s">
        <v>1251</v>
      </c>
      <c r="B31" s="126" t="s">
        <v>262</v>
      </c>
      <c r="C31" s="125">
        <f>VLOOKUP(GroupVertices[[#This Row],[Vertex]],Vertices[],MATCH("ID",Vertices[[#Headers],[Vertex]:[Withheld]],0),FALSE)</f>
        <v>29</v>
      </c>
    </row>
    <row r="32" spans="1:3" ht="15">
      <c r="A32" s="124" t="s">
        <v>1251</v>
      </c>
      <c r="B32" s="126" t="s">
        <v>300</v>
      </c>
      <c r="C32" s="125">
        <f>VLOOKUP(GroupVertices[[#This Row],[Vertex]],Vertices[],MATCH("ID",Vertices[[#Headers],[Vertex]:[Withheld]],0),FALSE)</f>
        <v>33</v>
      </c>
    </row>
    <row r="33" spans="1:3" ht="15">
      <c r="A33" s="124" t="s">
        <v>1251</v>
      </c>
      <c r="B33" s="126" t="s">
        <v>285</v>
      </c>
      <c r="C33" s="125">
        <f>VLOOKUP(GroupVertices[[#This Row],[Vertex]],Vertices[],MATCH("ID",Vertices[[#Headers],[Vertex]:[Withheld]],0),FALSE)</f>
        <v>32</v>
      </c>
    </row>
    <row r="34" spans="1:3" ht="15">
      <c r="A34" s="124" t="s">
        <v>1251</v>
      </c>
      <c r="B34" s="126" t="s">
        <v>274</v>
      </c>
      <c r="C34" s="125">
        <f>VLOOKUP(GroupVertices[[#This Row],[Vertex]],Vertices[],MATCH("ID",Vertices[[#Headers],[Vertex]:[Withheld]],0),FALSE)</f>
        <v>31</v>
      </c>
    </row>
    <row r="35" spans="1:3" ht="15">
      <c r="A35" s="124" t="s">
        <v>1251</v>
      </c>
      <c r="B35" s="126" t="s">
        <v>263</v>
      </c>
      <c r="C35" s="125">
        <f>VLOOKUP(GroupVertices[[#This Row],[Vertex]],Vertices[],MATCH("ID",Vertices[[#Headers],[Vertex]:[Withheld]],0),FALSE)</f>
        <v>30</v>
      </c>
    </row>
    <row r="36" spans="1:3" ht="15">
      <c r="A36" s="124" t="s">
        <v>1258</v>
      </c>
      <c r="B36" s="126" t="s">
        <v>199</v>
      </c>
      <c r="C36" s="125">
        <f>VLOOKUP(GroupVertices[[#This Row],[Vertex]],Vertices[],MATCH("ID",Vertices[[#Headers],[Vertex]:[Withheld]],0),FALSE)</f>
        <v>17</v>
      </c>
    </row>
    <row r="37" spans="1:3" ht="15">
      <c r="A37" s="124" t="s">
        <v>1258</v>
      </c>
      <c r="B37" s="126" t="s">
        <v>223</v>
      </c>
      <c r="C37" s="125">
        <f>VLOOKUP(GroupVertices[[#This Row],[Vertex]],Vertices[],MATCH("ID",Vertices[[#Headers],[Vertex]:[Withheld]],0),FALSE)</f>
        <v>22</v>
      </c>
    </row>
    <row r="38" spans="1:3" ht="15">
      <c r="A38" s="124" t="s">
        <v>1258</v>
      </c>
      <c r="B38" s="126" t="s">
        <v>215</v>
      </c>
      <c r="C38" s="125">
        <f>VLOOKUP(GroupVertices[[#This Row],[Vertex]],Vertices[],MATCH("ID",Vertices[[#Headers],[Vertex]:[Withheld]],0),FALSE)</f>
        <v>21</v>
      </c>
    </row>
    <row r="39" spans="1:3" ht="15">
      <c r="A39" s="124" t="s">
        <v>1258</v>
      </c>
      <c r="B39" s="126" t="s">
        <v>209</v>
      </c>
      <c r="C39" s="125">
        <f>VLOOKUP(GroupVertices[[#This Row],[Vertex]],Vertices[],MATCH("ID",Vertices[[#Headers],[Vertex]:[Withheld]],0),FALSE)</f>
        <v>20</v>
      </c>
    </row>
    <row r="40" spans="1:3" ht="15">
      <c r="A40" s="124" t="s">
        <v>1258</v>
      </c>
      <c r="B40" s="126" t="s">
        <v>208</v>
      </c>
      <c r="C40" s="125">
        <f>VLOOKUP(GroupVertices[[#This Row],[Vertex]],Vertices[],MATCH("ID",Vertices[[#Headers],[Vertex]:[Withheld]],0),FALSE)</f>
        <v>19</v>
      </c>
    </row>
    <row r="41" spans="1:3" ht="15">
      <c r="A41" s="124" t="s">
        <v>1258</v>
      </c>
      <c r="B41" s="126" t="s">
        <v>200</v>
      </c>
      <c r="C41" s="125">
        <f>VLOOKUP(GroupVertices[[#This Row],[Vertex]],Vertices[],MATCH("ID",Vertices[[#Headers],[Vertex]:[Withheld]],0),FALSE)</f>
        <v>18</v>
      </c>
    </row>
    <row r="42" spans="1:3" ht="15">
      <c r="A42" s="124" t="s">
        <v>1263</v>
      </c>
      <c r="B42" s="126" t="s">
        <v>162</v>
      </c>
      <c r="C42" s="125">
        <f>VLOOKUP(GroupVertices[[#This Row],[Vertex]],Vertices[],MATCH("ID",Vertices[[#Headers],[Vertex]:[Withheld]],0),FALSE)</f>
        <v>7</v>
      </c>
    </row>
    <row r="43" spans="1:3" ht="15">
      <c r="A43" s="124" t="s">
        <v>1263</v>
      </c>
      <c r="B43" s="126" t="s">
        <v>182</v>
      </c>
      <c r="C43" s="125">
        <f>VLOOKUP(GroupVertices[[#This Row],[Vertex]],Vertices[],MATCH("ID",Vertices[[#Headers],[Vertex]:[Withheld]],0),FALSE)</f>
        <v>11</v>
      </c>
    </row>
    <row r="44" spans="1:3" ht="15">
      <c r="A44" s="124" t="s">
        <v>1263</v>
      </c>
      <c r="B44" s="126" t="s">
        <v>181</v>
      </c>
      <c r="C44" s="125">
        <f>VLOOKUP(GroupVertices[[#This Row],[Vertex]],Vertices[],MATCH("ID",Vertices[[#Headers],[Vertex]:[Withheld]],0),FALSE)</f>
        <v>10</v>
      </c>
    </row>
    <row r="45" spans="1:3" ht="15">
      <c r="A45" s="124" t="s">
        <v>1263</v>
      </c>
      <c r="B45" s="126" t="s">
        <v>179</v>
      </c>
      <c r="C45" s="125">
        <f>VLOOKUP(GroupVertices[[#This Row],[Vertex]],Vertices[],MATCH("ID",Vertices[[#Headers],[Vertex]:[Withheld]],0),FALSE)</f>
        <v>9</v>
      </c>
    </row>
    <row r="46" spans="1:3" ht="15">
      <c r="A46" s="124" t="s">
        <v>1263</v>
      </c>
      <c r="B46" s="126" t="s">
        <v>163</v>
      </c>
      <c r="C46" s="125">
        <f>VLOOKUP(GroupVertices[[#This Row],[Vertex]],Vertices[],MATCH("ID",Vertices[[#Headers],[Vertex]:[Withheld]],0),FALSE)</f>
        <v>8</v>
      </c>
    </row>
    <row r="47" spans="1:3" ht="15">
      <c r="A47" s="124" t="s">
        <v>1271</v>
      </c>
      <c r="B47" s="126" t="s">
        <v>367</v>
      </c>
      <c r="C47" s="125">
        <f>VLOOKUP(GroupVertices[[#This Row],[Vertex]],Vertices[],MATCH("ID",Vertices[[#Headers],[Vertex]:[Withheld]],0),FALSE)</f>
        <v>43</v>
      </c>
    </row>
    <row r="48" spans="1:3" ht="15">
      <c r="A48" s="124" t="s">
        <v>1271</v>
      </c>
      <c r="B48" s="126" t="s">
        <v>349</v>
      </c>
      <c r="C48" s="125">
        <f>VLOOKUP(GroupVertices[[#This Row],[Vertex]],Vertices[],MATCH("ID",Vertices[[#Headers],[Vertex]:[Withheld]],0),FALSE)</f>
        <v>41</v>
      </c>
    </row>
    <row r="49" spans="1:3" ht="15">
      <c r="A49" s="124" t="s">
        <v>1271</v>
      </c>
      <c r="B49" s="126" t="s">
        <v>354</v>
      </c>
      <c r="C49" s="125">
        <f>VLOOKUP(GroupVertices[[#This Row],[Vertex]],Vertices[],MATCH("ID",Vertices[[#Headers],[Vertex]:[Withheld]],0),FALSE)</f>
        <v>42</v>
      </c>
    </row>
    <row r="50" spans="1:3" ht="15">
      <c r="A50" s="124" t="s">
        <v>1271</v>
      </c>
      <c r="B50" s="126" t="s">
        <v>340</v>
      </c>
      <c r="C50" s="125">
        <f>VLOOKUP(GroupVertices[[#This Row],[Vertex]],Vertices[],MATCH("ID",Vertices[[#Headers],[Vertex]:[Withheld]],0),FALSE)</f>
        <v>40</v>
      </c>
    </row>
    <row r="51" spans="1:3" ht="15">
      <c r="A51" s="124" t="s">
        <v>1278</v>
      </c>
      <c r="B51" s="126" t="s">
        <v>595</v>
      </c>
      <c r="C51" s="125">
        <f>VLOOKUP(GroupVertices[[#This Row],[Vertex]],Vertices[],MATCH("ID",Vertices[[#Headers],[Vertex]:[Withheld]],0),FALSE)</f>
        <v>62</v>
      </c>
    </row>
    <row r="52" spans="1:3" ht="15">
      <c r="A52" s="124" t="s">
        <v>1278</v>
      </c>
      <c r="B52" s="126" t="s">
        <v>184</v>
      </c>
      <c r="C52" s="125">
        <f>VLOOKUP(GroupVertices[[#This Row],[Vertex]],Vertices[],MATCH("ID",Vertices[[#Headers],[Vertex]:[Withheld]],0),FALSE)</f>
        <v>13</v>
      </c>
    </row>
    <row r="53" spans="1:3" ht="15">
      <c r="A53" s="124" t="s">
        <v>1278</v>
      </c>
      <c r="B53" s="126" t="s">
        <v>185</v>
      </c>
      <c r="C53" s="125">
        <f>VLOOKUP(GroupVertices[[#This Row],[Vertex]],Vertices[],MATCH("ID",Vertices[[#Headers],[Vertex]:[Withheld]],0),FALSE)</f>
        <v>14</v>
      </c>
    </row>
    <row r="54" spans="1:3" ht="15">
      <c r="A54" s="124" t="s">
        <v>1283</v>
      </c>
      <c r="B54" s="126" t="s">
        <v>330</v>
      </c>
      <c r="C54" s="125">
        <f>VLOOKUP(GroupVertices[[#This Row],[Vertex]],Vertices[],MATCH("ID",Vertices[[#Headers],[Vertex]:[Withheld]],0),FALSE)</f>
        <v>37</v>
      </c>
    </row>
    <row r="55" spans="1:3" ht="15">
      <c r="A55" s="124" t="s">
        <v>1283</v>
      </c>
      <c r="B55" s="126" t="s">
        <v>339</v>
      </c>
      <c r="C55" s="125">
        <f>VLOOKUP(GroupVertices[[#This Row],[Vertex]],Vertices[],MATCH("ID",Vertices[[#Headers],[Vertex]:[Withheld]],0),FALSE)</f>
        <v>39</v>
      </c>
    </row>
    <row r="56" spans="1:3" ht="15">
      <c r="A56" s="124" t="s">
        <v>1283</v>
      </c>
      <c r="B56" s="126" t="s">
        <v>331</v>
      </c>
      <c r="C56" s="125">
        <f>VLOOKUP(GroupVertices[[#This Row],[Vertex]],Vertices[],MATCH("ID",Vertices[[#Headers],[Vertex]:[Withheld]],0),FALSE)</f>
        <v>38</v>
      </c>
    </row>
    <row r="57" spans="1:3" ht="15">
      <c r="A57" s="124" t="s">
        <v>1288</v>
      </c>
      <c r="B57" s="126" t="s">
        <v>233</v>
      </c>
      <c r="C57" s="125">
        <f>VLOOKUP(GroupVertices[[#This Row],[Vertex]],Vertices[],MATCH("ID",Vertices[[#Headers],[Vertex]:[Withheld]],0),FALSE)</f>
        <v>24</v>
      </c>
    </row>
    <row r="58" spans="1:3" ht="15">
      <c r="A58" s="124" t="s">
        <v>1288</v>
      </c>
      <c r="B58" s="126" t="s">
        <v>234</v>
      </c>
      <c r="C58" s="125">
        <f>VLOOKUP(GroupVertices[[#This Row],[Vertex]],Vertices[],MATCH("ID",Vertices[[#Headers],[Vertex]:[Withheld]],0),FALSE)</f>
        <v>25</v>
      </c>
    </row>
    <row r="59" spans="1:3" ht="15">
      <c r="A59" s="124" t="s">
        <v>1291</v>
      </c>
      <c r="B59" s="126" t="s">
        <v>189</v>
      </c>
      <c r="C59" s="125">
        <f>VLOOKUP(GroupVertices[[#This Row],[Vertex]],Vertices[],MATCH("ID",Vertices[[#Headers],[Vertex]:[Withheld]],0),FALSE)</f>
        <v>15</v>
      </c>
    </row>
    <row r="60" spans="1:3" ht="15">
      <c r="A60" s="124" t="s">
        <v>1291</v>
      </c>
      <c r="B60" s="126" t="s">
        <v>190</v>
      </c>
      <c r="C60" s="125">
        <f>VLOOKUP(GroupVertices[[#This Row],[Vertex]],Vertices[],MATCH("ID",Vertices[[#Headers],[Vertex]:[Withheld]],0),FALSE)</f>
        <v>16</v>
      </c>
    </row>
    <row r="61" spans="1:3" ht="15">
      <c r="A61" s="124" t="s">
        <v>1294</v>
      </c>
      <c r="B61" s="126" t="s">
        <v>151</v>
      </c>
      <c r="C61" s="125">
        <f>VLOOKUP(GroupVertices[[#This Row],[Vertex]],Vertices[],MATCH("ID",Vertices[[#Headers],[Vertex]:[Withheld]],0),FALSE)</f>
        <v>6</v>
      </c>
    </row>
    <row r="62" spans="1:3" ht="15">
      <c r="A62" s="124" t="s">
        <v>1294</v>
      </c>
      <c r="B62" s="126" t="s">
        <v>150</v>
      </c>
      <c r="C62" s="125">
        <f>VLOOKUP(GroupVertices[[#This Row],[Vertex]],Vertices[],MATCH("ID",Vertices[[#Headers],[Vertex]:[Withheld]],0),FALSE)</f>
        <v>5</v>
      </c>
    </row>
    <row r="63" spans="1:3" ht="15">
      <c r="A63" s="124" t="s">
        <v>1298</v>
      </c>
      <c r="B63" s="126" t="s">
        <v>133</v>
      </c>
      <c r="C63" s="125">
        <f>VLOOKUP(GroupVertices[[#This Row],[Vertex]],Vertices[],MATCH("ID",Vertices[[#Headers],[Vertex]:[Withheld]],0),FALSE)</f>
        <v>3</v>
      </c>
    </row>
    <row r="64" spans="1:3" ht="15">
      <c r="A64" s="124" t="s">
        <v>1298</v>
      </c>
      <c r="B64" s="126" t="s">
        <v>134</v>
      </c>
      <c r="C64" s="125">
        <f>VLOOKUP(GroupVertices[[#This Row],[Vertex]],Vertices[],MATCH("ID",Vertices[[#Headers],[Vertex]:[Withheld]],0),FALSE)</f>
        <v>4</v>
      </c>
    </row>
    <row r="65" spans="1:3" ht="15">
      <c r="A65" s="124" t="s">
        <v>1303</v>
      </c>
      <c r="B65" s="126" t="s">
        <v>224</v>
      </c>
      <c r="C65" s="125">
        <f>VLOOKUP(GroupVertices[[#This Row],[Vertex]],Vertices[],MATCH("ID",Vertices[[#Headers],[Vertex]:[Withheld]],0),FALSE)</f>
        <v>23</v>
      </c>
    </row>
    <row r="66" spans="1:3" ht="15">
      <c r="A66" s="124" t="s">
        <v>1303</v>
      </c>
      <c r="B66" s="126" t="s">
        <v>256</v>
      </c>
      <c r="C66" s="125">
        <f>VLOOKUP(GroupVertices[[#This Row],[Vertex]],Vertices[],MATCH("ID",Vertices[[#Headers],[Vertex]:[Withheld]],0),FALSE)</f>
        <v>28</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1385</v>
      </c>
      <c r="B1" s="4" t="s">
        <v>1386</v>
      </c>
      <c r="C1" s="3" t="s">
        <v>1387</v>
      </c>
      <c r="D1" s="3" t="s">
        <v>1388</v>
      </c>
      <c r="E1" s="3" t="s">
        <v>1389</v>
      </c>
      <c r="F1" s="4" t="s">
        <v>1390</v>
      </c>
      <c r="G1" s="3" t="s">
        <v>1391</v>
      </c>
      <c r="H1" s="3" t="s">
        <v>1392</v>
      </c>
      <c r="J1" s="3" t="s">
        <v>1393</v>
      </c>
      <c r="K1" s="3" t="s">
        <v>1308</v>
      </c>
      <c r="M1" s="3" t="s">
        <v>1394</v>
      </c>
      <c r="N1" s="3" t="s">
        <v>1395</v>
      </c>
      <c r="O1" s="3" t="s">
        <v>1396</v>
      </c>
      <c r="P1" s="3" t="s">
        <v>1397</v>
      </c>
    </row>
    <row r="2" spans="1:11" ht="15">
      <c r="A2" s="1" t="s">
        <v>1398</v>
      </c>
      <c r="B2" s="1" t="s">
        <v>136</v>
      </c>
      <c r="C2" t="s">
        <v>1399</v>
      </c>
      <c r="D2" t="s">
        <v>1400</v>
      </c>
      <c r="E2" t="s">
        <v>1400</v>
      </c>
      <c r="F2" s="1" t="s">
        <v>1398</v>
      </c>
      <c r="G2" t="s">
        <v>137</v>
      </c>
      <c r="H2" t="s">
        <v>1401</v>
      </c>
      <c r="J2" t="s">
        <v>1402</v>
      </c>
      <c r="K2">
        <v>108</v>
      </c>
    </row>
    <row r="3" spans="1:11" ht="15">
      <c r="A3" s="1" t="s">
        <v>1403</v>
      </c>
      <c r="B3" s="1" t="s">
        <v>1404</v>
      </c>
      <c r="C3" t="s">
        <v>1403</v>
      </c>
      <c r="D3" t="s">
        <v>1230</v>
      </c>
      <c r="E3" t="s">
        <v>1230</v>
      </c>
      <c r="F3" s="1" t="s">
        <v>1403</v>
      </c>
      <c r="G3" t="s">
        <v>588</v>
      </c>
      <c r="H3" t="s">
        <v>1405</v>
      </c>
      <c r="J3" t="s">
        <v>1406</v>
      </c>
      <c r="K3" t="s">
        <v>1329</v>
      </c>
    </row>
    <row r="4" spans="1:10" ht="15">
      <c r="A4" s="1" t="s">
        <v>1407</v>
      </c>
      <c r="B4" s="1" t="s">
        <v>1408</v>
      </c>
      <c r="C4" t="s">
        <v>1407</v>
      </c>
      <c r="D4" t="s">
        <v>1409</v>
      </c>
      <c r="E4" t="s">
        <v>1409</v>
      </c>
      <c r="F4" s="1" t="s">
        <v>1407</v>
      </c>
      <c r="G4">
        <v>0</v>
      </c>
      <c r="H4" t="s">
        <v>1410</v>
      </c>
      <c r="J4" t="s">
        <v>1411</v>
      </c>
    </row>
    <row r="5" spans="1:11" ht="409.5">
      <c r="A5">
        <v>1</v>
      </c>
      <c r="B5" s="1" t="s">
        <v>1412</v>
      </c>
      <c r="C5" t="s">
        <v>1398</v>
      </c>
      <c r="D5" t="s">
        <v>1413</v>
      </c>
      <c r="E5" t="s">
        <v>1413</v>
      </c>
      <c r="F5">
        <v>1</v>
      </c>
      <c r="G5">
        <v>1</v>
      </c>
      <c r="H5" t="s">
        <v>1414</v>
      </c>
      <c r="J5" t="s">
        <v>1415</v>
      </c>
      <c r="K5" s="7" t="s">
        <v>1416</v>
      </c>
    </row>
    <row r="6" spans="1:18" ht="409.5">
      <c r="A6">
        <v>0</v>
      </c>
      <c r="B6" s="1" t="s">
        <v>180</v>
      </c>
      <c r="C6">
        <v>1</v>
      </c>
      <c r="D6" t="s">
        <v>1299</v>
      </c>
      <c r="E6" t="s">
        <v>1299</v>
      </c>
      <c r="F6">
        <v>0</v>
      </c>
      <c r="H6" t="s">
        <v>1417</v>
      </c>
      <c r="J6" t="s">
        <v>1418</v>
      </c>
      <c r="K6" s="7" t="s">
        <v>1419</v>
      </c>
      <c r="R6" t="s">
        <v>1420</v>
      </c>
    </row>
    <row r="7" spans="1:11" ht="409.5">
      <c r="A7">
        <v>2</v>
      </c>
      <c r="B7">
        <v>1</v>
      </c>
      <c r="C7">
        <v>0</v>
      </c>
      <c r="D7" t="s">
        <v>1421</v>
      </c>
      <c r="E7" t="s">
        <v>1421</v>
      </c>
      <c r="F7">
        <v>2</v>
      </c>
      <c r="H7" t="s">
        <v>1422</v>
      </c>
      <c r="J7" t="s">
        <v>1423</v>
      </c>
      <c r="K7" s="7" t="s">
        <v>2213</v>
      </c>
    </row>
    <row r="8" spans="1:11" ht="409.5">
      <c r="A8"/>
      <c r="B8">
        <v>2</v>
      </c>
      <c r="C8">
        <v>2</v>
      </c>
      <c r="D8" t="s">
        <v>1424</v>
      </c>
      <c r="E8" t="s">
        <v>1424</v>
      </c>
      <c r="H8" t="s">
        <v>1425</v>
      </c>
      <c r="J8" t="s">
        <v>1426</v>
      </c>
      <c r="K8" s="7" t="s">
        <v>2214</v>
      </c>
    </row>
    <row r="9" spans="1:11" ht="409.5">
      <c r="A9"/>
      <c r="B9">
        <v>3</v>
      </c>
      <c r="C9">
        <v>4</v>
      </c>
      <c r="D9" t="s">
        <v>1427</v>
      </c>
      <c r="E9" t="s">
        <v>1427</v>
      </c>
      <c r="H9" t="s">
        <v>1428</v>
      </c>
      <c r="J9" t="s">
        <v>1429</v>
      </c>
      <c r="K9" s="7" t="s">
        <v>2215</v>
      </c>
    </row>
    <row r="10" spans="1:11" ht="409.5">
      <c r="A10"/>
      <c r="B10">
        <v>4</v>
      </c>
      <c r="D10" t="s">
        <v>1430</v>
      </c>
      <c r="E10" t="s">
        <v>1430</v>
      </c>
      <c r="H10" t="s">
        <v>1431</v>
      </c>
      <c r="J10" t="s">
        <v>1432</v>
      </c>
      <c r="K10" s="76" t="s">
        <v>2216</v>
      </c>
    </row>
    <row r="11" spans="1:11" ht="409.5">
      <c r="A11"/>
      <c r="B11">
        <v>5</v>
      </c>
      <c r="D11" t="s">
        <v>12</v>
      </c>
      <c r="E11">
        <v>1</v>
      </c>
      <c r="H11" t="s">
        <v>1433</v>
      </c>
      <c r="J11" t="s">
        <v>1434</v>
      </c>
      <c r="K11" s="7" t="s">
        <v>2217</v>
      </c>
    </row>
    <row r="12" spans="1:11" ht="15">
      <c r="A12"/>
      <c r="B12"/>
      <c r="D12" t="s">
        <v>785</v>
      </c>
      <c r="E12">
        <v>2</v>
      </c>
      <c r="H12">
        <v>0</v>
      </c>
      <c r="J12" t="s">
        <v>1435</v>
      </c>
      <c r="K12">
        <v>7</v>
      </c>
    </row>
    <row r="13" spans="1:11" ht="15">
      <c r="A13"/>
      <c r="B13"/>
      <c r="D13">
        <v>1</v>
      </c>
      <c r="E13">
        <v>3</v>
      </c>
      <c r="H13">
        <v>1</v>
      </c>
      <c r="J13" t="s">
        <v>1436</v>
      </c>
      <c r="K13" t="s">
        <v>2253</v>
      </c>
    </row>
    <row r="14" spans="4:11" ht="409.5">
      <c r="D14">
        <v>2</v>
      </c>
      <c r="E14">
        <v>4</v>
      </c>
      <c r="H14">
        <v>2</v>
      </c>
      <c r="J14" t="s">
        <v>1437</v>
      </c>
      <c r="K14" s="7" t="s">
        <v>1438</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tabSelected="1" workbookViewId="0" topLeftCell="A40">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1307</v>
      </c>
      <c r="B1" s="7" t="s">
        <v>1308</v>
      </c>
      <c r="D1" t="s">
        <v>1309</v>
      </c>
      <c r="E1" t="s">
        <v>1310</v>
      </c>
      <c r="F1" s="31" t="s">
        <v>1311</v>
      </c>
      <c r="G1" s="32" t="s">
        <v>1312</v>
      </c>
      <c r="H1" s="31" t="s">
        <v>1313</v>
      </c>
      <c r="I1" s="32" t="s">
        <v>1314</v>
      </c>
      <c r="J1" s="31" t="s">
        <v>1315</v>
      </c>
      <c r="K1" s="32" t="s">
        <v>1316</v>
      </c>
      <c r="L1" s="31" t="s">
        <v>1317</v>
      </c>
      <c r="M1" s="32" t="s">
        <v>1318</v>
      </c>
      <c r="N1" s="31" t="s">
        <v>1319</v>
      </c>
      <c r="O1" s="32" t="s">
        <v>1320</v>
      </c>
      <c r="P1" s="32" t="s">
        <v>1321</v>
      </c>
      <c r="Q1" s="32" t="s">
        <v>1322</v>
      </c>
      <c r="R1" s="31" t="s">
        <v>1323</v>
      </c>
      <c r="S1" s="31" t="s">
        <v>1324</v>
      </c>
      <c r="T1" s="31" t="s">
        <v>1325</v>
      </c>
      <c r="U1" s="32" t="s">
        <v>1326</v>
      </c>
      <c r="W1" t="s">
        <v>1327</v>
      </c>
      <c r="X1" t="s">
        <v>1308</v>
      </c>
    </row>
    <row r="2" spans="1:24" ht="15.75" thickTop="1">
      <c r="A2" s="30" t="s">
        <v>1328</v>
      </c>
      <c r="B2" s="30" t="s">
        <v>1329</v>
      </c>
      <c r="D2" s="28">
        <f>MIN(#REF!)</f>
        <v>0</v>
      </c>
      <c r="E2" s="107">
        <f>COUNTIF(#REF!,"&gt;= "&amp;D2)-COUNTIF(#REF!,"&gt;="&amp;D3)</f>
        <v>0</v>
      </c>
      <c r="F2" s="108">
        <f>MIN(#REF!)</f>
        <v>0</v>
      </c>
      <c r="G2" s="109">
        <f>COUNTIF(#REF!,"&gt;= "&amp;F2)-COUNTIF(#REF!,"&gt;="&amp;F3)</f>
        <v>0</v>
      </c>
      <c r="H2" s="108">
        <f>MIN(#REF!)</f>
        <v>0</v>
      </c>
      <c r="I2" s="109">
        <f>COUNTIF(#REF!,"&gt;= "&amp;H2)-COUNTIF(#REF!,"&gt;="&amp;H3)</f>
        <v>0</v>
      </c>
      <c r="J2" s="108">
        <f>MIN(#REF!)</f>
        <v>0</v>
      </c>
      <c r="K2" s="109">
        <f>COUNTIF(#REF!,"&gt;= "&amp;J2)-COUNTIF(#REF!,"&gt;="&amp;J3)</f>
        <v>0</v>
      </c>
      <c r="L2" s="108">
        <f>MIN(#REF!)</f>
        <v>0</v>
      </c>
      <c r="M2" s="109">
        <f>COUNTIF(#REF!,"&gt;= "&amp;L2)-COUNTIF(#REF!,"&gt;="&amp;L3)</f>
        <v>0</v>
      </c>
      <c r="N2" s="108">
        <f>MIN(#REF!)</f>
        <v>0</v>
      </c>
      <c r="O2" s="109">
        <f>COUNTIF(#REF!,"&gt;= "&amp;N2)-COUNTIF(#REF!,"&gt;="&amp;N3)</f>
        <v>0</v>
      </c>
      <c r="P2" s="108">
        <f>MIN(#REF!)</f>
        <v>0</v>
      </c>
      <c r="Q2" s="109">
        <f>COUNTIF(#REF!,"&gt;= "&amp;P2)-COUNTIF(#REF!,"&gt;="&amp;P3)</f>
        <v>0</v>
      </c>
      <c r="R2" s="108">
        <f>MIN(#REF!)</f>
        <v>0</v>
      </c>
      <c r="S2" s="110">
        <f>COUNTIF(#REF!,"&gt;= "&amp;R2)-COUNTIF(#REF!,"&gt;="&amp;R3)</f>
        <v>0</v>
      </c>
      <c r="T2" s="108" t="e">
        <f ca="1">MIN(INDIRECT(DynamicFilterSourceColumnRange))</f>
        <v>#REF!</v>
      </c>
      <c r="U2" s="109" t="e">
        <f aca="true" t="shared" si="0" ref="U2:U25">COUNTIF(INDIRECT(DynamicFilterSourceColumnRange),"&gt;= "&amp;T2)-COUNTIF(INDIRECT(DynamicFilterSourceColumnRange),"&gt;="&amp;T3)</f>
        <v>#REF!</v>
      </c>
      <c r="W2" t="s">
        <v>1330</v>
      </c>
      <c r="X2">
        <f>ROWS(HistogramBins[Degree Bin])-1</f>
        <v>34</v>
      </c>
    </row>
    <row r="3" spans="1:24" ht="15">
      <c r="A3" s="61"/>
      <c r="B3" s="61"/>
      <c r="D3" s="111">
        <f aca="true" t="shared" si="1" ref="D3:D35">D2+($D$36-$D$2)/BinDivisor</f>
        <v>0</v>
      </c>
      <c r="E3" s="107">
        <f>COUNTIF(#REF!,"&gt;= "&amp;D3)-COUNTIF(#REF!,"&gt;="&amp;D4)</f>
        <v>0</v>
      </c>
      <c r="F3" s="112">
        <f aca="true" t="shared" si="2" ref="F3:F35">F2+($F$36-$F$2)/BinDivisor</f>
        <v>0</v>
      </c>
      <c r="G3" s="113">
        <f>COUNTIF(#REF!,"&gt;= "&amp;F3)-COUNTIF(#REF!,"&gt;="&amp;F4)</f>
        <v>0</v>
      </c>
      <c r="H3" s="112">
        <f aca="true" t="shared" si="3" ref="H3:H35">H2+($H$36-$H$2)/BinDivisor</f>
        <v>0</v>
      </c>
      <c r="I3" s="113">
        <f>COUNTIF(#REF!,"&gt;= "&amp;H3)-COUNTIF(#REF!,"&gt;="&amp;H4)</f>
        <v>0</v>
      </c>
      <c r="J3" s="112">
        <f aca="true" t="shared" si="4" ref="J3:J35">J2+($J$36-$J$2)/BinDivisor</f>
        <v>0</v>
      </c>
      <c r="K3" s="113">
        <f>COUNTIF(#REF!,"&gt;= "&amp;J3)-COUNTIF(#REF!,"&gt;="&amp;J4)</f>
        <v>0</v>
      </c>
      <c r="L3" s="112">
        <f aca="true" t="shared" si="5" ref="L3:L35">L2+($L$36-$L$2)/BinDivisor</f>
        <v>0</v>
      </c>
      <c r="M3" s="113">
        <f>COUNTIF(#REF!,"&gt;= "&amp;L3)-COUNTIF(#REF!,"&gt;="&amp;L4)</f>
        <v>0</v>
      </c>
      <c r="N3" s="112">
        <f aca="true" t="shared" si="6" ref="N3:N35">N2+($N$36-$N$2)/BinDivisor</f>
        <v>0</v>
      </c>
      <c r="O3" s="113">
        <f>COUNTIF(#REF!,"&gt;= "&amp;N3)-COUNTIF(#REF!,"&gt;="&amp;N4)</f>
        <v>0</v>
      </c>
      <c r="P3" s="112">
        <f aca="true" t="shared" si="7" ref="P3:P35">P2+($P$36-$P$2)/BinDivisor</f>
        <v>0</v>
      </c>
      <c r="Q3" s="113">
        <f>COUNTIF(#REF!,"&gt;= "&amp;P3)-COUNTIF(#REF!,"&gt;="&amp;P4)</f>
        <v>0</v>
      </c>
      <c r="R3" s="112">
        <f aca="true" t="shared" si="8" ref="R3:R35">R2+($R$36-$R$2)/BinDivisor</f>
        <v>0</v>
      </c>
      <c r="S3" s="114">
        <f>COUNTIF(#REF!,"&gt;= "&amp;R3)-COUNTIF(#REF!,"&gt;="&amp;R4)</f>
        <v>0</v>
      </c>
      <c r="T3" s="112" t="e">
        <f aca="true" t="shared" si="9" ref="T3:T35">T2+($T$36-$T$2)/BinDivisor</f>
        <v>#REF!</v>
      </c>
      <c r="U3" s="113" t="e">
        <f ca="1" t="shared" si="0"/>
        <v>#REF!</v>
      </c>
      <c r="W3" t="s">
        <v>1331</v>
      </c>
      <c r="X3" t="s">
        <v>1332</v>
      </c>
    </row>
    <row r="4" spans="1:24" ht="15">
      <c r="A4" s="30" t="s">
        <v>1206</v>
      </c>
      <c r="B4" s="30">
        <v>65</v>
      </c>
      <c r="D4" s="111">
        <f t="shared" si="1"/>
        <v>0</v>
      </c>
      <c r="E4" s="107">
        <f>COUNTIF(#REF!,"&gt;= "&amp;D4)-COUNTIF(#REF!,"&gt;="&amp;D5)</f>
        <v>0</v>
      </c>
      <c r="F4" s="108">
        <f t="shared" si="2"/>
        <v>0</v>
      </c>
      <c r="G4" s="109">
        <f>COUNTIF(#REF!,"&gt;= "&amp;F4)-COUNTIF(#REF!,"&gt;="&amp;F5)</f>
        <v>0</v>
      </c>
      <c r="H4" s="108">
        <f t="shared" si="3"/>
        <v>0</v>
      </c>
      <c r="I4" s="109">
        <f>COUNTIF(#REF!,"&gt;= "&amp;H4)-COUNTIF(#REF!,"&gt;="&amp;H5)</f>
        <v>0</v>
      </c>
      <c r="J4" s="108">
        <f t="shared" si="4"/>
        <v>0</v>
      </c>
      <c r="K4" s="109">
        <f>COUNTIF(#REF!,"&gt;= "&amp;J4)-COUNTIF(#REF!,"&gt;="&amp;J5)</f>
        <v>0</v>
      </c>
      <c r="L4" s="108">
        <f t="shared" si="5"/>
        <v>0</v>
      </c>
      <c r="M4" s="109">
        <f>COUNTIF(#REF!,"&gt;= "&amp;L4)-COUNTIF(#REF!,"&gt;="&amp;L5)</f>
        <v>0</v>
      </c>
      <c r="N4" s="108">
        <f t="shared" si="6"/>
        <v>0</v>
      </c>
      <c r="O4" s="109">
        <f>COUNTIF(#REF!,"&gt;= "&amp;N4)-COUNTIF(#REF!,"&gt;="&amp;N5)</f>
        <v>0</v>
      </c>
      <c r="P4" s="108">
        <f t="shared" si="7"/>
        <v>0</v>
      </c>
      <c r="Q4" s="109">
        <f>COUNTIF(#REF!,"&gt;= "&amp;P4)-COUNTIF(#REF!,"&gt;="&amp;P5)</f>
        <v>0</v>
      </c>
      <c r="R4" s="108">
        <f t="shared" si="8"/>
        <v>0</v>
      </c>
      <c r="S4" s="110">
        <f>COUNTIF(#REF!,"&gt;= "&amp;R4)-COUNTIF(#REF!,"&gt;="&amp;R5)</f>
        <v>0</v>
      </c>
      <c r="T4" s="108" t="e">
        <f ca="1" t="shared" si="9"/>
        <v>#REF!</v>
      </c>
      <c r="U4" s="109" t="e">
        <f ca="1" t="shared" si="0"/>
        <v>#REF!</v>
      </c>
      <c r="W4" s="115" t="s">
        <v>1333</v>
      </c>
      <c r="X4" s="115" t="s">
        <v>1334</v>
      </c>
    </row>
    <row r="5" spans="1:21" ht="15">
      <c r="A5" s="61"/>
      <c r="B5" s="61"/>
      <c r="D5" s="111">
        <f t="shared" si="1"/>
        <v>0</v>
      </c>
      <c r="E5" s="107">
        <f>COUNTIF(#REF!,"&gt;= "&amp;D5)-COUNTIF(#REF!,"&gt;="&amp;D6)</f>
        <v>0</v>
      </c>
      <c r="F5" s="112">
        <f t="shared" si="2"/>
        <v>0</v>
      </c>
      <c r="G5" s="113">
        <f>COUNTIF(#REF!,"&gt;= "&amp;F5)-COUNTIF(#REF!,"&gt;="&amp;F6)</f>
        <v>0</v>
      </c>
      <c r="H5" s="112">
        <f t="shared" si="3"/>
        <v>0</v>
      </c>
      <c r="I5" s="113">
        <f>COUNTIF(#REF!,"&gt;= "&amp;H5)-COUNTIF(#REF!,"&gt;="&amp;H6)</f>
        <v>0</v>
      </c>
      <c r="J5" s="112">
        <f t="shared" si="4"/>
        <v>0</v>
      </c>
      <c r="K5" s="113">
        <f>COUNTIF(#REF!,"&gt;= "&amp;J5)-COUNTIF(#REF!,"&gt;="&amp;J6)</f>
        <v>0</v>
      </c>
      <c r="L5" s="112">
        <f t="shared" si="5"/>
        <v>0</v>
      </c>
      <c r="M5" s="113">
        <f>COUNTIF(#REF!,"&gt;= "&amp;L5)-COUNTIF(#REF!,"&gt;="&amp;L6)</f>
        <v>0</v>
      </c>
      <c r="N5" s="112">
        <f t="shared" si="6"/>
        <v>0</v>
      </c>
      <c r="O5" s="113">
        <f>COUNTIF(#REF!,"&gt;= "&amp;N5)-COUNTIF(#REF!,"&gt;="&amp;N6)</f>
        <v>0</v>
      </c>
      <c r="P5" s="112">
        <f t="shared" si="7"/>
        <v>0</v>
      </c>
      <c r="Q5" s="113">
        <f>COUNTIF(#REF!,"&gt;= "&amp;P5)-COUNTIF(#REF!,"&gt;="&amp;P6)</f>
        <v>0</v>
      </c>
      <c r="R5" s="112">
        <f t="shared" si="8"/>
        <v>0</v>
      </c>
      <c r="S5" s="114">
        <f>COUNTIF(#REF!,"&gt;= "&amp;R5)-COUNTIF(#REF!,"&gt;="&amp;R6)</f>
        <v>0</v>
      </c>
      <c r="T5" s="112" t="e">
        <f ca="1" t="shared" si="9"/>
        <v>#REF!</v>
      </c>
      <c r="U5" s="113" t="e">
        <f ca="1" t="shared" si="0"/>
        <v>#REF!</v>
      </c>
    </row>
    <row r="6" spans="1:21" ht="15">
      <c r="A6" s="30" t="s">
        <v>1207</v>
      </c>
      <c r="B6" s="30">
        <v>53</v>
      </c>
      <c r="D6" s="111">
        <f t="shared" si="1"/>
        <v>0</v>
      </c>
      <c r="E6" s="107">
        <f>COUNTIF(#REF!,"&gt;= "&amp;D6)-COUNTIF(#REF!,"&gt;="&amp;D7)</f>
        <v>0</v>
      </c>
      <c r="F6" s="108">
        <f t="shared" si="2"/>
        <v>0</v>
      </c>
      <c r="G6" s="109">
        <f>COUNTIF(#REF!,"&gt;= "&amp;F6)-COUNTIF(#REF!,"&gt;="&amp;F7)</f>
        <v>0</v>
      </c>
      <c r="H6" s="108">
        <f t="shared" si="3"/>
        <v>0</v>
      </c>
      <c r="I6" s="109">
        <f>COUNTIF(#REF!,"&gt;= "&amp;H6)-COUNTIF(#REF!,"&gt;="&amp;H7)</f>
        <v>0</v>
      </c>
      <c r="J6" s="108">
        <f t="shared" si="4"/>
        <v>0</v>
      </c>
      <c r="K6" s="109">
        <f>COUNTIF(#REF!,"&gt;= "&amp;J6)-COUNTIF(#REF!,"&gt;="&amp;J7)</f>
        <v>0</v>
      </c>
      <c r="L6" s="108">
        <f t="shared" si="5"/>
        <v>0</v>
      </c>
      <c r="M6" s="109">
        <f>COUNTIF(#REF!,"&gt;= "&amp;L6)-COUNTIF(#REF!,"&gt;="&amp;L7)</f>
        <v>0</v>
      </c>
      <c r="N6" s="108">
        <f t="shared" si="6"/>
        <v>0</v>
      </c>
      <c r="O6" s="109">
        <f>COUNTIF(#REF!,"&gt;= "&amp;N6)-COUNTIF(#REF!,"&gt;="&amp;N7)</f>
        <v>0</v>
      </c>
      <c r="P6" s="108">
        <f t="shared" si="7"/>
        <v>0</v>
      </c>
      <c r="Q6" s="109">
        <f>COUNTIF(#REF!,"&gt;= "&amp;P6)-COUNTIF(#REF!,"&gt;="&amp;P7)</f>
        <v>0</v>
      </c>
      <c r="R6" s="108">
        <f t="shared" si="8"/>
        <v>0</v>
      </c>
      <c r="S6" s="110">
        <f>COUNTIF(#REF!,"&gt;= "&amp;R6)-COUNTIF(#REF!,"&gt;="&amp;R7)</f>
        <v>0</v>
      </c>
      <c r="T6" s="108" t="e">
        <f ca="1" t="shared" si="9"/>
        <v>#REF!</v>
      </c>
      <c r="U6" s="109" t="e">
        <f ca="1" t="shared" si="0"/>
        <v>#REF!</v>
      </c>
    </row>
    <row r="7" spans="1:21" ht="15">
      <c r="A7" s="30" t="s">
        <v>1208</v>
      </c>
      <c r="B7" s="30">
        <v>76</v>
      </c>
      <c r="D7" s="111">
        <f t="shared" si="1"/>
        <v>0</v>
      </c>
      <c r="E7" s="107">
        <f>COUNTIF(#REF!,"&gt;= "&amp;D7)-COUNTIF(#REF!,"&gt;="&amp;D8)</f>
        <v>0</v>
      </c>
      <c r="F7" s="112">
        <f t="shared" si="2"/>
        <v>0</v>
      </c>
      <c r="G7" s="113">
        <f>COUNTIF(#REF!,"&gt;= "&amp;F7)-COUNTIF(#REF!,"&gt;="&amp;F8)</f>
        <v>0</v>
      </c>
      <c r="H7" s="112">
        <f t="shared" si="3"/>
        <v>0</v>
      </c>
      <c r="I7" s="113">
        <f>COUNTIF(#REF!,"&gt;= "&amp;H7)-COUNTIF(#REF!,"&gt;="&amp;H8)</f>
        <v>0</v>
      </c>
      <c r="J7" s="112">
        <f t="shared" si="4"/>
        <v>0</v>
      </c>
      <c r="K7" s="113">
        <f>COUNTIF(#REF!,"&gt;= "&amp;J7)-COUNTIF(#REF!,"&gt;="&amp;J8)</f>
        <v>0</v>
      </c>
      <c r="L7" s="112">
        <f t="shared" si="5"/>
        <v>0</v>
      </c>
      <c r="M7" s="113">
        <f>COUNTIF(#REF!,"&gt;= "&amp;L7)-COUNTIF(#REF!,"&gt;="&amp;L8)</f>
        <v>0</v>
      </c>
      <c r="N7" s="112">
        <f t="shared" si="6"/>
        <v>0</v>
      </c>
      <c r="O7" s="113">
        <f>COUNTIF(#REF!,"&gt;= "&amp;N7)-COUNTIF(#REF!,"&gt;="&amp;N8)</f>
        <v>0</v>
      </c>
      <c r="P7" s="112">
        <f t="shared" si="7"/>
        <v>0</v>
      </c>
      <c r="Q7" s="113">
        <f>COUNTIF(#REF!,"&gt;= "&amp;P7)-COUNTIF(#REF!,"&gt;="&amp;P8)</f>
        <v>0</v>
      </c>
      <c r="R7" s="112">
        <f t="shared" si="8"/>
        <v>0</v>
      </c>
      <c r="S7" s="114">
        <f>COUNTIF(#REF!,"&gt;= "&amp;R7)-COUNTIF(#REF!,"&gt;="&amp;R8)</f>
        <v>0</v>
      </c>
      <c r="T7" s="112" t="e">
        <f ca="1" t="shared" si="9"/>
        <v>#REF!</v>
      </c>
      <c r="U7" s="113" t="e">
        <f ca="1" t="shared" si="0"/>
        <v>#REF!</v>
      </c>
    </row>
    <row r="8" spans="1:21" ht="15">
      <c r="A8" s="30" t="s">
        <v>1209</v>
      </c>
      <c r="B8" s="30">
        <v>129</v>
      </c>
      <c r="D8" s="111">
        <f t="shared" si="1"/>
        <v>0</v>
      </c>
      <c r="E8" s="107">
        <f>COUNTIF(#REF!,"&gt;= "&amp;D8)-COUNTIF(#REF!,"&gt;="&amp;D9)</f>
        <v>0</v>
      </c>
      <c r="F8" s="108">
        <f t="shared" si="2"/>
        <v>0</v>
      </c>
      <c r="G8" s="109">
        <f>COUNTIF(#REF!,"&gt;= "&amp;F8)-COUNTIF(#REF!,"&gt;="&amp;F9)</f>
        <v>0</v>
      </c>
      <c r="H8" s="108">
        <f t="shared" si="3"/>
        <v>0</v>
      </c>
      <c r="I8" s="109">
        <f>COUNTIF(#REF!,"&gt;= "&amp;H8)-COUNTIF(#REF!,"&gt;="&amp;H9)</f>
        <v>0</v>
      </c>
      <c r="J8" s="108">
        <f t="shared" si="4"/>
        <v>0</v>
      </c>
      <c r="K8" s="109">
        <f>COUNTIF(#REF!,"&gt;= "&amp;J8)-COUNTIF(#REF!,"&gt;="&amp;J9)</f>
        <v>0</v>
      </c>
      <c r="L8" s="108">
        <f t="shared" si="5"/>
        <v>0</v>
      </c>
      <c r="M8" s="109">
        <f>COUNTIF(#REF!,"&gt;= "&amp;L8)-COUNTIF(#REF!,"&gt;="&amp;L9)</f>
        <v>0</v>
      </c>
      <c r="N8" s="108">
        <f t="shared" si="6"/>
        <v>0</v>
      </c>
      <c r="O8" s="109">
        <f>COUNTIF(#REF!,"&gt;= "&amp;N8)-COUNTIF(#REF!,"&gt;="&amp;N9)</f>
        <v>0</v>
      </c>
      <c r="P8" s="108">
        <f t="shared" si="7"/>
        <v>0</v>
      </c>
      <c r="Q8" s="109">
        <f>COUNTIF(#REF!,"&gt;= "&amp;P8)-COUNTIF(#REF!,"&gt;="&amp;P9)</f>
        <v>0</v>
      </c>
      <c r="R8" s="108">
        <f t="shared" si="8"/>
        <v>0</v>
      </c>
      <c r="S8" s="110">
        <f>COUNTIF(#REF!,"&gt;= "&amp;R8)-COUNTIF(#REF!,"&gt;="&amp;R9)</f>
        <v>0</v>
      </c>
      <c r="T8" s="108" t="e">
        <f ca="1" t="shared" si="9"/>
        <v>#REF!</v>
      </c>
      <c r="U8" s="109" t="e">
        <f ca="1" t="shared" si="0"/>
        <v>#REF!</v>
      </c>
    </row>
    <row r="9" spans="1:21" ht="15">
      <c r="A9" s="61"/>
      <c r="B9" s="61"/>
      <c r="D9" s="111">
        <f t="shared" si="1"/>
        <v>0</v>
      </c>
      <c r="E9" s="107">
        <f>COUNTIF(#REF!,"&gt;= "&amp;D9)-COUNTIF(#REF!,"&gt;="&amp;D10)</f>
        <v>0</v>
      </c>
      <c r="F9" s="112">
        <f t="shared" si="2"/>
        <v>0</v>
      </c>
      <c r="G9" s="113">
        <f>COUNTIF(#REF!,"&gt;= "&amp;F9)-COUNTIF(#REF!,"&gt;="&amp;F10)</f>
        <v>0</v>
      </c>
      <c r="H9" s="112">
        <f t="shared" si="3"/>
        <v>0</v>
      </c>
      <c r="I9" s="113">
        <f>COUNTIF(#REF!,"&gt;= "&amp;H9)-COUNTIF(#REF!,"&gt;="&amp;H10)</f>
        <v>0</v>
      </c>
      <c r="J9" s="112">
        <f t="shared" si="4"/>
        <v>0</v>
      </c>
      <c r="K9" s="113">
        <f>COUNTIF(#REF!,"&gt;= "&amp;J9)-COUNTIF(#REF!,"&gt;="&amp;J10)</f>
        <v>0</v>
      </c>
      <c r="L9" s="112">
        <f t="shared" si="5"/>
        <v>0</v>
      </c>
      <c r="M9" s="113">
        <f>COUNTIF(#REF!,"&gt;= "&amp;L9)-COUNTIF(#REF!,"&gt;="&amp;L10)</f>
        <v>0</v>
      </c>
      <c r="N9" s="112">
        <f t="shared" si="6"/>
        <v>0</v>
      </c>
      <c r="O9" s="113">
        <f>COUNTIF(#REF!,"&gt;= "&amp;N9)-COUNTIF(#REF!,"&gt;="&amp;N10)</f>
        <v>0</v>
      </c>
      <c r="P9" s="112">
        <f t="shared" si="7"/>
        <v>0</v>
      </c>
      <c r="Q9" s="113">
        <f>COUNTIF(#REF!,"&gt;= "&amp;P9)-COUNTIF(#REF!,"&gt;="&amp;P10)</f>
        <v>0</v>
      </c>
      <c r="R9" s="112">
        <f t="shared" si="8"/>
        <v>0</v>
      </c>
      <c r="S9" s="114">
        <f>COUNTIF(#REF!,"&gt;= "&amp;R9)-COUNTIF(#REF!,"&gt;="&amp;R10)</f>
        <v>0</v>
      </c>
      <c r="T9" s="112" t="e">
        <f ca="1" t="shared" si="9"/>
        <v>#REF!</v>
      </c>
      <c r="U9" s="113" t="e">
        <f ca="1" t="shared" si="0"/>
        <v>#REF!</v>
      </c>
    </row>
    <row r="10" spans="1:21" ht="15">
      <c r="A10" s="30" t="s">
        <v>1210</v>
      </c>
      <c r="B10" s="30">
        <v>28</v>
      </c>
      <c r="D10" s="111">
        <f t="shared" si="1"/>
        <v>0</v>
      </c>
      <c r="E10" s="107">
        <f>COUNTIF(#REF!,"&gt;= "&amp;D10)-COUNTIF(#REF!,"&gt;="&amp;D11)</f>
        <v>0</v>
      </c>
      <c r="F10" s="108">
        <f t="shared" si="2"/>
        <v>0</v>
      </c>
      <c r="G10" s="109">
        <f>COUNTIF(#REF!,"&gt;= "&amp;F10)-COUNTIF(#REF!,"&gt;="&amp;F11)</f>
        <v>0</v>
      </c>
      <c r="H10" s="108">
        <f t="shared" si="3"/>
        <v>0</v>
      </c>
      <c r="I10" s="109">
        <f>COUNTIF(#REF!,"&gt;= "&amp;H10)-COUNTIF(#REF!,"&gt;="&amp;H11)</f>
        <v>0</v>
      </c>
      <c r="J10" s="108">
        <f t="shared" si="4"/>
        <v>0</v>
      </c>
      <c r="K10" s="109">
        <f>COUNTIF(#REF!,"&gt;= "&amp;J10)-COUNTIF(#REF!,"&gt;="&amp;J11)</f>
        <v>0</v>
      </c>
      <c r="L10" s="108">
        <f t="shared" si="5"/>
        <v>0</v>
      </c>
      <c r="M10" s="109">
        <f>COUNTIF(#REF!,"&gt;= "&amp;L10)-COUNTIF(#REF!,"&gt;="&amp;L11)</f>
        <v>0</v>
      </c>
      <c r="N10" s="108">
        <f t="shared" si="6"/>
        <v>0</v>
      </c>
      <c r="O10" s="109">
        <f>COUNTIF(#REF!,"&gt;= "&amp;N10)-COUNTIF(#REF!,"&gt;="&amp;N11)</f>
        <v>0</v>
      </c>
      <c r="P10" s="108">
        <f t="shared" si="7"/>
        <v>0</v>
      </c>
      <c r="Q10" s="109">
        <f>COUNTIF(#REF!,"&gt;= "&amp;P10)-COUNTIF(#REF!,"&gt;="&amp;P11)</f>
        <v>0</v>
      </c>
      <c r="R10" s="108">
        <f t="shared" si="8"/>
        <v>0</v>
      </c>
      <c r="S10" s="110">
        <f>COUNTIF(#REF!,"&gt;= "&amp;R10)-COUNTIF(#REF!,"&gt;="&amp;R11)</f>
        <v>0</v>
      </c>
      <c r="T10" s="108" t="e">
        <f ca="1" t="shared" si="9"/>
        <v>#REF!</v>
      </c>
      <c r="U10" s="109" t="e">
        <f ca="1" t="shared" si="0"/>
        <v>#REF!</v>
      </c>
    </row>
    <row r="11" spans="1:21" ht="15">
      <c r="A11" s="61"/>
      <c r="B11" s="61"/>
      <c r="D11" s="111">
        <f t="shared" si="1"/>
        <v>0</v>
      </c>
      <c r="E11" s="107">
        <f>COUNTIF(#REF!,"&gt;= "&amp;D11)-COUNTIF(#REF!,"&gt;="&amp;D12)</f>
        <v>0</v>
      </c>
      <c r="F11" s="112">
        <f t="shared" si="2"/>
        <v>0</v>
      </c>
      <c r="G11" s="113">
        <f>COUNTIF(#REF!,"&gt;= "&amp;F11)-COUNTIF(#REF!,"&gt;="&amp;F12)</f>
        <v>0</v>
      </c>
      <c r="H11" s="112">
        <f t="shared" si="3"/>
        <v>0</v>
      </c>
      <c r="I11" s="113">
        <f>COUNTIF(#REF!,"&gt;= "&amp;H11)-COUNTIF(#REF!,"&gt;="&amp;H12)</f>
        <v>0</v>
      </c>
      <c r="J11" s="112">
        <f t="shared" si="4"/>
        <v>0</v>
      </c>
      <c r="K11" s="113">
        <f>COUNTIF(#REF!,"&gt;= "&amp;J11)-COUNTIF(#REF!,"&gt;="&amp;J12)</f>
        <v>0</v>
      </c>
      <c r="L11" s="112">
        <f t="shared" si="5"/>
        <v>0</v>
      </c>
      <c r="M11" s="113">
        <f>COUNTIF(#REF!,"&gt;= "&amp;L11)-COUNTIF(#REF!,"&gt;="&amp;L12)</f>
        <v>0</v>
      </c>
      <c r="N11" s="112">
        <f t="shared" si="6"/>
        <v>0</v>
      </c>
      <c r="O11" s="113">
        <f>COUNTIF(#REF!,"&gt;= "&amp;N11)-COUNTIF(#REF!,"&gt;="&amp;N12)</f>
        <v>0</v>
      </c>
      <c r="P11" s="112">
        <f t="shared" si="7"/>
        <v>0</v>
      </c>
      <c r="Q11" s="113">
        <f>COUNTIF(#REF!,"&gt;= "&amp;P11)-COUNTIF(#REF!,"&gt;="&amp;P12)</f>
        <v>0</v>
      </c>
      <c r="R11" s="112">
        <f t="shared" si="8"/>
        <v>0</v>
      </c>
      <c r="S11" s="114">
        <f>COUNTIF(#REF!,"&gt;= "&amp;R11)-COUNTIF(#REF!,"&gt;="&amp;R12)</f>
        <v>0</v>
      </c>
      <c r="T11" s="112" t="e">
        <f ca="1" t="shared" si="9"/>
        <v>#REF!</v>
      </c>
      <c r="U11" s="113" t="e">
        <f ca="1" t="shared" si="0"/>
        <v>#REF!</v>
      </c>
    </row>
    <row r="12" spans="1:21" ht="15">
      <c r="A12" s="30" t="s">
        <v>705</v>
      </c>
      <c r="B12" s="30">
        <v>0.0196078431372549</v>
      </c>
      <c r="D12" s="111">
        <f t="shared" si="1"/>
        <v>0</v>
      </c>
      <c r="E12" s="107">
        <f>COUNTIF(#REF!,"&gt;= "&amp;D12)-COUNTIF(#REF!,"&gt;="&amp;D13)</f>
        <v>0</v>
      </c>
      <c r="F12" s="108">
        <f t="shared" si="2"/>
        <v>0</v>
      </c>
      <c r="G12" s="109">
        <f>COUNTIF(#REF!,"&gt;= "&amp;F12)-COUNTIF(#REF!,"&gt;="&amp;F13)</f>
        <v>0</v>
      </c>
      <c r="H12" s="108">
        <f t="shared" si="3"/>
        <v>0</v>
      </c>
      <c r="I12" s="109">
        <f>COUNTIF(#REF!,"&gt;= "&amp;H12)-COUNTIF(#REF!,"&gt;="&amp;H13)</f>
        <v>0</v>
      </c>
      <c r="J12" s="108">
        <f t="shared" si="4"/>
        <v>0</v>
      </c>
      <c r="K12" s="109">
        <f>COUNTIF(#REF!,"&gt;= "&amp;J12)-COUNTIF(#REF!,"&gt;="&amp;J13)</f>
        <v>0</v>
      </c>
      <c r="L12" s="108">
        <f t="shared" si="5"/>
        <v>0</v>
      </c>
      <c r="M12" s="109">
        <f>COUNTIF(#REF!,"&gt;= "&amp;L12)-COUNTIF(#REF!,"&gt;="&amp;L13)</f>
        <v>0</v>
      </c>
      <c r="N12" s="108">
        <f t="shared" si="6"/>
        <v>0</v>
      </c>
      <c r="O12" s="109">
        <f>COUNTIF(#REF!,"&gt;= "&amp;N12)-COUNTIF(#REF!,"&gt;="&amp;N13)</f>
        <v>0</v>
      </c>
      <c r="P12" s="108">
        <f t="shared" si="7"/>
        <v>0</v>
      </c>
      <c r="Q12" s="109">
        <f>COUNTIF(#REF!,"&gt;= "&amp;P12)-COUNTIF(#REF!,"&gt;="&amp;P13)</f>
        <v>0</v>
      </c>
      <c r="R12" s="108">
        <f t="shared" si="8"/>
        <v>0</v>
      </c>
      <c r="S12" s="110">
        <f>COUNTIF(#REF!,"&gt;= "&amp;R12)-COUNTIF(#REF!,"&gt;="&amp;R13)</f>
        <v>0</v>
      </c>
      <c r="T12" s="108" t="e">
        <f ca="1" t="shared" si="9"/>
        <v>#REF!</v>
      </c>
      <c r="U12" s="109" t="e">
        <f ca="1" t="shared" si="0"/>
        <v>#REF!</v>
      </c>
    </row>
    <row r="13" spans="1:21" ht="15">
      <c r="A13" s="30" t="s">
        <v>1211</v>
      </c>
      <c r="B13" s="30">
        <v>0.038461538461538464</v>
      </c>
      <c r="D13" s="111">
        <f t="shared" si="1"/>
        <v>0</v>
      </c>
      <c r="E13" s="107">
        <f>COUNTIF(#REF!,"&gt;= "&amp;D13)-COUNTIF(#REF!,"&gt;="&amp;D14)</f>
        <v>0</v>
      </c>
      <c r="F13" s="112">
        <f t="shared" si="2"/>
        <v>0</v>
      </c>
      <c r="G13" s="113">
        <f>COUNTIF(#REF!,"&gt;= "&amp;F13)-COUNTIF(#REF!,"&gt;="&amp;F14)</f>
        <v>0</v>
      </c>
      <c r="H13" s="112">
        <f t="shared" si="3"/>
        <v>0</v>
      </c>
      <c r="I13" s="113">
        <f>COUNTIF(#REF!,"&gt;= "&amp;H13)-COUNTIF(#REF!,"&gt;="&amp;H14)</f>
        <v>0</v>
      </c>
      <c r="J13" s="112">
        <f t="shared" si="4"/>
        <v>0</v>
      </c>
      <c r="K13" s="113">
        <f>COUNTIF(#REF!,"&gt;= "&amp;J13)-COUNTIF(#REF!,"&gt;="&amp;J14)</f>
        <v>0</v>
      </c>
      <c r="L13" s="112">
        <f t="shared" si="5"/>
        <v>0</v>
      </c>
      <c r="M13" s="113">
        <f>COUNTIF(#REF!,"&gt;= "&amp;L13)-COUNTIF(#REF!,"&gt;="&amp;L14)</f>
        <v>0</v>
      </c>
      <c r="N13" s="112">
        <f t="shared" si="6"/>
        <v>0</v>
      </c>
      <c r="O13" s="113">
        <f>COUNTIF(#REF!,"&gt;= "&amp;N13)-COUNTIF(#REF!,"&gt;="&amp;N14)</f>
        <v>0</v>
      </c>
      <c r="P13" s="112">
        <f t="shared" si="7"/>
        <v>0</v>
      </c>
      <c r="Q13" s="113">
        <f>COUNTIF(#REF!,"&gt;= "&amp;P13)-COUNTIF(#REF!,"&gt;="&amp;P14)</f>
        <v>0</v>
      </c>
      <c r="R13" s="112">
        <f t="shared" si="8"/>
        <v>0</v>
      </c>
      <c r="S13" s="114">
        <f>COUNTIF(#REF!,"&gt;= "&amp;R13)-COUNTIF(#REF!,"&gt;="&amp;R14)</f>
        <v>0</v>
      </c>
      <c r="T13" s="112" t="e">
        <f ca="1" t="shared" si="9"/>
        <v>#REF!</v>
      </c>
      <c r="U13" s="113" t="e">
        <f ca="1" t="shared" si="0"/>
        <v>#REF!</v>
      </c>
    </row>
    <row r="14" spans="1:21" ht="15">
      <c r="A14" s="61"/>
      <c r="B14" s="61"/>
      <c r="D14" s="111">
        <f t="shared" si="1"/>
        <v>0</v>
      </c>
      <c r="E14" s="107">
        <f>COUNTIF(#REF!,"&gt;= "&amp;D14)-COUNTIF(#REF!,"&gt;="&amp;D15)</f>
        <v>0</v>
      </c>
      <c r="F14" s="108">
        <f t="shared" si="2"/>
        <v>0</v>
      </c>
      <c r="G14" s="109">
        <f>COUNTIF(#REF!,"&gt;= "&amp;F14)-COUNTIF(#REF!,"&gt;="&amp;F15)</f>
        <v>0</v>
      </c>
      <c r="H14" s="108">
        <f t="shared" si="3"/>
        <v>0</v>
      </c>
      <c r="I14" s="109">
        <f>COUNTIF(#REF!,"&gt;= "&amp;H14)-COUNTIF(#REF!,"&gt;="&amp;H15)</f>
        <v>0</v>
      </c>
      <c r="J14" s="108">
        <f t="shared" si="4"/>
        <v>0</v>
      </c>
      <c r="K14" s="109">
        <f>COUNTIF(#REF!,"&gt;= "&amp;J14)-COUNTIF(#REF!,"&gt;="&amp;J15)</f>
        <v>0</v>
      </c>
      <c r="L14" s="108">
        <f t="shared" si="5"/>
        <v>0</v>
      </c>
      <c r="M14" s="109">
        <f>COUNTIF(#REF!,"&gt;= "&amp;L14)-COUNTIF(#REF!,"&gt;="&amp;L15)</f>
        <v>0</v>
      </c>
      <c r="N14" s="108">
        <f t="shared" si="6"/>
        <v>0</v>
      </c>
      <c r="O14" s="109">
        <f>COUNTIF(#REF!,"&gt;= "&amp;N14)-COUNTIF(#REF!,"&gt;="&amp;N15)</f>
        <v>0</v>
      </c>
      <c r="P14" s="108">
        <f t="shared" si="7"/>
        <v>0</v>
      </c>
      <c r="Q14" s="109">
        <f>COUNTIF(#REF!,"&gt;= "&amp;P14)-COUNTIF(#REF!,"&gt;="&amp;P15)</f>
        <v>0</v>
      </c>
      <c r="R14" s="108">
        <f t="shared" si="8"/>
        <v>0</v>
      </c>
      <c r="S14" s="110">
        <f>COUNTIF(#REF!,"&gt;= "&amp;R14)-COUNTIF(#REF!,"&gt;="&amp;R15)</f>
        <v>0</v>
      </c>
      <c r="T14" s="108" t="e">
        <f ca="1" t="shared" si="9"/>
        <v>#REF!</v>
      </c>
      <c r="U14" s="109" t="e">
        <f ca="1" t="shared" si="0"/>
        <v>#REF!</v>
      </c>
    </row>
    <row r="15" spans="1:21" ht="15">
      <c r="A15" s="30" t="s">
        <v>1212</v>
      </c>
      <c r="B15" s="30">
        <v>14</v>
      </c>
      <c r="D15" s="111">
        <f t="shared" si="1"/>
        <v>0</v>
      </c>
      <c r="E15" s="107">
        <f>COUNTIF(#REF!,"&gt;= "&amp;D15)-COUNTIF(#REF!,"&gt;="&amp;D16)</f>
        <v>0</v>
      </c>
      <c r="F15" s="112">
        <f t="shared" si="2"/>
        <v>0</v>
      </c>
      <c r="G15" s="113">
        <f>COUNTIF(#REF!,"&gt;= "&amp;F15)-COUNTIF(#REF!,"&gt;="&amp;F16)</f>
        <v>0</v>
      </c>
      <c r="H15" s="112">
        <f t="shared" si="3"/>
        <v>0</v>
      </c>
      <c r="I15" s="113">
        <f>COUNTIF(#REF!,"&gt;= "&amp;H15)-COUNTIF(#REF!,"&gt;="&amp;H16)</f>
        <v>0</v>
      </c>
      <c r="J15" s="112">
        <f t="shared" si="4"/>
        <v>0</v>
      </c>
      <c r="K15" s="113">
        <f>COUNTIF(#REF!,"&gt;= "&amp;J15)-COUNTIF(#REF!,"&gt;="&amp;J16)</f>
        <v>0</v>
      </c>
      <c r="L15" s="112">
        <f t="shared" si="5"/>
        <v>0</v>
      </c>
      <c r="M15" s="113">
        <f>COUNTIF(#REF!,"&gt;= "&amp;L15)-COUNTIF(#REF!,"&gt;="&amp;L16)</f>
        <v>0</v>
      </c>
      <c r="N15" s="112">
        <f t="shared" si="6"/>
        <v>0</v>
      </c>
      <c r="O15" s="113">
        <f>COUNTIF(#REF!,"&gt;= "&amp;N15)-COUNTIF(#REF!,"&gt;="&amp;N16)</f>
        <v>0</v>
      </c>
      <c r="P15" s="112">
        <f t="shared" si="7"/>
        <v>0</v>
      </c>
      <c r="Q15" s="113">
        <f>COUNTIF(#REF!,"&gt;= "&amp;P15)-COUNTIF(#REF!,"&gt;="&amp;P16)</f>
        <v>0</v>
      </c>
      <c r="R15" s="112">
        <f t="shared" si="8"/>
        <v>0</v>
      </c>
      <c r="S15" s="114">
        <f>COUNTIF(#REF!,"&gt;= "&amp;R15)-COUNTIF(#REF!,"&gt;="&amp;R16)</f>
        <v>0</v>
      </c>
      <c r="T15" s="112" t="e">
        <f ca="1" t="shared" si="9"/>
        <v>#REF!</v>
      </c>
      <c r="U15" s="113" t="e">
        <f ca="1" t="shared" si="0"/>
        <v>#REF!</v>
      </c>
    </row>
    <row r="16" spans="1:21" ht="15">
      <c r="A16" s="30" t="s">
        <v>1213</v>
      </c>
      <c r="B16" s="30">
        <v>2</v>
      </c>
      <c r="D16" s="111">
        <f t="shared" si="1"/>
        <v>0</v>
      </c>
      <c r="E16" s="107">
        <f>COUNTIF(#REF!,"&gt;= "&amp;D16)-COUNTIF(#REF!,"&gt;="&amp;D17)</f>
        <v>0</v>
      </c>
      <c r="F16" s="108">
        <f t="shared" si="2"/>
        <v>0</v>
      </c>
      <c r="G16" s="109">
        <f>COUNTIF(#REF!,"&gt;= "&amp;F16)-COUNTIF(#REF!,"&gt;="&amp;F17)</f>
        <v>0</v>
      </c>
      <c r="H16" s="108">
        <f t="shared" si="3"/>
        <v>0</v>
      </c>
      <c r="I16" s="109">
        <f>COUNTIF(#REF!,"&gt;= "&amp;H16)-COUNTIF(#REF!,"&gt;="&amp;H17)</f>
        <v>0</v>
      </c>
      <c r="J16" s="108">
        <f t="shared" si="4"/>
        <v>0</v>
      </c>
      <c r="K16" s="109">
        <f>COUNTIF(#REF!,"&gt;= "&amp;J16)-COUNTIF(#REF!,"&gt;="&amp;J17)</f>
        <v>0</v>
      </c>
      <c r="L16" s="108">
        <f t="shared" si="5"/>
        <v>0</v>
      </c>
      <c r="M16" s="109">
        <f>COUNTIF(#REF!,"&gt;= "&amp;L16)-COUNTIF(#REF!,"&gt;="&amp;L17)</f>
        <v>0</v>
      </c>
      <c r="N16" s="108">
        <f t="shared" si="6"/>
        <v>0</v>
      </c>
      <c r="O16" s="109">
        <f>COUNTIF(#REF!,"&gt;= "&amp;N16)-COUNTIF(#REF!,"&gt;="&amp;N17)</f>
        <v>0</v>
      </c>
      <c r="P16" s="108">
        <f t="shared" si="7"/>
        <v>0</v>
      </c>
      <c r="Q16" s="109">
        <f>COUNTIF(#REF!,"&gt;= "&amp;P16)-COUNTIF(#REF!,"&gt;="&amp;P17)</f>
        <v>0</v>
      </c>
      <c r="R16" s="108">
        <f t="shared" si="8"/>
        <v>0</v>
      </c>
      <c r="S16" s="110">
        <f>COUNTIF(#REF!,"&gt;= "&amp;R16)-COUNTIF(#REF!,"&gt;="&amp;R17)</f>
        <v>0</v>
      </c>
      <c r="T16" s="108" t="e">
        <f ca="1" t="shared" si="9"/>
        <v>#REF!</v>
      </c>
      <c r="U16" s="109" t="e">
        <f ca="1" t="shared" si="0"/>
        <v>#REF!</v>
      </c>
    </row>
    <row r="17" spans="1:21" ht="15">
      <c r="A17" s="30" t="s">
        <v>1214</v>
      </c>
      <c r="B17" s="30">
        <v>13</v>
      </c>
      <c r="D17" s="111">
        <f t="shared" si="1"/>
        <v>0</v>
      </c>
      <c r="E17" s="107">
        <f>COUNTIF(#REF!,"&gt;= "&amp;D17)-COUNTIF(#REF!,"&gt;="&amp;D18)</f>
        <v>0</v>
      </c>
      <c r="F17" s="112">
        <f t="shared" si="2"/>
        <v>0</v>
      </c>
      <c r="G17" s="113">
        <f>COUNTIF(#REF!,"&gt;= "&amp;F17)-COUNTIF(#REF!,"&gt;="&amp;F18)</f>
        <v>0</v>
      </c>
      <c r="H17" s="112">
        <f t="shared" si="3"/>
        <v>0</v>
      </c>
      <c r="I17" s="113">
        <f>COUNTIF(#REF!,"&gt;= "&amp;H17)-COUNTIF(#REF!,"&gt;="&amp;H18)</f>
        <v>0</v>
      </c>
      <c r="J17" s="112">
        <f t="shared" si="4"/>
        <v>0</v>
      </c>
      <c r="K17" s="113">
        <f>COUNTIF(#REF!,"&gt;= "&amp;J17)-COUNTIF(#REF!,"&gt;="&amp;J18)</f>
        <v>0</v>
      </c>
      <c r="L17" s="112">
        <f t="shared" si="5"/>
        <v>0</v>
      </c>
      <c r="M17" s="113">
        <f>COUNTIF(#REF!,"&gt;= "&amp;L17)-COUNTIF(#REF!,"&gt;="&amp;L18)</f>
        <v>0</v>
      </c>
      <c r="N17" s="112">
        <f t="shared" si="6"/>
        <v>0</v>
      </c>
      <c r="O17" s="113">
        <f>COUNTIF(#REF!,"&gt;= "&amp;N17)-COUNTIF(#REF!,"&gt;="&amp;N18)</f>
        <v>0</v>
      </c>
      <c r="P17" s="112">
        <f t="shared" si="7"/>
        <v>0</v>
      </c>
      <c r="Q17" s="113">
        <f>COUNTIF(#REF!,"&gt;= "&amp;P17)-COUNTIF(#REF!,"&gt;="&amp;P18)</f>
        <v>0</v>
      </c>
      <c r="R17" s="112">
        <f t="shared" si="8"/>
        <v>0</v>
      </c>
      <c r="S17" s="114">
        <f>COUNTIF(#REF!,"&gt;= "&amp;R17)-COUNTIF(#REF!,"&gt;="&amp;R18)</f>
        <v>0</v>
      </c>
      <c r="T17" s="112" t="e">
        <f ca="1" t="shared" si="9"/>
        <v>#REF!</v>
      </c>
      <c r="U17" s="113" t="e">
        <f ca="1" t="shared" si="0"/>
        <v>#REF!</v>
      </c>
    </row>
    <row r="18" spans="1:21" ht="15">
      <c r="A18" s="30" t="s">
        <v>1215</v>
      </c>
      <c r="B18" s="30">
        <v>51</v>
      </c>
      <c r="D18" s="111">
        <f t="shared" si="1"/>
        <v>0</v>
      </c>
      <c r="E18" s="107">
        <f>COUNTIF(#REF!,"&gt;= "&amp;D18)-COUNTIF(#REF!,"&gt;="&amp;D19)</f>
        <v>0</v>
      </c>
      <c r="F18" s="108">
        <f t="shared" si="2"/>
        <v>0</v>
      </c>
      <c r="G18" s="109">
        <f>COUNTIF(#REF!,"&gt;= "&amp;F18)-COUNTIF(#REF!,"&gt;="&amp;F19)</f>
        <v>0</v>
      </c>
      <c r="H18" s="108">
        <f t="shared" si="3"/>
        <v>0</v>
      </c>
      <c r="I18" s="109">
        <f>COUNTIF(#REF!,"&gt;= "&amp;H18)-COUNTIF(#REF!,"&gt;="&amp;H19)</f>
        <v>0</v>
      </c>
      <c r="J18" s="108">
        <f t="shared" si="4"/>
        <v>0</v>
      </c>
      <c r="K18" s="109">
        <f>COUNTIF(#REF!,"&gt;= "&amp;J18)-COUNTIF(#REF!,"&gt;="&amp;J19)</f>
        <v>0</v>
      </c>
      <c r="L18" s="108">
        <f t="shared" si="5"/>
        <v>0</v>
      </c>
      <c r="M18" s="109">
        <f>COUNTIF(#REF!,"&gt;= "&amp;L18)-COUNTIF(#REF!,"&gt;="&amp;L19)</f>
        <v>0</v>
      </c>
      <c r="N18" s="108">
        <f t="shared" si="6"/>
        <v>0</v>
      </c>
      <c r="O18" s="109">
        <f>COUNTIF(#REF!,"&gt;= "&amp;N18)-COUNTIF(#REF!,"&gt;="&amp;N19)</f>
        <v>0</v>
      </c>
      <c r="P18" s="108">
        <f t="shared" si="7"/>
        <v>0</v>
      </c>
      <c r="Q18" s="109">
        <f>COUNTIF(#REF!,"&gt;= "&amp;P18)-COUNTIF(#REF!,"&gt;="&amp;P19)</f>
        <v>0</v>
      </c>
      <c r="R18" s="108">
        <f t="shared" si="8"/>
        <v>0</v>
      </c>
      <c r="S18" s="110">
        <f>COUNTIF(#REF!,"&gt;= "&amp;R18)-COUNTIF(#REF!,"&gt;="&amp;R19)</f>
        <v>0</v>
      </c>
      <c r="T18" s="108" t="e">
        <f ca="1" t="shared" si="9"/>
        <v>#REF!</v>
      </c>
      <c r="U18" s="109" t="e">
        <f ca="1" t="shared" si="0"/>
        <v>#REF!</v>
      </c>
    </row>
    <row r="19" spans="1:21" ht="15">
      <c r="A19" s="61"/>
      <c r="B19" s="61"/>
      <c r="D19" s="111">
        <f t="shared" si="1"/>
        <v>0</v>
      </c>
      <c r="E19" s="107">
        <f>COUNTIF(#REF!,"&gt;= "&amp;D19)-COUNTIF(#REF!,"&gt;="&amp;D20)</f>
        <v>0</v>
      </c>
      <c r="F19" s="112">
        <f t="shared" si="2"/>
        <v>0</v>
      </c>
      <c r="G19" s="113">
        <f>COUNTIF(#REF!,"&gt;= "&amp;F19)-COUNTIF(#REF!,"&gt;="&amp;F20)</f>
        <v>0</v>
      </c>
      <c r="H19" s="112">
        <f t="shared" si="3"/>
        <v>0</v>
      </c>
      <c r="I19" s="113">
        <f>COUNTIF(#REF!,"&gt;= "&amp;H19)-COUNTIF(#REF!,"&gt;="&amp;H20)</f>
        <v>0</v>
      </c>
      <c r="J19" s="112">
        <f t="shared" si="4"/>
        <v>0</v>
      </c>
      <c r="K19" s="113">
        <f>COUNTIF(#REF!,"&gt;= "&amp;J19)-COUNTIF(#REF!,"&gt;="&amp;J20)</f>
        <v>0</v>
      </c>
      <c r="L19" s="112">
        <f t="shared" si="5"/>
        <v>0</v>
      </c>
      <c r="M19" s="113">
        <f>COUNTIF(#REF!,"&gt;= "&amp;L19)-COUNTIF(#REF!,"&gt;="&amp;L20)</f>
        <v>0</v>
      </c>
      <c r="N19" s="112">
        <f t="shared" si="6"/>
        <v>0</v>
      </c>
      <c r="O19" s="113">
        <f>COUNTIF(#REF!,"&gt;= "&amp;N19)-COUNTIF(#REF!,"&gt;="&amp;N20)</f>
        <v>0</v>
      </c>
      <c r="P19" s="112">
        <f t="shared" si="7"/>
        <v>0</v>
      </c>
      <c r="Q19" s="113">
        <f>COUNTIF(#REF!,"&gt;= "&amp;P19)-COUNTIF(#REF!,"&gt;="&amp;P20)</f>
        <v>0</v>
      </c>
      <c r="R19" s="112">
        <f t="shared" si="8"/>
        <v>0</v>
      </c>
      <c r="S19" s="114">
        <f>COUNTIF(#REF!,"&gt;= "&amp;R19)-COUNTIF(#REF!,"&gt;="&amp;R20)</f>
        <v>0</v>
      </c>
      <c r="T19" s="112" t="e">
        <f ca="1" t="shared" si="9"/>
        <v>#REF!</v>
      </c>
      <c r="U19" s="113" t="e">
        <f ca="1" t="shared" si="0"/>
        <v>#REF!</v>
      </c>
    </row>
    <row r="20" spans="1:21" ht="15">
      <c r="A20" s="30" t="s">
        <v>1216</v>
      </c>
      <c r="B20" s="30">
        <v>4</v>
      </c>
      <c r="D20" s="111">
        <f t="shared" si="1"/>
        <v>0</v>
      </c>
      <c r="E20" s="107">
        <f>COUNTIF(#REF!,"&gt;= "&amp;D20)-COUNTIF(#REF!,"&gt;="&amp;D21)</f>
        <v>0</v>
      </c>
      <c r="F20" s="108">
        <f t="shared" si="2"/>
        <v>0</v>
      </c>
      <c r="G20" s="109">
        <f>COUNTIF(#REF!,"&gt;= "&amp;F20)-COUNTIF(#REF!,"&gt;="&amp;F21)</f>
        <v>0</v>
      </c>
      <c r="H20" s="108">
        <f t="shared" si="3"/>
        <v>0</v>
      </c>
      <c r="I20" s="109">
        <f>COUNTIF(#REF!,"&gt;= "&amp;H20)-COUNTIF(#REF!,"&gt;="&amp;H21)</f>
        <v>0</v>
      </c>
      <c r="J20" s="108">
        <f t="shared" si="4"/>
        <v>0</v>
      </c>
      <c r="K20" s="109">
        <f>COUNTIF(#REF!,"&gt;= "&amp;J20)-COUNTIF(#REF!,"&gt;="&amp;J21)</f>
        <v>0</v>
      </c>
      <c r="L20" s="108">
        <f t="shared" si="5"/>
        <v>0</v>
      </c>
      <c r="M20" s="109">
        <f>COUNTIF(#REF!,"&gt;= "&amp;L20)-COUNTIF(#REF!,"&gt;="&amp;L21)</f>
        <v>0</v>
      </c>
      <c r="N20" s="108">
        <f t="shared" si="6"/>
        <v>0</v>
      </c>
      <c r="O20" s="109">
        <f>COUNTIF(#REF!,"&gt;= "&amp;N20)-COUNTIF(#REF!,"&gt;="&amp;N21)</f>
        <v>0</v>
      </c>
      <c r="P20" s="108">
        <f t="shared" si="7"/>
        <v>0</v>
      </c>
      <c r="Q20" s="109">
        <f>COUNTIF(#REF!,"&gt;= "&amp;P20)-COUNTIF(#REF!,"&gt;="&amp;P21)</f>
        <v>0</v>
      </c>
      <c r="R20" s="108">
        <f t="shared" si="8"/>
        <v>0</v>
      </c>
      <c r="S20" s="110">
        <f>COUNTIF(#REF!,"&gt;= "&amp;R20)-COUNTIF(#REF!,"&gt;="&amp;R21)</f>
        <v>0</v>
      </c>
      <c r="T20" s="108" t="e">
        <f ca="1" t="shared" si="9"/>
        <v>#REF!</v>
      </c>
      <c r="U20" s="109" t="e">
        <f ca="1" t="shared" si="0"/>
        <v>#REF!</v>
      </c>
    </row>
    <row r="21" spans="1:21" ht="15">
      <c r="A21" s="30" t="s">
        <v>1217</v>
      </c>
      <c r="B21" s="30">
        <v>1.765166</v>
      </c>
      <c r="D21" s="111">
        <f t="shared" si="1"/>
        <v>0</v>
      </c>
      <c r="E21" s="107">
        <f>COUNTIF(#REF!,"&gt;= "&amp;D21)-COUNTIF(#REF!,"&gt;="&amp;D22)</f>
        <v>0</v>
      </c>
      <c r="F21" s="112">
        <f t="shared" si="2"/>
        <v>0</v>
      </c>
      <c r="G21" s="113">
        <f>COUNTIF(#REF!,"&gt;= "&amp;F21)-COUNTIF(#REF!,"&gt;="&amp;F22)</f>
        <v>0</v>
      </c>
      <c r="H21" s="112">
        <f t="shared" si="3"/>
        <v>0</v>
      </c>
      <c r="I21" s="113">
        <f>COUNTIF(#REF!,"&gt;= "&amp;H21)-COUNTIF(#REF!,"&gt;="&amp;H22)</f>
        <v>0</v>
      </c>
      <c r="J21" s="112">
        <f t="shared" si="4"/>
        <v>0</v>
      </c>
      <c r="K21" s="113">
        <f>COUNTIF(#REF!,"&gt;= "&amp;J21)-COUNTIF(#REF!,"&gt;="&amp;J22)</f>
        <v>0</v>
      </c>
      <c r="L21" s="112">
        <f t="shared" si="5"/>
        <v>0</v>
      </c>
      <c r="M21" s="113">
        <f>COUNTIF(#REF!,"&gt;= "&amp;L21)-COUNTIF(#REF!,"&gt;="&amp;L22)</f>
        <v>0</v>
      </c>
      <c r="N21" s="112">
        <f t="shared" si="6"/>
        <v>0</v>
      </c>
      <c r="O21" s="113">
        <f>COUNTIF(#REF!,"&gt;= "&amp;N21)-COUNTIF(#REF!,"&gt;="&amp;N22)</f>
        <v>0</v>
      </c>
      <c r="P21" s="112">
        <f t="shared" si="7"/>
        <v>0</v>
      </c>
      <c r="Q21" s="113">
        <f>COUNTIF(#REF!,"&gt;= "&amp;P21)-COUNTIF(#REF!,"&gt;="&amp;P22)</f>
        <v>0</v>
      </c>
      <c r="R21" s="112">
        <f t="shared" si="8"/>
        <v>0</v>
      </c>
      <c r="S21" s="114">
        <f>COUNTIF(#REF!,"&gt;= "&amp;R21)-COUNTIF(#REF!,"&gt;="&amp;R22)</f>
        <v>0</v>
      </c>
      <c r="T21" s="112" t="e">
        <f ca="1" t="shared" si="9"/>
        <v>#REF!</v>
      </c>
      <c r="U21" s="113" t="e">
        <f ca="1" t="shared" si="0"/>
        <v>#REF!</v>
      </c>
    </row>
    <row r="22" spans="1:21" ht="15">
      <c r="A22" s="61"/>
      <c r="B22" s="61"/>
      <c r="D22" s="111">
        <f t="shared" si="1"/>
        <v>0</v>
      </c>
      <c r="E22" s="107">
        <f>COUNTIF(#REF!,"&gt;= "&amp;D22)-COUNTIF(#REF!,"&gt;="&amp;D23)</f>
        <v>0</v>
      </c>
      <c r="F22" s="108">
        <f t="shared" si="2"/>
        <v>0</v>
      </c>
      <c r="G22" s="109">
        <f>COUNTIF(#REF!,"&gt;= "&amp;F22)-COUNTIF(#REF!,"&gt;="&amp;F23)</f>
        <v>0</v>
      </c>
      <c r="H22" s="108">
        <f t="shared" si="3"/>
        <v>0</v>
      </c>
      <c r="I22" s="109">
        <f>COUNTIF(#REF!,"&gt;= "&amp;H22)-COUNTIF(#REF!,"&gt;="&amp;H23)</f>
        <v>0</v>
      </c>
      <c r="J22" s="108">
        <f t="shared" si="4"/>
        <v>0</v>
      </c>
      <c r="K22" s="109">
        <f>COUNTIF(#REF!,"&gt;= "&amp;J22)-COUNTIF(#REF!,"&gt;="&amp;J23)</f>
        <v>0</v>
      </c>
      <c r="L22" s="108">
        <f t="shared" si="5"/>
        <v>0</v>
      </c>
      <c r="M22" s="109">
        <f>COUNTIF(#REF!,"&gt;= "&amp;L22)-COUNTIF(#REF!,"&gt;="&amp;L23)</f>
        <v>0</v>
      </c>
      <c r="N22" s="108">
        <f t="shared" si="6"/>
        <v>0</v>
      </c>
      <c r="O22" s="109">
        <f>COUNTIF(#REF!,"&gt;= "&amp;N22)-COUNTIF(#REF!,"&gt;="&amp;N23)</f>
        <v>0</v>
      </c>
      <c r="P22" s="108">
        <f t="shared" si="7"/>
        <v>0</v>
      </c>
      <c r="Q22" s="109">
        <f>COUNTIF(#REF!,"&gt;= "&amp;P22)-COUNTIF(#REF!,"&gt;="&amp;P23)</f>
        <v>0</v>
      </c>
      <c r="R22" s="108">
        <f t="shared" si="8"/>
        <v>0</v>
      </c>
      <c r="S22" s="110">
        <f>COUNTIF(#REF!,"&gt;= "&amp;R22)-COUNTIF(#REF!,"&gt;="&amp;R23)</f>
        <v>0</v>
      </c>
      <c r="T22" s="108" t="e">
        <f ca="1" t="shared" si="9"/>
        <v>#REF!</v>
      </c>
      <c r="U22" s="109" t="e">
        <f ca="1" t="shared" si="0"/>
        <v>#REF!</v>
      </c>
    </row>
    <row r="23" spans="1:21" ht="15">
      <c r="A23" s="30" t="s">
        <v>1218</v>
      </c>
      <c r="B23" s="30">
        <v>0.0125</v>
      </c>
      <c r="D23" s="111">
        <f t="shared" si="1"/>
        <v>0</v>
      </c>
      <c r="E23" s="107">
        <f>COUNTIF(#REF!,"&gt;= "&amp;D23)-COUNTIF(#REF!,"&gt;="&amp;D24)</f>
        <v>0</v>
      </c>
      <c r="F23" s="112">
        <f t="shared" si="2"/>
        <v>0</v>
      </c>
      <c r="G23" s="113">
        <f>COUNTIF(#REF!,"&gt;= "&amp;F23)-COUNTIF(#REF!,"&gt;="&amp;F24)</f>
        <v>0</v>
      </c>
      <c r="H23" s="112">
        <f t="shared" si="3"/>
        <v>0</v>
      </c>
      <c r="I23" s="113">
        <f>COUNTIF(#REF!,"&gt;= "&amp;H23)-COUNTIF(#REF!,"&gt;="&amp;H24)</f>
        <v>0</v>
      </c>
      <c r="J23" s="112">
        <f t="shared" si="4"/>
        <v>0</v>
      </c>
      <c r="K23" s="113">
        <f>COUNTIF(#REF!,"&gt;= "&amp;J23)-COUNTIF(#REF!,"&gt;="&amp;J24)</f>
        <v>0</v>
      </c>
      <c r="L23" s="112">
        <f t="shared" si="5"/>
        <v>0</v>
      </c>
      <c r="M23" s="113">
        <f>COUNTIF(#REF!,"&gt;= "&amp;L23)-COUNTIF(#REF!,"&gt;="&amp;L24)</f>
        <v>0</v>
      </c>
      <c r="N23" s="112">
        <f t="shared" si="6"/>
        <v>0</v>
      </c>
      <c r="O23" s="113">
        <f>COUNTIF(#REF!,"&gt;= "&amp;N23)-COUNTIF(#REF!,"&gt;="&amp;N24)</f>
        <v>0</v>
      </c>
      <c r="P23" s="112">
        <f t="shared" si="7"/>
        <v>0</v>
      </c>
      <c r="Q23" s="113">
        <f>COUNTIF(#REF!,"&gt;= "&amp;P23)-COUNTIF(#REF!,"&gt;="&amp;P24)</f>
        <v>0</v>
      </c>
      <c r="R23" s="112">
        <f t="shared" si="8"/>
        <v>0</v>
      </c>
      <c r="S23" s="114">
        <f>COUNTIF(#REF!,"&gt;= "&amp;R23)-COUNTIF(#REF!,"&gt;="&amp;R24)</f>
        <v>0</v>
      </c>
      <c r="T23" s="112" t="e">
        <f ca="1" t="shared" si="9"/>
        <v>#REF!</v>
      </c>
      <c r="U23" s="113" t="e">
        <f ca="1" t="shared" si="0"/>
        <v>#REF!</v>
      </c>
    </row>
    <row r="24" spans="1:21" ht="15">
      <c r="A24" s="30" t="s">
        <v>1335</v>
      </c>
      <c r="B24" s="30">
        <v>0.453023</v>
      </c>
      <c r="D24" s="111">
        <f t="shared" si="1"/>
        <v>0</v>
      </c>
      <c r="E24" s="107">
        <f>COUNTIF(#REF!,"&gt;= "&amp;D24)-COUNTIF(#REF!,"&gt;="&amp;D25)</f>
        <v>0</v>
      </c>
      <c r="F24" s="108">
        <f t="shared" si="2"/>
        <v>0</v>
      </c>
      <c r="G24" s="109">
        <f>COUNTIF(#REF!,"&gt;= "&amp;F24)-COUNTIF(#REF!,"&gt;="&amp;F25)</f>
        <v>0</v>
      </c>
      <c r="H24" s="108">
        <f t="shared" si="3"/>
        <v>0</v>
      </c>
      <c r="I24" s="109">
        <f>COUNTIF(#REF!,"&gt;= "&amp;H24)-COUNTIF(#REF!,"&gt;="&amp;H25)</f>
        <v>0</v>
      </c>
      <c r="J24" s="108">
        <f t="shared" si="4"/>
        <v>0</v>
      </c>
      <c r="K24" s="109">
        <f>COUNTIF(#REF!,"&gt;= "&amp;J24)-COUNTIF(#REF!,"&gt;="&amp;J25)</f>
        <v>0</v>
      </c>
      <c r="L24" s="108">
        <f t="shared" si="5"/>
        <v>0</v>
      </c>
      <c r="M24" s="109">
        <f>COUNTIF(#REF!,"&gt;= "&amp;L24)-COUNTIF(#REF!,"&gt;="&amp;L25)</f>
        <v>0</v>
      </c>
      <c r="N24" s="108">
        <f t="shared" si="6"/>
        <v>0</v>
      </c>
      <c r="O24" s="109">
        <f>COUNTIF(#REF!,"&gt;= "&amp;N24)-COUNTIF(#REF!,"&gt;="&amp;N25)</f>
        <v>0</v>
      </c>
      <c r="P24" s="108">
        <f t="shared" si="7"/>
        <v>0</v>
      </c>
      <c r="Q24" s="109">
        <f>COUNTIF(#REF!,"&gt;= "&amp;P24)-COUNTIF(#REF!,"&gt;="&amp;P25)</f>
        <v>0</v>
      </c>
      <c r="R24" s="108">
        <f t="shared" si="8"/>
        <v>0</v>
      </c>
      <c r="S24" s="110">
        <f>COUNTIF(#REF!,"&gt;= "&amp;R24)-COUNTIF(#REF!,"&gt;="&amp;R25)</f>
        <v>0</v>
      </c>
      <c r="T24" s="108" t="e">
        <f ca="1" t="shared" si="9"/>
        <v>#REF!</v>
      </c>
      <c r="U24" s="109" t="e">
        <f ca="1" t="shared" si="0"/>
        <v>#REF!</v>
      </c>
    </row>
    <row r="25" spans="1:21" ht="15">
      <c r="A25" s="61"/>
      <c r="B25" s="61"/>
      <c r="D25" s="111">
        <f t="shared" si="1"/>
        <v>0</v>
      </c>
      <c r="E25" s="107">
        <f>COUNTIF(#REF!,"&gt;= "&amp;D25)-COUNTIF(#REF!,"&gt;="&amp;D26)</f>
        <v>0</v>
      </c>
      <c r="F25" s="112">
        <f t="shared" si="2"/>
        <v>0</v>
      </c>
      <c r="G25" s="113">
        <f>COUNTIF(#REF!,"&gt;= "&amp;F25)-COUNTIF(#REF!,"&gt;="&amp;F26)</f>
        <v>0</v>
      </c>
      <c r="H25" s="112">
        <f t="shared" si="3"/>
        <v>0</v>
      </c>
      <c r="I25" s="113">
        <f>COUNTIF(#REF!,"&gt;= "&amp;H25)-COUNTIF(#REF!,"&gt;="&amp;H26)</f>
        <v>0</v>
      </c>
      <c r="J25" s="112">
        <f t="shared" si="4"/>
        <v>0</v>
      </c>
      <c r="K25" s="113">
        <f>COUNTIF(#REF!,"&gt;= "&amp;J25)-COUNTIF(#REF!,"&gt;="&amp;J26)</f>
        <v>0</v>
      </c>
      <c r="L25" s="112">
        <f t="shared" si="5"/>
        <v>0</v>
      </c>
      <c r="M25" s="113">
        <f>COUNTIF(#REF!,"&gt;= "&amp;L25)-COUNTIF(#REF!,"&gt;="&amp;L26)</f>
        <v>0</v>
      </c>
      <c r="N25" s="112">
        <f t="shared" si="6"/>
        <v>0</v>
      </c>
      <c r="O25" s="113">
        <f>COUNTIF(#REF!,"&gt;= "&amp;N25)-COUNTIF(#REF!,"&gt;="&amp;N26)</f>
        <v>0</v>
      </c>
      <c r="P25" s="112">
        <f t="shared" si="7"/>
        <v>0</v>
      </c>
      <c r="Q25" s="113">
        <f>COUNTIF(#REF!,"&gt;= "&amp;P25)-COUNTIF(#REF!,"&gt;="&amp;P26)</f>
        <v>0</v>
      </c>
      <c r="R25" s="112">
        <f t="shared" si="8"/>
        <v>0</v>
      </c>
      <c r="S25" s="114">
        <f>COUNTIF(#REF!,"&gt;= "&amp;R25)-COUNTIF(#REF!,"&gt;="&amp;R26)</f>
        <v>0</v>
      </c>
      <c r="T25" s="112" t="e">
        <f ca="1" t="shared" si="9"/>
        <v>#REF!</v>
      </c>
      <c r="U25" s="113" t="e">
        <f ca="1" t="shared" si="0"/>
        <v>#REF!</v>
      </c>
    </row>
    <row r="26" spans="1:21" ht="15">
      <c r="A26" s="30" t="s">
        <v>1336</v>
      </c>
      <c r="B26" s="30" t="s">
        <v>2247</v>
      </c>
      <c r="D26" s="111">
        <f t="shared" si="1"/>
        <v>0</v>
      </c>
      <c r="E26" s="107">
        <f>COUNTIF(#REF!,"&gt;= "&amp;D26)-COUNTIF(#REF!,"&gt;="&amp;D27)</f>
        <v>0</v>
      </c>
      <c r="F26" s="108">
        <f t="shared" si="2"/>
        <v>0</v>
      </c>
      <c r="G26" s="109">
        <f>COUNTIF(#REF!,"&gt;= "&amp;F26)-COUNTIF(#REF!,"&gt;="&amp;F27)</f>
        <v>0</v>
      </c>
      <c r="H26" s="108">
        <f t="shared" si="3"/>
        <v>0</v>
      </c>
      <c r="I26" s="109">
        <f>COUNTIF(#REF!,"&gt;= "&amp;H26)-COUNTIF(#REF!,"&gt;="&amp;H27)</f>
        <v>0</v>
      </c>
      <c r="J26" s="108">
        <f t="shared" si="4"/>
        <v>0</v>
      </c>
      <c r="K26" s="109">
        <f>COUNTIF(#REF!,"&gt;= "&amp;J26)-COUNTIF(#REF!,"&gt;="&amp;J27)</f>
        <v>0</v>
      </c>
      <c r="L26" s="108">
        <f t="shared" si="5"/>
        <v>0</v>
      </c>
      <c r="M26" s="109">
        <f>COUNTIF(#REF!,"&gt;= "&amp;L26)-COUNTIF(#REF!,"&gt;="&amp;L27)</f>
        <v>0</v>
      </c>
      <c r="N26" s="108">
        <f t="shared" si="6"/>
        <v>0</v>
      </c>
      <c r="O26" s="109">
        <f>COUNTIF(#REF!,"&gt;= "&amp;N26)-COUNTIF(#REF!,"&gt;="&amp;N27)</f>
        <v>0</v>
      </c>
      <c r="P26" s="108">
        <f t="shared" si="7"/>
        <v>0</v>
      </c>
      <c r="Q26" s="109">
        <f>COUNTIF(#REF!,"&gt;= "&amp;P26)-COUNTIF(#REF!,"&gt;="&amp;P27)</f>
        <v>0</v>
      </c>
      <c r="R26" s="108">
        <f t="shared" si="8"/>
        <v>0</v>
      </c>
      <c r="S26" s="110">
        <f>COUNTIF(#REF!,"&gt;= "&amp;R26)-COUNTIF(#REF!,"&gt;="&amp;R27)</f>
        <v>0</v>
      </c>
      <c r="T26" s="108" t="e">
        <f ca="1" t="shared" si="9"/>
        <v>#REF!</v>
      </c>
      <c r="U26" s="109" t="e">
        <f aca="true" t="shared" si="10" ref="U26:U35">COUNTIF(INDIRECT(DynamicFilterSourceColumnRange),"&gt;= "&amp;T26)-COUNTIF(INDIRECT(DynamicFilterSourceColumnRange),"&gt;="&amp;T27)</f>
        <v>#REF!</v>
      </c>
    </row>
    <row r="27" spans="1:21" ht="15">
      <c r="A27" s="61"/>
      <c r="B27" s="61"/>
      <c r="D27" s="111">
        <f t="shared" si="1"/>
        <v>0</v>
      </c>
      <c r="E27" s="107">
        <f>COUNTIF(#REF!,"&gt;= "&amp;D27)-COUNTIF(#REF!,"&gt;="&amp;D28)</f>
        <v>0</v>
      </c>
      <c r="F27" s="112">
        <f t="shared" si="2"/>
        <v>0</v>
      </c>
      <c r="G27" s="113">
        <f>COUNTIF(#REF!,"&gt;= "&amp;F27)-COUNTIF(#REF!,"&gt;="&amp;F28)</f>
        <v>0</v>
      </c>
      <c r="H27" s="112">
        <f t="shared" si="3"/>
        <v>0</v>
      </c>
      <c r="I27" s="113">
        <f>COUNTIF(#REF!,"&gt;= "&amp;H27)-COUNTIF(#REF!,"&gt;="&amp;H28)</f>
        <v>0</v>
      </c>
      <c r="J27" s="112">
        <f t="shared" si="4"/>
        <v>0</v>
      </c>
      <c r="K27" s="113">
        <f>COUNTIF(#REF!,"&gt;= "&amp;J27)-COUNTIF(#REF!,"&gt;="&amp;J28)</f>
        <v>0</v>
      </c>
      <c r="L27" s="112">
        <f t="shared" si="5"/>
        <v>0</v>
      </c>
      <c r="M27" s="113">
        <f>COUNTIF(#REF!,"&gt;= "&amp;L27)-COUNTIF(#REF!,"&gt;="&amp;L28)</f>
        <v>0</v>
      </c>
      <c r="N27" s="112">
        <f t="shared" si="6"/>
        <v>0</v>
      </c>
      <c r="O27" s="113">
        <f>COUNTIF(#REF!,"&gt;= "&amp;N27)-COUNTIF(#REF!,"&gt;="&amp;N28)</f>
        <v>0</v>
      </c>
      <c r="P27" s="112">
        <f t="shared" si="7"/>
        <v>0</v>
      </c>
      <c r="Q27" s="113">
        <f>COUNTIF(#REF!,"&gt;= "&amp;P27)-COUNTIF(#REF!,"&gt;="&amp;P28)</f>
        <v>0</v>
      </c>
      <c r="R27" s="112">
        <f t="shared" si="8"/>
        <v>0</v>
      </c>
      <c r="S27" s="114">
        <f>COUNTIF(#REF!,"&gt;= "&amp;R27)-COUNTIF(#REF!,"&gt;="&amp;R28)</f>
        <v>0</v>
      </c>
      <c r="T27" s="112" t="e">
        <f ca="1" t="shared" si="9"/>
        <v>#REF!</v>
      </c>
      <c r="U27" s="113" t="e">
        <f ca="1" t="shared" si="10"/>
        <v>#REF!</v>
      </c>
    </row>
    <row r="28" spans="1:21" ht="15">
      <c r="A28" s="30" t="s">
        <v>1337</v>
      </c>
      <c r="B28" s="30" t="s">
        <v>2254</v>
      </c>
      <c r="D28" s="111">
        <f t="shared" si="1"/>
        <v>0</v>
      </c>
      <c r="E28" s="107">
        <f>COUNTIF(#REF!,"&gt;= "&amp;D28)-COUNTIF(#REF!,"&gt;="&amp;D29)</f>
        <v>0</v>
      </c>
      <c r="F28" s="108">
        <f t="shared" si="2"/>
        <v>0</v>
      </c>
      <c r="G28" s="109">
        <f>COUNTIF(#REF!,"&gt;= "&amp;F28)-COUNTIF(#REF!,"&gt;="&amp;F29)</f>
        <v>0</v>
      </c>
      <c r="H28" s="108">
        <f t="shared" si="3"/>
        <v>0</v>
      </c>
      <c r="I28" s="109">
        <f>COUNTIF(#REF!,"&gt;= "&amp;H28)-COUNTIF(#REF!,"&gt;="&amp;H29)</f>
        <v>0</v>
      </c>
      <c r="J28" s="108">
        <f t="shared" si="4"/>
        <v>0</v>
      </c>
      <c r="K28" s="109">
        <f>COUNTIF(#REF!,"&gt;= "&amp;J28)-COUNTIF(#REF!,"&gt;="&amp;J29)</f>
        <v>0</v>
      </c>
      <c r="L28" s="108">
        <f t="shared" si="5"/>
        <v>0</v>
      </c>
      <c r="M28" s="109">
        <f>COUNTIF(#REF!,"&gt;= "&amp;L28)-COUNTIF(#REF!,"&gt;="&amp;L29)</f>
        <v>0</v>
      </c>
      <c r="N28" s="108">
        <f t="shared" si="6"/>
        <v>0</v>
      </c>
      <c r="O28" s="109">
        <f>COUNTIF(#REF!,"&gt;= "&amp;N28)-COUNTIF(#REF!,"&gt;="&amp;N29)</f>
        <v>0</v>
      </c>
      <c r="P28" s="108">
        <f t="shared" si="7"/>
        <v>0</v>
      </c>
      <c r="Q28" s="109">
        <f>COUNTIF(#REF!,"&gt;= "&amp;P28)-COUNTIF(#REF!,"&gt;="&amp;P29)</f>
        <v>0</v>
      </c>
      <c r="R28" s="108">
        <f t="shared" si="8"/>
        <v>0</v>
      </c>
      <c r="S28" s="110">
        <f>COUNTIF(#REF!,"&gt;= "&amp;R28)-COUNTIF(#REF!,"&gt;="&amp;R29)</f>
        <v>0</v>
      </c>
      <c r="T28" s="108" t="e">
        <f ca="1" t="shared" si="9"/>
        <v>#REF!</v>
      </c>
      <c r="U28" s="109" t="e">
        <f ca="1" t="shared" si="10"/>
        <v>#REF!</v>
      </c>
    </row>
    <row r="29" spans="1:21" ht="15">
      <c r="A29" s="30" t="s">
        <v>1338</v>
      </c>
      <c r="B29" s="30" t="s">
        <v>2255</v>
      </c>
      <c r="D29" s="111">
        <f t="shared" si="1"/>
        <v>0</v>
      </c>
      <c r="E29" s="107">
        <f>COUNTIF(#REF!,"&gt;= "&amp;D29)-COUNTIF(#REF!,"&gt;="&amp;D30)</f>
        <v>0</v>
      </c>
      <c r="F29" s="112">
        <f t="shared" si="2"/>
        <v>0</v>
      </c>
      <c r="G29" s="113">
        <f>COUNTIF(#REF!,"&gt;= "&amp;F29)-COUNTIF(#REF!,"&gt;="&amp;F30)</f>
        <v>0</v>
      </c>
      <c r="H29" s="112">
        <f t="shared" si="3"/>
        <v>0</v>
      </c>
      <c r="I29" s="113">
        <f>COUNTIF(#REF!,"&gt;= "&amp;H29)-COUNTIF(#REF!,"&gt;="&amp;H30)</f>
        <v>0</v>
      </c>
      <c r="J29" s="112">
        <f t="shared" si="4"/>
        <v>0</v>
      </c>
      <c r="K29" s="113">
        <f>COUNTIF(#REF!,"&gt;= "&amp;J29)-COUNTIF(#REF!,"&gt;="&amp;J30)</f>
        <v>0</v>
      </c>
      <c r="L29" s="112">
        <f t="shared" si="5"/>
        <v>0</v>
      </c>
      <c r="M29" s="113">
        <f>COUNTIF(#REF!,"&gt;= "&amp;L29)-COUNTIF(#REF!,"&gt;="&amp;L30)</f>
        <v>0</v>
      </c>
      <c r="N29" s="112">
        <f t="shared" si="6"/>
        <v>0</v>
      </c>
      <c r="O29" s="113">
        <f>COUNTIF(#REF!,"&gt;= "&amp;N29)-COUNTIF(#REF!,"&gt;="&amp;N30)</f>
        <v>0</v>
      </c>
      <c r="P29" s="112">
        <f t="shared" si="7"/>
        <v>0</v>
      </c>
      <c r="Q29" s="113">
        <f>COUNTIF(#REF!,"&gt;= "&amp;P29)-COUNTIF(#REF!,"&gt;="&amp;P30)</f>
        <v>0</v>
      </c>
      <c r="R29" s="112">
        <f t="shared" si="8"/>
        <v>0</v>
      </c>
      <c r="S29" s="114">
        <f>COUNTIF(#REF!,"&gt;= "&amp;R29)-COUNTIF(#REF!,"&gt;="&amp;R30)</f>
        <v>0</v>
      </c>
      <c r="T29" s="112" t="e">
        <f ca="1" t="shared" si="9"/>
        <v>#REF!</v>
      </c>
      <c r="U29" s="113" t="e">
        <f ca="1" t="shared" si="10"/>
        <v>#REF!</v>
      </c>
    </row>
    <row r="30" spans="1:21" ht="15">
      <c r="A30" s="61"/>
      <c r="B30" s="61"/>
      <c r="D30" s="111">
        <f t="shared" si="1"/>
        <v>0</v>
      </c>
      <c r="E30" s="107">
        <f>COUNTIF(#REF!,"&gt;= "&amp;D30)-COUNTIF(#REF!,"&gt;="&amp;D31)</f>
        <v>0</v>
      </c>
      <c r="F30" s="108">
        <f t="shared" si="2"/>
        <v>0</v>
      </c>
      <c r="G30" s="109">
        <f>COUNTIF(#REF!,"&gt;= "&amp;F30)-COUNTIF(#REF!,"&gt;="&amp;F31)</f>
        <v>0</v>
      </c>
      <c r="H30" s="108">
        <f t="shared" si="3"/>
        <v>0</v>
      </c>
      <c r="I30" s="109">
        <f>COUNTIF(#REF!,"&gt;= "&amp;H30)-COUNTIF(#REF!,"&gt;="&amp;H31)</f>
        <v>0</v>
      </c>
      <c r="J30" s="108">
        <f t="shared" si="4"/>
        <v>0</v>
      </c>
      <c r="K30" s="109">
        <f>COUNTIF(#REF!,"&gt;= "&amp;J30)-COUNTIF(#REF!,"&gt;="&amp;J31)</f>
        <v>0</v>
      </c>
      <c r="L30" s="108">
        <f t="shared" si="5"/>
        <v>0</v>
      </c>
      <c r="M30" s="109">
        <f>COUNTIF(#REF!,"&gt;= "&amp;L30)-COUNTIF(#REF!,"&gt;="&amp;L31)</f>
        <v>0</v>
      </c>
      <c r="N30" s="108">
        <f t="shared" si="6"/>
        <v>0</v>
      </c>
      <c r="O30" s="109">
        <f>COUNTIF(#REF!,"&gt;= "&amp;N30)-COUNTIF(#REF!,"&gt;="&amp;N31)</f>
        <v>0</v>
      </c>
      <c r="P30" s="108">
        <f t="shared" si="7"/>
        <v>0</v>
      </c>
      <c r="Q30" s="109">
        <f>COUNTIF(#REF!,"&gt;= "&amp;P30)-COUNTIF(#REF!,"&gt;="&amp;P31)</f>
        <v>0</v>
      </c>
      <c r="R30" s="108">
        <f t="shared" si="8"/>
        <v>0</v>
      </c>
      <c r="S30" s="110">
        <f>COUNTIF(#REF!,"&gt;= "&amp;R30)-COUNTIF(#REF!,"&gt;="&amp;R31)</f>
        <v>0</v>
      </c>
      <c r="T30" s="108" t="e">
        <f ca="1" t="shared" si="9"/>
        <v>#REF!</v>
      </c>
      <c r="U30" s="109" t="e">
        <f ca="1" t="shared" si="10"/>
        <v>#REF!</v>
      </c>
    </row>
    <row r="31" spans="1:21" ht="15">
      <c r="A31" s="30" t="s">
        <v>1339</v>
      </c>
      <c r="B31" s="30" t="s">
        <v>1340</v>
      </c>
      <c r="D31" s="111">
        <f t="shared" si="1"/>
        <v>0</v>
      </c>
      <c r="E31" s="107">
        <f>COUNTIF(#REF!,"&gt;= "&amp;D31)-COUNTIF(#REF!,"&gt;="&amp;D32)</f>
        <v>0</v>
      </c>
      <c r="F31" s="112">
        <f t="shared" si="2"/>
        <v>0</v>
      </c>
      <c r="G31" s="113">
        <f>COUNTIF(#REF!,"&gt;= "&amp;F31)-COUNTIF(#REF!,"&gt;="&amp;F32)</f>
        <v>0</v>
      </c>
      <c r="H31" s="112">
        <f t="shared" si="3"/>
        <v>0</v>
      </c>
      <c r="I31" s="113">
        <f>COUNTIF(#REF!,"&gt;= "&amp;H31)-COUNTIF(#REF!,"&gt;="&amp;H32)</f>
        <v>0</v>
      </c>
      <c r="J31" s="112">
        <f t="shared" si="4"/>
        <v>0</v>
      </c>
      <c r="K31" s="113">
        <f>COUNTIF(#REF!,"&gt;= "&amp;J31)-COUNTIF(#REF!,"&gt;="&amp;J32)</f>
        <v>0</v>
      </c>
      <c r="L31" s="112">
        <f t="shared" si="5"/>
        <v>0</v>
      </c>
      <c r="M31" s="113">
        <f>COUNTIF(#REF!,"&gt;= "&amp;L31)-COUNTIF(#REF!,"&gt;="&amp;L32)</f>
        <v>0</v>
      </c>
      <c r="N31" s="112">
        <f t="shared" si="6"/>
        <v>0</v>
      </c>
      <c r="O31" s="113">
        <f>COUNTIF(#REF!,"&gt;= "&amp;N31)-COUNTIF(#REF!,"&gt;="&amp;N32)</f>
        <v>0</v>
      </c>
      <c r="P31" s="112">
        <f t="shared" si="7"/>
        <v>0</v>
      </c>
      <c r="Q31" s="113">
        <f>COUNTIF(#REF!,"&gt;= "&amp;P31)-COUNTIF(#REF!,"&gt;="&amp;P32)</f>
        <v>0</v>
      </c>
      <c r="R31" s="112">
        <f t="shared" si="8"/>
        <v>0</v>
      </c>
      <c r="S31" s="114">
        <f>COUNTIF(#REF!,"&gt;= "&amp;R31)-COUNTIF(#REF!,"&gt;="&amp;R32)</f>
        <v>0</v>
      </c>
      <c r="T31" s="112" t="e">
        <f ca="1" t="shared" si="9"/>
        <v>#REF!</v>
      </c>
      <c r="U31" s="113" t="e">
        <f ca="1" t="shared" si="10"/>
        <v>#REF!</v>
      </c>
    </row>
    <row r="32" spans="1:21" ht="15">
      <c r="A32" s="30" t="s">
        <v>1341</v>
      </c>
      <c r="B32" s="30" t="s">
        <v>183</v>
      </c>
      <c r="D32" s="111">
        <f t="shared" si="1"/>
        <v>0</v>
      </c>
      <c r="E32" s="107">
        <f>COUNTIF(#REF!,"&gt;= "&amp;D32)-COUNTIF(#REF!,"&gt;="&amp;D33)</f>
        <v>0</v>
      </c>
      <c r="F32" s="108">
        <f t="shared" si="2"/>
        <v>0</v>
      </c>
      <c r="G32" s="109">
        <f>COUNTIF(#REF!,"&gt;= "&amp;F32)-COUNTIF(#REF!,"&gt;="&amp;F33)</f>
        <v>0</v>
      </c>
      <c r="H32" s="108">
        <f t="shared" si="3"/>
        <v>0</v>
      </c>
      <c r="I32" s="109">
        <f>COUNTIF(#REF!,"&gt;= "&amp;H32)-COUNTIF(#REF!,"&gt;="&amp;H33)</f>
        <v>0</v>
      </c>
      <c r="J32" s="108">
        <f t="shared" si="4"/>
        <v>0</v>
      </c>
      <c r="K32" s="109">
        <f>COUNTIF(#REF!,"&gt;= "&amp;J32)-COUNTIF(#REF!,"&gt;="&amp;J33)</f>
        <v>0</v>
      </c>
      <c r="L32" s="108">
        <f t="shared" si="5"/>
        <v>0</v>
      </c>
      <c r="M32" s="109">
        <f>COUNTIF(#REF!,"&gt;= "&amp;L32)-COUNTIF(#REF!,"&gt;="&amp;L33)</f>
        <v>0</v>
      </c>
      <c r="N32" s="108">
        <f t="shared" si="6"/>
        <v>0</v>
      </c>
      <c r="O32" s="109">
        <f>COUNTIF(#REF!,"&gt;= "&amp;N32)-COUNTIF(#REF!,"&gt;="&amp;N33)</f>
        <v>0</v>
      </c>
      <c r="P32" s="108">
        <f t="shared" si="7"/>
        <v>0</v>
      </c>
      <c r="Q32" s="109">
        <f>COUNTIF(#REF!,"&gt;= "&amp;P32)-COUNTIF(#REF!,"&gt;="&amp;P33)</f>
        <v>0</v>
      </c>
      <c r="R32" s="108">
        <f t="shared" si="8"/>
        <v>0</v>
      </c>
      <c r="S32" s="110">
        <f>COUNTIF(#REF!,"&gt;= "&amp;R32)-COUNTIF(#REF!,"&gt;="&amp;R33)</f>
        <v>0</v>
      </c>
      <c r="T32" s="108" t="e">
        <f ca="1" t="shared" si="9"/>
        <v>#REF!</v>
      </c>
      <c r="U32" s="109" t="e">
        <f ca="1" t="shared" si="10"/>
        <v>#REF!</v>
      </c>
    </row>
    <row r="33" spans="1:21" ht="409.5">
      <c r="A33" s="30" t="s">
        <v>1342</v>
      </c>
      <c r="B33" s="39" t="s">
        <v>1343</v>
      </c>
      <c r="D33" s="111">
        <f t="shared" si="1"/>
        <v>0</v>
      </c>
      <c r="E33" s="107">
        <f>COUNTIF(#REF!,"&gt;= "&amp;D33)-COUNTIF(#REF!,"&gt;="&amp;D34)</f>
        <v>0</v>
      </c>
      <c r="F33" s="112">
        <f t="shared" si="2"/>
        <v>0</v>
      </c>
      <c r="G33" s="113">
        <f>COUNTIF(#REF!,"&gt;= "&amp;F33)-COUNTIF(#REF!,"&gt;="&amp;F34)</f>
        <v>0</v>
      </c>
      <c r="H33" s="112">
        <f t="shared" si="3"/>
        <v>0</v>
      </c>
      <c r="I33" s="113">
        <f>COUNTIF(#REF!,"&gt;= "&amp;H33)-COUNTIF(#REF!,"&gt;="&amp;H34)</f>
        <v>0</v>
      </c>
      <c r="J33" s="112">
        <f t="shared" si="4"/>
        <v>0</v>
      </c>
      <c r="K33" s="113">
        <f>COUNTIF(#REF!,"&gt;= "&amp;J33)-COUNTIF(#REF!,"&gt;="&amp;J34)</f>
        <v>0</v>
      </c>
      <c r="L33" s="112">
        <f t="shared" si="5"/>
        <v>0</v>
      </c>
      <c r="M33" s="113">
        <f>COUNTIF(#REF!,"&gt;= "&amp;L33)-COUNTIF(#REF!,"&gt;="&amp;L34)</f>
        <v>0</v>
      </c>
      <c r="N33" s="112">
        <f t="shared" si="6"/>
        <v>0</v>
      </c>
      <c r="O33" s="113">
        <f>COUNTIF(#REF!,"&gt;= "&amp;N33)-COUNTIF(#REF!,"&gt;="&amp;N34)</f>
        <v>0</v>
      </c>
      <c r="P33" s="112">
        <f t="shared" si="7"/>
        <v>0</v>
      </c>
      <c r="Q33" s="113">
        <f>COUNTIF(#REF!,"&gt;= "&amp;P33)-COUNTIF(#REF!,"&gt;="&amp;P34)</f>
        <v>0</v>
      </c>
      <c r="R33" s="112">
        <f t="shared" si="8"/>
        <v>0</v>
      </c>
      <c r="S33" s="114">
        <f>COUNTIF(#REF!,"&gt;= "&amp;R33)-COUNTIF(#REF!,"&gt;="&amp;R34)</f>
        <v>0</v>
      </c>
      <c r="T33" s="112" t="e">
        <f ca="1" t="shared" si="9"/>
        <v>#REF!</v>
      </c>
      <c r="U33" s="113" t="e">
        <f ca="1" t="shared" si="10"/>
        <v>#REF!</v>
      </c>
    </row>
    <row r="34" spans="1:21" ht="15">
      <c r="A34" s="30" t="s">
        <v>1344</v>
      </c>
      <c r="B34" s="30" t="s">
        <v>2248</v>
      </c>
      <c r="D34" s="111">
        <f t="shared" si="1"/>
        <v>0</v>
      </c>
      <c r="E34" s="107">
        <f>COUNTIF(#REF!,"&gt;= "&amp;D34)-COUNTIF(#REF!,"&gt;="&amp;D35)</f>
        <v>0</v>
      </c>
      <c r="F34" s="108">
        <f t="shared" si="2"/>
        <v>0</v>
      </c>
      <c r="G34" s="109">
        <f>COUNTIF(#REF!,"&gt;= "&amp;F34)-COUNTIF(#REF!,"&gt;="&amp;F35)</f>
        <v>0</v>
      </c>
      <c r="H34" s="108">
        <f t="shared" si="3"/>
        <v>0</v>
      </c>
      <c r="I34" s="109">
        <f>COUNTIF(#REF!,"&gt;= "&amp;H34)-COUNTIF(#REF!,"&gt;="&amp;H35)</f>
        <v>0</v>
      </c>
      <c r="J34" s="108">
        <f t="shared" si="4"/>
        <v>0</v>
      </c>
      <c r="K34" s="109">
        <f>COUNTIF(#REF!,"&gt;= "&amp;J34)-COUNTIF(#REF!,"&gt;="&amp;J35)</f>
        <v>0</v>
      </c>
      <c r="L34" s="108">
        <f t="shared" si="5"/>
        <v>0</v>
      </c>
      <c r="M34" s="109">
        <f>COUNTIF(#REF!,"&gt;= "&amp;L34)-COUNTIF(#REF!,"&gt;="&amp;L35)</f>
        <v>0</v>
      </c>
      <c r="N34" s="108">
        <f t="shared" si="6"/>
        <v>0</v>
      </c>
      <c r="O34" s="109">
        <f>COUNTIF(#REF!,"&gt;= "&amp;N34)-COUNTIF(#REF!,"&gt;="&amp;N35)</f>
        <v>0</v>
      </c>
      <c r="P34" s="108">
        <f t="shared" si="7"/>
        <v>0</v>
      </c>
      <c r="Q34" s="109">
        <f>COUNTIF(#REF!,"&gt;= "&amp;P34)-COUNTIF(#REF!,"&gt;="&amp;P35)</f>
        <v>0</v>
      </c>
      <c r="R34" s="108">
        <f t="shared" si="8"/>
        <v>0</v>
      </c>
      <c r="S34" s="110">
        <f>COUNTIF(#REF!,"&gt;= "&amp;R34)-COUNTIF(#REF!,"&gt;="&amp;R35)</f>
        <v>0</v>
      </c>
      <c r="T34" s="108" t="e">
        <f ca="1" t="shared" si="9"/>
        <v>#REF!</v>
      </c>
      <c r="U34" s="109" t="e">
        <f ca="1" t="shared" si="10"/>
        <v>#REF!</v>
      </c>
    </row>
    <row r="35" spans="1:21" ht="15">
      <c r="A35" s="30" t="s">
        <v>1345</v>
      </c>
      <c r="B35" s="30" t="s">
        <v>1346</v>
      </c>
      <c r="D35" s="111">
        <f t="shared" si="1"/>
        <v>0</v>
      </c>
      <c r="E35" s="107">
        <f>COUNTIF(#REF!,"&gt;= "&amp;D35)-COUNTIF(#REF!,"&gt;="&amp;D36)</f>
        <v>0</v>
      </c>
      <c r="F35" s="112">
        <f t="shared" si="2"/>
        <v>0</v>
      </c>
      <c r="G35" s="113">
        <f>COUNTIF(#REF!,"&gt;= "&amp;F35)-COUNTIF(#REF!,"&gt;="&amp;F36)</f>
        <v>0</v>
      </c>
      <c r="H35" s="112">
        <f t="shared" si="3"/>
        <v>0</v>
      </c>
      <c r="I35" s="113">
        <f>COUNTIF(#REF!,"&gt;= "&amp;H35)-COUNTIF(#REF!,"&gt;="&amp;H36)</f>
        <v>0</v>
      </c>
      <c r="J35" s="112">
        <f t="shared" si="4"/>
        <v>0</v>
      </c>
      <c r="K35" s="113">
        <f>COUNTIF(#REF!,"&gt;= "&amp;J35)-COUNTIF(#REF!,"&gt;="&amp;J36)</f>
        <v>0</v>
      </c>
      <c r="L35" s="112">
        <f t="shared" si="5"/>
        <v>0</v>
      </c>
      <c r="M35" s="113">
        <f>COUNTIF(#REF!,"&gt;= "&amp;L35)-COUNTIF(#REF!,"&gt;="&amp;L36)</f>
        <v>0</v>
      </c>
      <c r="N35" s="112">
        <f t="shared" si="6"/>
        <v>0</v>
      </c>
      <c r="O35" s="113">
        <f>COUNTIF(#REF!,"&gt;= "&amp;N35)-COUNTIF(#REF!,"&gt;="&amp;N36)</f>
        <v>0</v>
      </c>
      <c r="P35" s="112">
        <f t="shared" si="7"/>
        <v>0</v>
      </c>
      <c r="Q35" s="113">
        <f>COUNTIF(#REF!,"&gt;= "&amp;P35)-COUNTIF(#REF!,"&gt;="&amp;P36)</f>
        <v>0</v>
      </c>
      <c r="R35" s="112">
        <f t="shared" si="8"/>
        <v>0</v>
      </c>
      <c r="S35" s="114">
        <f>COUNTIF(#REF!,"&gt;= "&amp;R35)-COUNTIF(#REF!,"&gt;="&amp;R36)</f>
        <v>0</v>
      </c>
      <c r="T35" s="112" t="e">
        <f ca="1" t="shared" si="9"/>
        <v>#REF!</v>
      </c>
      <c r="U35" s="113" t="e">
        <f ca="1" t="shared" si="10"/>
        <v>#REF!</v>
      </c>
    </row>
    <row r="36" spans="1:21" ht="15">
      <c r="A36" s="30" t="s">
        <v>1347</v>
      </c>
      <c r="B36" s="30" t="s">
        <v>31</v>
      </c>
      <c r="D36" s="111">
        <f>MAX(#REF!)</f>
        <v>0</v>
      </c>
      <c r="E36" s="107">
        <f>COUNTIF(#REF!,"&gt;= "&amp;D36)-COUNTIF(#REF!,"&gt;="&amp;#REF!)</f>
        <v>0</v>
      </c>
      <c r="F36" s="116">
        <f>MAX(#REF!)</f>
        <v>0</v>
      </c>
      <c r="G36" s="117">
        <f>COUNTIF(#REF!,"&gt;= "&amp;F36)-COUNTIF(#REF!,"&gt;="&amp;#REF!)</f>
        <v>0</v>
      </c>
      <c r="H36" s="116">
        <f>MAX(#REF!)</f>
        <v>0</v>
      </c>
      <c r="I36" s="117">
        <f>COUNTIF(#REF!,"&gt;= "&amp;H36)-COUNTIF(#REF!,"&gt;="&amp;#REF!)</f>
        <v>0</v>
      </c>
      <c r="J36" s="116">
        <f>MAX(#REF!)</f>
        <v>0</v>
      </c>
      <c r="K36" s="117">
        <f>COUNTIF(#REF!,"&gt;= "&amp;J36)-COUNTIF(#REF!,"&gt;="&amp;#REF!)</f>
        <v>0</v>
      </c>
      <c r="L36" s="116">
        <f>MAX(#REF!)</f>
        <v>0</v>
      </c>
      <c r="M36" s="117">
        <f>COUNTIF(#REF!,"&gt;= "&amp;L36)-COUNTIF(#REF!,"&gt;="&amp;#REF!)</f>
        <v>0</v>
      </c>
      <c r="N36" s="116">
        <f>MAX(#REF!)</f>
        <v>0</v>
      </c>
      <c r="O36" s="117">
        <f>COUNTIF(#REF!,"&gt;= "&amp;N36)-COUNTIF(#REF!,"&gt;="&amp;#REF!)</f>
        <v>0</v>
      </c>
      <c r="P36" s="116">
        <f>MAX(#REF!)</f>
        <v>0</v>
      </c>
      <c r="Q36" s="117">
        <f>COUNTIF(#REF!,"&gt;= "&amp;P36)-COUNTIF(#REF!,"&gt;="&amp;#REF!)</f>
        <v>0</v>
      </c>
      <c r="R36" s="116">
        <f>MAX(#REF!)</f>
        <v>0</v>
      </c>
      <c r="S36" s="118">
        <f>COUNTIF(#REF!,"&gt;= "&amp;R36)-COUNTIF(#REF!,"&gt;="&amp;#REF!)</f>
        <v>0</v>
      </c>
      <c r="T36" s="116" t="e">
        <f ca="1">MAX(INDIRECT(DynamicFilterSourceColumnRange))</f>
        <v>#REF!</v>
      </c>
      <c r="U36" s="117" t="e">
        <f ca="1">COUNTIF(INDIRECT(DynamicFilterSourceColumnRange),"&gt;= "&amp;T36)-COUNTIF(INDIRECT(DynamicFilterSourceColumnRange),"&gt;="&amp;#REF!)</f>
        <v>#REF!</v>
      </c>
    </row>
    <row r="37" spans="1:2" ht="15">
      <c r="A37" s="30" t="s">
        <v>1348</v>
      </c>
      <c r="B37" s="30" t="s">
        <v>31</v>
      </c>
    </row>
    <row r="38" spans="1:2" ht="15">
      <c r="A38" s="30" t="s">
        <v>1349</v>
      </c>
      <c r="B38" s="30" t="s">
        <v>31</v>
      </c>
    </row>
    <row r="39" spans="1:2" ht="15">
      <c r="A39" s="30" t="s">
        <v>1350</v>
      </c>
      <c r="B39" s="30" t="s">
        <v>708</v>
      </c>
    </row>
    <row r="40" spans="1:2" ht="15">
      <c r="A40" s="30" t="s">
        <v>1200</v>
      </c>
      <c r="B40" s="30"/>
    </row>
    <row r="41" spans="1:2" ht="15">
      <c r="A41" s="30" t="s">
        <v>1351</v>
      </c>
      <c r="B41" s="30" t="s">
        <v>708</v>
      </c>
    </row>
    <row r="42" spans="1:2" ht="15">
      <c r="A42" s="30" t="s">
        <v>1352</v>
      </c>
      <c r="B42" s="30"/>
    </row>
    <row r="43" spans="1:2" ht="15">
      <c r="A43" s="30" t="s">
        <v>1353</v>
      </c>
      <c r="B43" s="30"/>
    </row>
    <row r="60" spans="1:2" ht="15">
      <c r="A60" t="s">
        <v>2211</v>
      </c>
      <c r="B60" t="s">
        <v>1308</v>
      </c>
    </row>
    <row r="61" spans="1:2" ht="15">
      <c r="A61" s="29"/>
      <c r="B61" s="29"/>
    </row>
    <row r="62" spans="1:2" ht="15">
      <c r="A62" s="29"/>
      <c r="B62" s="29"/>
    </row>
    <row r="63" spans="1:2" ht="15">
      <c r="A63" s="29"/>
      <c r="B63" s="29"/>
    </row>
    <row r="74" spans="1:2" ht="15">
      <c r="A74" s="29" t="s">
        <v>2212</v>
      </c>
      <c r="B74" s="33" t="str">
        <f>IF(COUNT(#REF!)&gt;0,D2,NoMetricMessage)</f>
        <v>Not Available</v>
      </c>
    </row>
    <row r="75" spans="1:2" ht="15">
      <c r="A75" s="29" t="s">
        <v>1354</v>
      </c>
      <c r="B75" s="33" t="str">
        <f>IF(COUNT(#REF!)&gt;0,D36,NoMetricMessage)</f>
        <v>Not Available</v>
      </c>
    </row>
    <row r="76" spans="1:2" ht="15">
      <c r="A76" s="29" t="s">
        <v>1355</v>
      </c>
      <c r="B76" s="34" t="str">
        <f>_xlfn.IFERROR(AVERAGE(#REF!),NoMetricMessage)</f>
        <v>Not Available</v>
      </c>
    </row>
    <row r="77" spans="1:2" ht="15">
      <c r="A77" s="29" t="s">
        <v>1356</v>
      </c>
      <c r="B77" s="34" t="str">
        <f>_xlfn.IFERROR(MEDIAN(#REF!),NoMetricMessage)</f>
        <v>Not Available</v>
      </c>
    </row>
    <row r="88" spans="1:2" ht="15">
      <c r="A88" s="29" t="s">
        <v>1357</v>
      </c>
      <c r="B88" s="33" t="str">
        <f>IF(COUNT(#REF!)&gt;0,F2,NoMetricMessage)</f>
        <v>Not Available</v>
      </c>
    </row>
    <row r="89" spans="1:2" ht="15">
      <c r="A89" s="29" t="s">
        <v>1358</v>
      </c>
      <c r="B89" s="33" t="str">
        <f>IF(COUNT(#REF!)&gt;0,F36,NoMetricMessage)</f>
        <v>Not Available</v>
      </c>
    </row>
    <row r="90" spans="1:2" ht="15">
      <c r="A90" s="29" t="s">
        <v>1359</v>
      </c>
      <c r="B90" s="34" t="str">
        <f>_xlfn.IFERROR(AVERAGE(#REF!),NoMetricMessage)</f>
        <v>Not Available</v>
      </c>
    </row>
    <row r="91" spans="1:2" ht="15">
      <c r="A91" s="29" t="s">
        <v>1360</v>
      </c>
      <c r="B91" s="34" t="str">
        <f>_xlfn.IFERROR(MEDIAN(#REF!),NoMetricMessage)</f>
        <v>Not Available</v>
      </c>
    </row>
    <row r="102" spans="1:2" ht="15">
      <c r="A102" s="29" t="s">
        <v>1361</v>
      </c>
      <c r="B102" s="33" t="str">
        <f>IF(COUNT(#REF!)&gt;0,H2,NoMetricMessage)</f>
        <v>Not Available</v>
      </c>
    </row>
    <row r="103" spans="1:2" ht="15">
      <c r="A103" s="29" t="s">
        <v>1362</v>
      </c>
      <c r="B103" s="33" t="str">
        <f>IF(COUNT(#REF!)&gt;0,H36,NoMetricMessage)</f>
        <v>Not Available</v>
      </c>
    </row>
    <row r="104" spans="1:2" ht="15">
      <c r="A104" s="29" t="s">
        <v>1363</v>
      </c>
      <c r="B104" s="34" t="str">
        <f>_xlfn.IFERROR(AVERAGE(#REF!),NoMetricMessage)</f>
        <v>Not Available</v>
      </c>
    </row>
    <row r="105" spans="1:2" ht="15">
      <c r="A105" s="29" t="s">
        <v>1364</v>
      </c>
      <c r="B105" s="34" t="str">
        <f>_xlfn.IFERROR(MEDIAN(#REF!),NoMetricMessage)</f>
        <v>Not Available</v>
      </c>
    </row>
    <row r="116" spans="1:2" ht="15">
      <c r="A116" s="29" t="s">
        <v>1365</v>
      </c>
      <c r="B116" s="34" t="str">
        <f>IF(COUNT(#REF!)&gt;0,J2,NoMetricMessage)</f>
        <v>Not Available</v>
      </c>
    </row>
    <row r="117" spans="1:2" ht="15">
      <c r="A117" s="29" t="s">
        <v>1366</v>
      </c>
      <c r="B117" s="34" t="str">
        <f>IF(COUNT(#REF!)&gt;0,J36,NoMetricMessage)</f>
        <v>Not Available</v>
      </c>
    </row>
    <row r="118" spans="1:2" ht="15">
      <c r="A118" s="29" t="s">
        <v>1367</v>
      </c>
      <c r="B118" s="34" t="str">
        <f>_xlfn.IFERROR(AVERAGE(#REF!),NoMetricMessage)</f>
        <v>Not Available</v>
      </c>
    </row>
    <row r="119" spans="1:2" ht="15">
      <c r="A119" s="29" t="s">
        <v>1368</v>
      </c>
      <c r="B119" s="34" t="str">
        <f>_xlfn.IFERROR(MEDIAN(#REF!),NoMetricMessage)</f>
        <v>Not Available</v>
      </c>
    </row>
    <row r="130" spans="1:2" ht="15">
      <c r="A130" s="29" t="s">
        <v>1369</v>
      </c>
      <c r="B130" s="34" t="str">
        <f>IF(COUNT(#REF!)&gt;0,L2,NoMetricMessage)</f>
        <v>Not Available</v>
      </c>
    </row>
    <row r="131" spans="1:2" ht="15">
      <c r="A131" s="29" t="s">
        <v>1370</v>
      </c>
      <c r="B131" s="34" t="str">
        <f>IF(COUNT(#REF!)&gt;0,L36,NoMetricMessage)</f>
        <v>Not Available</v>
      </c>
    </row>
    <row r="132" spans="1:2" ht="15">
      <c r="A132" s="29" t="s">
        <v>1371</v>
      </c>
      <c r="B132" s="34" t="str">
        <f>_xlfn.IFERROR(AVERAGE(#REF!),NoMetricMessage)</f>
        <v>Not Available</v>
      </c>
    </row>
    <row r="133" spans="1:2" ht="15">
      <c r="A133" s="29" t="s">
        <v>1372</v>
      </c>
      <c r="B133" s="34" t="str">
        <f>_xlfn.IFERROR(MEDIAN(#REF!),NoMetricMessage)</f>
        <v>Not Available</v>
      </c>
    </row>
    <row r="144" spans="1:2" ht="15">
      <c r="A144" s="29" t="s">
        <v>1373</v>
      </c>
      <c r="B144" s="34" t="str">
        <f>IF(COUNT(#REF!)&gt;0,N2,NoMetricMessage)</f>
        <v>Not Available</v>
      </c>
    </row>
    <row r="145" spans="1:2" ht="15">
      <c r="A145" s="29" t="s">
        <v>1374</v>
      </c>
      <c r="B145" s="34" t="str">
        <f>IF(COUNT(#REF!)&gt;0,N36,NoMetricMessage)</f>
        <v>Not Available</v>
      </c>
    </row>
    <row r="146" spans="1:2" ht="15">
      <c r="A146" s="29" t="s">
        <v>1375</v>
      </c>
      <c r="B146" s="34" t="str">
        <f>_xlfn.IFERROR(AVERAGE(#REF!),NoMetricMessage)</f>
        <v>Not Available</v>
      </c>
    </row>
    <row r="147" spans="1:2" ht="15">
      <c r="A147" s="29" t="s">
        <v>1376</v>
      </c>
      <c r="B147" s="34" t="str">
        <f>_xlfn.IFERROR(MEDIAN(#REF!),NoMetricMessage)</f>
        <v>Not Available</v>
      </c>
    </row>
    <row r="158" spans="1:2" ht="15">
      <c r="A158" s="29" t="s">
        <v>1377</v>
      </c>
      <c r="B158" s="34" t="str">
        <f>IF(COUNT(#REF!)&gt;0,P2,NoMetricMessage)</f>
        <v>Not Available</v>
      </c>
    </row>
    <row r="159" spans="1:2" ht="15">
      <c r="A159" s="29" t="s">
        <v>1378</v>
      </c>
      <c r="B159" s="34" t="str">
        <f>IF(COUNT(#REF!)&gt;0,P36,NoMetricMessage)</f>
        <v>Not Available</v>
      </c>
    </row>
    <row r="160" spans="1:2" ht="15">
      <c r="A160" s="29" t="s">
        <v>1379</v>
      </c>
      <c r="B160" s="34" t="str">
        <f>_xlfn.IFERROR(AVERAGE(#REF!),NoMetricMessage)</f>
        <v>Not Available</v>
      </c>
    </row>
    <row r="161" spans="1:2" ht="15">
      <c r="A161" s="29" t="s">
        <v>1380</v>
      </c>
      <c r="B161" s="34" t="str">
        <f>_xlfn.IFERROR(MEDIAN(#REF!),NoMetricMessage)</f>
        <v>Not Available</v>
      </c>
    </row>
    <row r="172" spans="1:2" ht="15">
      <c r="A172" s="29" t="s">
        <v>1381</v>
      </c>
      <c r="B172" s="34" t="str">
        <f>IF(COUNT(#REF!)&gt;0,R2,NoMetricMessage)</f>
        <v>Not Available</v>
      </c>
    </row>
    <row r="173" spans="1:2" ht="15">
      <c r="A173" s="29" t="s">
        <v>1382</v>
      </c>
      <c r="B173" s="34" t="str">
        <f>IF(COUNT(#REF!)&gt;0,R36,NoMetricMessage)</f>
        <v>Not Available</v>
      </c>
    </row>
    <row r="174" spans="1:2" ht="15">
      <c r="A174" s="29" t="s">
        <v>1383</v>
      </c>
      <c r="B174" s="34" t="str">
        <f>_xlfn.IFERROR(AVERAGE(#REF!),NoMetricMessage)</f>
        <v>Not Available</v>
      </c>
    </row>
    <row r="175" spans="1:2" ht="15">
      <c r="A175" s="29" t="s">
        <v>1384</v>
      </c>
      <c r="B175" s="34" t="str">
        <f>_xlfn.IFERROR(MEDIAN(#REF!),NoMetricMessage)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2</v>
      </c>
    </row>
    <row r="2" spans="1:3" ht="15" customHeight="1">
      <c r="A2" s="7" t="s">
        <v>1439</v>
      </c>
      <c r="B2" s="63" t="s">
        <v>1440</v>
      </c>
      <c r="C2" s="39" t="s">
        <v>1441</v>
      </c>
    </row>
    <row r="3" spans="1:3" ht="15">
      <c r="A3" s="62" t="s">
        <v>1228</v>
      </c>
      <c r="B3" s="62" t="s">
        <v>1228</v>
      </c>
      <c r="C3" s="30">
        <v>51</v>
      </c>
    </row>
    <row r="4" spans="1:3" ht="15">
      <c r="A4" s="62" t="s">
        <v>1237</v>
      </c>
      <c r="B4" s="92" t="s">
        <v>1237</v>
      </c>
      <c r="C4" s="30">
        <v>22</v>
      </c>
    </row>
    <row r="5" spans="1:3" ht="15">
      <c r="A5" s="62" t="s">
        <v>1244</v>
      </c>
      <c r="B5" s="92" t="s">
        <v>1244</v>
      </c>
      <c r="C5" s="30">
        <v>12</v>
      </c>
    </row>
    <row r="6" spans="1:3" ht="15">
      <c r="A6" s="62" t="s">
        <v>1251</v>
      </c>
      <c r="B6" s="92" t="s">
        <v>1251</v>
      </c>
      <c r="C6" s="30">
        <v>11</v>
      </c>
    </row>
    <row r="7" spans="1:3" ht="15">
      <c r="A7" s="62" t="s">
        <v>1258</v>
      </c>
      <c r="B7" s="92" t="s">
        <v>1258</v>
      </c>
      <c r="C7" s="30">
        <v>5</v>
      </c>
    </row>
    <row r="8" spans="1:3" ht="15">
      <c r="A8" s="62" t="s">
        <v>1263</v>
      </c>
      <c r="B8" s="92" t="s">
        <v>1237</v>
      </c>
      <c r="C8" s="30">
        <v>2</v>
      </c>
    </row>
    <row r="9" spans="1:3" ht="15">
      <c r="A9" s="62" t="s">
        <v>1263</v>
      </c>
      <c r="B9" s="92" t="s">
        <v>1263</v>
      </c>
      <c r="C9" s="30">
        <v>8</v>
      </c>
    </row>
    <row r="10" spans="1:3" ht="15">
      <c r="A10" s="62" t="s">
        <v>1271</v>
      </c>
      <c r="B10" s="92" t="s">
        <v>1271</v>
      </c>
      <c r="C10" s="30">
        <v>6</v>
      </c>
    </row>
    <row r="11" spans="1:3" ht="15">
      <c r="A11" s="62" t="s">
        <v>1278</v>
      </c>
      <c r="B11" s="92" t="s">
        <v>1278</v>
      </c>
      <c r="C11" s="30">
        <v>2</v>
      </c>
    </row>
    <row r="12" spans="1:3" ht="15">
      <c r="A12" s="62" t="s">
        <v>1283</v>
      </c>
      <c r="B12" s="92" t="s">
        <v>1283</v>
      </c>
      <c r="C12" s="30">
        <v>2</v>
      </c>
    </row>
    <row r="13" spans="1:3" ht="15">
      <c r="A13" s="62" t="s">
        <v>1288</v>
      </c>
      <c r="B13" s="92" t="s">
        <v>1288</v>
      </c>
      <c r="C13" s="30">
        <v>1</v>
      </c>
    </row>
    <row r="14" spans="1:3" ht="15">
      <c r="A14" s="62" t="s">
        <v>1291</v>
      </c>
      <c r="B14" s="92" t="s">
        <v>1291</v>
      </c>
      <c r="C14" s="30">
        <v>1</v>
      </c>
    </row>
    <row r="15" spans="1:3" ht="15">
      <c r="A15" s="62" t="s">
        <v>1294</v>
      </c>
      <c r="B15" s="92" t="s">
        <v>1294</v>
      </c>
      <c r="C15" s="30">
        <v>2</v>
      </c>
    </row>
    <row r="16" spans="1:3" ht="15">
      <c r="A16" s="62" t="s">
        <v>1298</v>
      </c>
      <c r="B16" s="92" t="s">
        <v>1298</v>
      </c>
      <c r="C16" s="30">
        <v>2</v>
      </c>
    </row>
    <row r="17" spans="1:3" ht="15">
      <c r="A17" s="93" t="s">
        <v>1303</v>
      </c>
      <c r="B17" s="92" t="s">
        <v>1303</v>
      </c>
      <c r="C17" s="30">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b8a28dd-f089-47ac-9c11-2d591306caab" xsi:nil="true"/>
    <_ip_UnifiedCompliancePolicyProperties xmlns="http://schemas.microsoft.com/sharepoint/v3" xsi:nil="true"/>
    <lcf76f155ced4ddcb4097134ff3c332f xmlns="31b6c436-f713-4fe1-a99c-c65a6eb37354">
      <Terms xmlns="http://schemas.microsoft.com/office/infopath/2007/PartnerControls"/>
    </lcf76f155ced4ddcb4097134ff3c332f>
  </documentManagement>
</p:properties>
</file>

<file path=customXml/item2.xml><?xml version="1.0" encoding="utf-8"?>
<cdm:cachedDataManifest xmlns:cdm="http://schemas.microsoft.com/2004/VisualStudio/Tools/Applications/CachedDataManifest.xsd" cdm:revision="1"/>
</file>

<file path=customXml/item3.xml><?xml version="1.0" encoding="utf-8"?>
<ct:contentTypeSchema xmlns:ct="http://schemas.microsoft.com/office/2006/metadata/contentType" xmlns:ma="http://schemas.microsoft.com/office/2006/metadata/properties/metaAttributes" ct:_="" ma:_="" ma:contentTypeName="Document" ma:contentTypeID="0x010100E1406F92DFB30E41AA81C66778080B0F" ma:contentTypeVersion="12" ma:contentTypeDescription="Create a new document." ma:contentTypeScope="" ma:versionID="20790eb030731244c7a6f83083161b40">
  <xsd:schema xmlns:xsd="http://www.w3.org/2001/XMLSchema" xmlns:xs="http://www.w3.org/2001/XMLSchema" xmlns:p="http://schemas.microsoft.com/office/2006/metadata/properties" xmlns:ns1="http://schemas.microsoft.com/sharepoint/v3" xmlns:ns2="31b6c436-f713-4fe1-a99c-c65a6eb37354" xmlns:ns3="eb8a28dd-f089-47ac-9c11-2d591306caab" targetNamespace="http://schemas.microsoft.com/office/2006/metadata/properties" ma:root="true" ma:fieldsID="0ba578e4e6b1e59e07bd211bcce75f06" ns1:_="" ns2:_="" ns3:_="">
    <xsd:import namespace="http://schemas.microsoft.com/sharepoint/v3"/>
    <xsd:import namespace="31b6c436-f713-4fe1-a99c-c65a6eb37354"/>
    <xsd:import namespace="eb8a28dd-f089-47ac-9c11-2d591306caab"/>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1b6c436-f713-4fe1-a99c-c65a6eb37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1058dea-0d2f-4995-9c2d-c00fb411aa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8a28dd-f089-47ac-9c11-2d591306caab"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438aa312-2c08-423c-9db9-fc3a8eed11d9}" ma:internalName="TaxCatchAll" ma:showField="CatchAllData" ma:web="eb8a28dd-f089-47ac-9c11-2d591306caa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1AD240-46FF-4630-9FB6-C41EAC81B6C6}">
  <ds:schemaRefs>
    <ds:schemaRef ds:uri="http://schemas.microsoft.com/office/2006/metadata/properties"/>
    <ds:schemaRef ds:uri="http://schemas.microsoft.com/office/infopath/2007/PartnerControls"/>
    <ds:schemaRef ds:uri="http://schemas.microsoft.com/sharepoint/v3"/>
    <ds:schemaRef ds:uri="eb8a28dd-f089-47ac-9c11-2d591306caab"/>
    <ds:schemaRef ds:uri="31b6c436-f713-4fe1-a99c-c65a6eb37354"/>
  </ds:schemaRefs>
</ds:datastoreItem>
</file>

<file path=customXml/itemProps2.xml><?xml version="1.0" encoding="utf-8"?>
<ds:datastoreItem xmlns:ds="http://schemas.openxmlformats.org/officeDocument/2006/customXml" ds:itemID="{1494787A-1908-44DD-9CBF-D21F6048CECB}">
  <ds:schemaRefs>
    <ds:schemaRef ds:uri="http://schemas.microsoft.com/2004/VisualStudio/Tools/Applications/CachedDataManifest.xsd"/>
  </ds:schemaRefs>
</ds:datastoreItem>
</file>

<file path=customXml/itemProps3.xml><?xml version="1.0" encoding="utf-8"?>
<ds:datastoreItem xmlns:ds="http://schemas.openxmlformats.org/officeDocument/2006/customXml" ds:itemID="{F49496DC-AE41-4045-AAA5-3A09549B8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6c436-f713-4fe1-a99c-c65a6eb37354"/>
    <ds:schemaRef ds:uri="eb8a28dd-f089-47ac-9c11-2d591306ca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6D188D-F788-4EAC-B3B5-3489232157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Arber Ceni</cp:lastModifiedBy>
  <dcterms:created xsi:type="dcterms:W3CDTF">2008-01-30T00:41:58Z</dcterms:created>
  <dcterms:modified xsi:type="dcterms:W3CDTF">2023-10-03T12:17:22Z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ContentTypeId">
    <vt:lpwstr>0x010100E1406F92DFB30E41AA81C66778080B0F</vt:lpwstr>
  </property>
  <property fmtid="{D5CDD505-2E9C-101B-9397-08002B2CF9AE}" pid="6" name="Solution ID">
    <vt:lpwstr>{15727DE6-F92D-4E46-ACB4-0E2C58B31A18}</vt:lpwstr>
  </property>
</Properties>
</file>