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Words" sheetId="9" r:id="rId9"/>
    <sheet name="Word Pairs" sheetId="10" r:id="rId10"/>
    <sheet name="Top Items" sheetId="11" r:id="rId11"/>
    <sheet name="Network 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<sst xmlns="http://schemas.openxmlformats.org/spreadsheetml/2006/main" count="416" uniqueCount="297">
  <si>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</si>
  <si>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</si>
  <si>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</si>
  <si>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</si>
  <si>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</si>
  <si>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</si>
  <si>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</si>
  <si>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</si>
  <si>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</si>
  <si>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</si>
  <si>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</si>
  <si>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</si>
  <si>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</si>
  <si>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</si>
  <si>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</si>
  <si>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</si>
  <si>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</si>
  <si>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</si>
  <si>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</si>
  <si>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</si>
  <si>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</si>
  <si>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</si>
  <si>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</si>
  <si>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</si>
  <si>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</si>
  <si>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</si>
  <si>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</si>
  <si>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</si>
  <si>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</si>
  <si>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</si>
  <si>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</si>
  <si>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</si>
  <si>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</si>
  <si>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</si>
  <si>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</si>
  <si>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</si>
  <si>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</si>
  <si>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</si>
  <si>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</si>
  <si>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</si>
  <si>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</si>
  <si>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</si>
  <si>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</si>
  <si>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</si>
  <si>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</si>
  <si>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</si>
  <si>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</si>
  <si>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</si>
  <si>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</si>
  <si>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</si>
  <si>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</si>
  <si>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</si>
  <si>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</si>
  <si>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</si>
  <si>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</si>
  <si>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</si>
  <si>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</si>
  <si>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</si>
  <si>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</si>
  <si>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</si>
  <si>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</si>
  <si>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</si>
  <si>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</si>
  <si>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</si>
  <si>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</si>
  <si>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</si>
  <si>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</si>
  <si>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</si>
  <si>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</si>
  <si>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</si>
  <si>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</si>
  <si>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</si>
  <si>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</si>
  <si>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</si>
  <si>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</si>
  <si>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</si>
  <si>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</si>
  <si>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</si>
  <si>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</si>
  <si>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</si>
  <si>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</si>
  <si>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</si>
  <si>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</si>
  <si>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</si>
  <si>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</si>
  <si>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</si>
  <si>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</si>
  <si>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</si>
  <si>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</si>
  <si>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</si>
  <si>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</si>
  <si>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</si>
  <si>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</si>
  <si>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</si>
  <si>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</si>
  <si>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</si>
  <si>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</si>
  <si>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</si>
  <si>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</si>
  <si>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</si>
  <si>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</si>
  <si>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</si>
  <si>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</si>
  <si>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</si>
  <si>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</si>
  <si>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</si>
  <si>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</si>
  <si>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</si>
  <si>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</si>
  <si>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</si>
  <si>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</si>
  <si>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</si>
  <si>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</si>
  <si>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</si>
  <si>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</si>
  <si>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</si>
  <si>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</si>
  <si>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</si>
  <si>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</si>
  <si>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</si>
  <si>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</si>
  <si>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</si>
  <si>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</si>
  <si>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</si>
  <si>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</si>
  <si>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</si>
  <si>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</si>
  <si>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</si>
  <si>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</si>
  <si>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</si>
  <si>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</si>
  <si>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</si>
  <si>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</si>
  <si>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</si>
  <si>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</si>
  <si>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</si>
  <si>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</si>
  <si>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</si>
  <si>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</si>
  <si>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</si>
  <si>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</si>
  <si>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</si>
  <si>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</si>
  <si>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</si>
  <si>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</si>
  <si>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</si>
  <si>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</si>
  <si>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</si>
  <si>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</si>
  <si>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</si>
  <si>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</si>
  <si>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</si>
  <si>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</si>
  <si>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</si>
  <si>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</si>
  <si>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</si>
  <si>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</si>
  <si>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</si>
  <si>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</si>
  <si>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</si>
  <si>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</si>
  <si>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</si>
  <si>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</si>
  <si>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</si>
  <si>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</si>
  <si>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</si>
  <si>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</si>
  <si>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</si>
  <si>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</si>
  <si>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</si>
  <si>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</si>
  <si>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</si>
  <si>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</si>
  <si>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</si>
  <si>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</si>
  <si>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</si>
  <si>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</si>
  <si>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</si>
  <si>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</si>
  <si>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</si>
  <si>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</si>
  <si>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</si>
  <si>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</si>
  <si>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</si>
  <si>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</si>
  <si>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</si>
  <si>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</si>
  <si>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</si>
  <si>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</si>
  <si>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</si>
  <si>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</si>
  <si>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</si>
  <si>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</si>
  <si>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</si>
  <si>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</si>
  <si>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Edge Weight</t>
  </si>
  <si>
    <t>Edge Type</t>
  </si>
  <si>
    <t>Edit Comment</t>
  </si>
  <si>
    <t>Edit Size</t>
  </si>
  <si>
    <t>Redwood_City</t>
  </si>
  <si>
    <t>Redwood City, California</t>
  </si>
  <si>
    <t>Article-Article</t>
  </si>
  <si>
    <t>Hyperlink</t>
  </si>
  <si>
    <t>Custom Menu Item Text</t>
  </si>
  <si>
    <t>Custom Menu Item Action</t>
  </si>
  <si>
    <t>Vertex Type</t>
  </si>
  <si>
    <t>Content</t>
  </si>
  <si>
    <t>Age</t>
  </si>
  <si>
    <t>Gini Coefficient</t>
  </si>
  <si>
    <t>Nr Revisions</t>
  </si>
  <si>
    <t>URL</t>
  </si>
  <si>
    <t>file:///C:/Users/Marc/AppData/Local/assembly/dl3/51E42XLD.19Q/E0QTABTG.XRJ/acf7b504/52773bd8_69acd401/User.png</t>
  </si>
  <si>
    <t>Open Wiki Page for This User</t>
  </si>
  <si>
    <t>http://en.wikipedia.org/wiki/User:Redwood_City</t>
  </si>
  <si>
    <t>http://en.wikipedia.org/wiki/User:Redwood City, California</t>
  </si>
  <si>
    <t>Article</t>
  </si>
  <si>
    <t xml:space="preserve">&lt;?xml version="1.0" encoding="utf-8"?&gt;
&lt;configuration&gt;
  &lt;configSections&gt;
    &lt;sectionGroup name="userSettings" type="System.Configuration.UserSettingsGroup, System, Version=2.0.0.0, Culture=neutral, PublicKeyToken=b77a5c561934e089"&gt;
      &lt;section name="PlugInUserSettings"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&lt;/sectionGroup&gt;
  &lt;/configSections&gt;
  &lt;userSettings&gt;
    &lt;PlugInUserSettings&gt;
      &lt;setting name="PlugInFolderPath" serializeAs="String"&gt;
        &lt;value&gt;D:\Dropbox\_NodeXL\NodeXL Addins&lt;/value&gt;
      &lt;/setting&gt;
    &lt;/PlugInUserSettings&gt;
    &lt;AutoScaleUserSettings&gt;
      &lt;setting name="AutoScale" serializeAs="String"&gt;
        &lt;value&gt;True&lt;/value&gt;
      &lt;/setting&gt;
    &lt;/AutoScaleUserSettings&gt;
    &lt;DynamicFiltersUserSettings&gt;
      &lt;setting name="FilterNonNumericCells" serializeAs="String"&gt;
        &lt;value&gt;False&lt;/value&gt;
      &lt;/setting&gt;
      &lt;setting name="FilteredAlpha" serializeAs="String"&gt;
        &lt;value&gt;0&lt;/value&gt;
      &lt;/setting&gt;
    &lt;/DynamicFiltersUserSettings&gt;
    &lt;ExportDataUserSettings&gt;
      &lt;setting name="ActionLabel" serializeAs="String"&gt;
        &lt;value&gt;Buy a social media network map and report&lt;/value&gt;
      &lt;/setting&gt;
      &lt;setting name="URL" serializeAs="String"&gt;
  </t>
  </si>
  <si>
    <t xml:space="preserve">      &lt;value&gt;http://bit.ly/NodeXL&lt;/value&gt;
      &lt;/setting&gt;
      &lt;setting name="BrandLogo" serializeAs="String"&gt;
        &lt;value&gt;http://www.connectedaction.net/wp-content/uploads/2009/11/2009-Connected-Action-Logo.png&lt;/value&gt;
      &lt;/setting&gt;
      &lt;setting name="Hashtag" serializeAs="String"&gt;
        &lt;value&gt;#NodeXL&lt;/value&gt;
      &lt;/setting&gt;
      &lt;setting name="ActionURL" serializeAs="String"&gt;
        &lt;value&gt;http://bit.ly/NodeXLMaps&lt;/value&gt;
      &lt;/setting&gt;
      &lt;setting name="BrandURL" serializeAs="String"&gt;
        &lt;value&gt;http://connectedaction.net&lt;/value&gt;
      &lt;/setting&gt;
    &lt;/ExportDataUserSettings&gt;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&lt;value&gt;Connected Action Your link to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
  </si>
  <si>
    <t>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t>
  </si>
  <si>
    <t>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t>
  </si>
  <si>
    <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&lt;value&gt;CalculateSentiment░True▓TextColumnIsOnEdgeWorksheet░False▓TextColumnName░About▓CountByGroup░True▓SkipSingleTerms░True▓WordsToSkip░a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your▓SentimentList1Name░Positive▓SentimentList2Name░Negative▓SentimentList3Name░Angry▓SentimentWordsInList1░a+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t>
  </si>
  <si>
    <t>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t>
  </si>
  <si>
    <t xml:space="preser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t>
  </si>
  <si>
    <t>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t>
  </si>
  <si>
    <t>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t>
  </si>
  <si>
    <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t>
  </si>
  <si>
    <t>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t>
  </si>
  <si>
    <t>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
  </si>
  <si>
    <t>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t>
  </si>
  <si>
    <t>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t>
  </si>
  <si>
    <t>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t>
  </si>
  <si>
    <t>s wrinkle wrinkled wrinkles wrip wripped wripping writhe wrong wrongful wrongly wrought yawn zap zapped zaps zealot zealous zealously zombie▓SentimentWordsInList3░Hate Kill Hurt Shoot Destroy Bomb Knife Stab Blowup Burn&lt;/value&gt;
      &lt;/setting&gt;
      &lt;setting name="PathUserSettings" serializeAs="String"&gt;
        &lt;value&gt;EdgeColumnName░Imported ID▓EdgeParentColumnName░Unified Twitter ID▓EdgeDateTimeColumnName░Tweet Date (UTC)&lt;/value&gt;
      &lt;/setting&gt;
      &lt;setting name="OverallMetricsUserSettings" serializeAs="String"&gt;
        &lt;value&gt;ColumnNameForEdgeType░Relationship&lt;/value&gt;
      &lt;/setting&gt;
      &lt;setting name="TimeSeriesUserSettings" serializeAs="String"&gt;
        &lt;value&gt;TimeColumnName░Tweet Date (UTC)▓TimeSlice░Days▓UniqueEdges░True▓UniqueColumnName░Imported ID&lt;/value&gt;
      &lt;/setting&gt;
      &lt;setting name="NetworkTopItemsListUserSettings" serializeAs="Xml"&gt;
        &lt;value&gt;
          &lt;NetworkTopItemsListUserSettings xmlns:xsd="http://www.w3.org/2001/XMLSchema" xmlns:xsi="http://www.w3.org/2001/XMLSchema-instance"&gt;
            &lt;IsEdgeColumn&gt;false&lt;/IsEdgeColumn&gt;
            &lt;StatusColumnName&gt;About&lt;/StatusColumnName&gt;
            &lt;TopTweetersMentionedRepliedTo&gt;false&lt;/TopTweetersMentionedRepliedTo&gt;
            &lt;NetworkTopItemsUserSettingsToCalculate /&gt;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&lt;value&gt;Vertex&lt;/value&gt;
      &lt;/setting&gt;
      &lt;setting name="VertexAlphaSourceColumnName" serializeAs="String"&gt;
        &lt;value&gt;Betweenness Centrality&lt;/value&gt;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t>
  </si>
  <si>
    <t xml:space="preserve">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About&lt;/value&gt;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&lt;value&gt;Times New Roman, 38.25pt White BottomCenter 2147483647 2147483647 Black True 360 Black 86 TopLeft Microsoft Sans Serif, 48pt Microsoft Sans Serif, 14.25pt, style=Italic&lt;/value&gt;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t>
  </si>
  <si>
    <t>G1</t>
  </si>
  <si>
    <t>0, 12, 96</t>
  </si>
  <si>
    <t>Vertex Group</t>
  </si>
  <si>
    <t>Vertex 1 Group</t>
  </si>
  <si>
    <t>Vertex 2 Group</t>
  </si>
  <si>
    <t>Group 1</t>
  </si>
  <si>
    <t>Group 2</t>
  </si>
  <si>
    <t>Edges</t>
  </si>
  <si>
    <t>Graph Type</t>
  </si>
  <si>
    <t>Number of Edge Types</t>
  </si>
  <si>
    <t>Modularity</t>
  </si>
  <si>
    <t>NodeXL Version</t>
  </si>
  <si>
    <t>1.0.1.408</t>
  </si>
  <si>
    <t>Word</t>
  </si>
  <si>
    <t>Words in Sentiment List#1: Positive</t>
  </si>
  <si>
    <t>Words in Sentiment List#2: Negative</t>
  </si>
  <si>
    <t>Words in Sentiment List#3: Angry</t>
  </si>
  <si>
    <t>Non-categorized Words</t>
  </si>
  <si>
    <t>Total Words</t>
  </si>
  <si>
    <t>Count</t>
  </si>
  <si>
    <t>Salience</t>
  </si>
  <si>
    <t>(Entire graph)</t>
  </si>
  <si>
    <t>Word on Sentiment List #1: Positive</t>
  </si>
  <si>
    <t>Word on Sentiment List #2: Negative</t>
  </si>
  <si>
    <t>Word on Sentiment List #3: Angry</t>
  </si>
  <si>
    <t>Word 1</t>
  </si>
  <si>
    <t>Word 2</t>
  </si>
  <si>
    <t>Mutual Information</t>
  </si>
  <si>
    <t>Word1 on Sentiment List #1: Positive</t>
  </si>
  <si>
    <t>Word1 on Sentiment List #2: Negative</t>
  </si>
  <si>
    <t>Word1 on Sentiment List #3: Angry</t>
  </si>
  <si>
    <t>Word2 on Sentiment List #1: Positive</t>
  </si>
  <si>
    <t>Word2 on Sentiment List #2: Negative</t>
  </si>
  <si>
    <t>Word2 on Sentiment List #3: Angry</t>
  </si>
  <si>
    <t>Sentiment List #1: Positive Word Count</t>
  </si>
  <si>
    <t>Sentiment List #1: Positive Word Percentage (%)</t>
  </si>
  <si>
    <t>Sentiment List #2: Negative Word Count</t>
  </si>
  <si>
    <t>Sentiment List #2: Negative Word Percentage (%)</t>
  </si>
  <si>
    <t>Sentiment List #3: Angry Word Count</t>
  </si>
  <si>
    <t>Sentiment List #3: Angry Word Percentage (%)</t>
  </si>
  <si>
    <t>Non-categorized Word Count</t>
  </si>
  <si>
    <t>Non-categorized Word Percentage (%)</t>
  </si>
  <si>
    <t>Edge Content Word Count</t>
  </si>
  <si>
    <t>Vertex Content Word Count</t>
  </si>
  <si>
    <t>Group Content Word Count</t>
  </si>
  <si>
    <t>Top 10 Vertices, Ranked by Betweenness Centrality</t>
  </si>
  <si>
    <t>Top Words in About in Entire Graph</t>
  </si>
  <si>
    <t>Entire Graph Count</t>
  </si>
  <si>
    <t>Top Words in About in G1</t>
  </si>
  <si>
    <t>G1 Count</t>
  </si>
  <si>
    <t>Top Words in About</t>
  </si>
  <si>
    <t/>
  </si>
  <si>
    <t>Top Word Pairs in About in Entire Graph</t>
  </si>
  <si>
    <t>Top Word Pairs in About in G1</t>
  </si>
  <si>
    <t>Top Word Pairs in About</t>
  </si>
  <si>
    <t>Top Words in About by Count</t>
  </si>
  <si>
    <t>Top Words in About by Salience</t>
  </si>
  <si>
    <t>Top Word Pairs in About by Count</t>
  </si>
  <si>
    <t>Top Word Pairs in About by Salience</t>
  </si>
  <si>
    <t>Green</t>
  </si>
  <si>
    <t>Edge Weight▓1▓1▓0▓True▓Green▓Red▓▓Edge Weight▓1▓1▓0▓3▓10▓False▓Edge Weight▓1▓1▓0▓32▓6▓False▓▓0▓0▓0▓True▓Black▓Black▓▓Betweenness Centrality▓0▓0▓3▓162▓1000▓False▓Betweenness Centrality▓0▓0▓3▓100▓70▓False▓▓0▓0▓0▓0▓0▓False▓▓0▓0▓0▓0▓0▓False</t>
  </si>
  <si>
    <t>Subgraph</t>
  </si>
  <si>
    <t>GraphSource░MediaWiki▓GraphTerm░Redwood_City▓ImportDescription░The graph represents the Article-Article Hyperlinks network of the "Redwood_City" seed article in en.wikipedia.org MediaWiki domain.  The network was obtained from MediaWiki on Tuesday, 19 February 2019 at 16:10 UTC.
The 500 most recent revisions are being analyzed.▓ImportSuggestedTitle░MediaWiki Map for "Redwood_City" article▓ImportSuggestedFileNameNoExtension░2019-02-19 16-10-33 NodeXL MediaWiki Redwood_City▓GroupingDescription░The graph's vertices were grouped by cluster using the Clauset-Newman-Moore cluster algorithm.▓LayoutAlgorithm░The graph was laid out using the Harel-Koren Fast Multiscale layout algorithm.▓GraphDirectedness░The graph is directed.</t>
  </si>
  <si>
    <t>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(http://nodexlgraphgallery.org)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Facebook Fan Pages related to "RetailTech"&lt;/value&gt;
      &lt;/setting&gt;
    &lt;/GraphImageUserSettings2&gt;
    &lt;ExportToPowerPointUserSettings&gt;
      &lt;setting name="FolderPath" serializeAs="String"&gt;
        &lt;value&gt;D:\Dropbox\_NodeXL\NodeXL Data\Twitter&lt;/value&gt;
      &lt;/setting&gt;
      &lt;setting name="Footer" serializeAs="String"&gt;
        &lt;value&gt;Created with NodeXL (http://nodexl.codeplex.com) from the Social Media Research Foundation (http://www.smrfoundation.org)&lt;/value&gt;
      &lt;/setting&gt;
    &lt;/ExportToPowerPointUserSettings&gt;
    &lt;ClusterUserSettings&gt;
      &lt;setting name="ClusterAlgorithm" serializeAs="String"&gt;
        &lt;value&gt;ClausetNewmanMoore&lt;/value&gt;
      &lt;/setting&gt;
      &lt;setting name="PutNeighborlessVerticesInOneCluster" serializeAs="String"&gt;
        &lt;value&gt;True&lt;/value&gt;
      &lt;/setting&gt;
    &lt;/ClusterUserSettings&gt;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</si>
</sst>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0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0" borderId="0" xfId="0" applyAlignment="1">
      <alignment/>
    </xf>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0" fillId="3" borderId="1" xfId="23" applyNumberFormat="1" applyFont="1" applyAlignment="1">
      <alignment/>
    </xf>
    <xf numFmtId="0" fontId="0" fillId="3" borderId="11" xfId="23" applyNumberFormat="1" applyFont="1" applyBorder="1" applyAlignment="1">
      <alignment/>
    </xf>
    <xf numFmtId="0" fontId="10" fillId="0" borderId="0" xfId="28"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0" borderId="0" xfId="0"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67"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192">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64" formatCode="0.0"/>
      <border>
        <left style="thin">
          <color theme="0"/>
        </left>
      </border>
    </dxf>
    <dxf>
      <numFmt numFmtId="179" formatCode="General"/>
      <border>
        <right style="thin">
          <color theme="0"/>
        </right>
      </border>
    </dxf>
    <dxf>
      <alignment horizontal="general" vertical="bottom" textRotation="0" wrapText="1" shrinkToFit="1" readingOrder="0"/>
    </dxf>
    <dxf>
      <numFmt numFmtId="179" formatCode="General"/>
    </dxf>
    <dxf>
      <numFmt numFmtId="179" formatCode="General"/>
      <alignment horizontal="general" vertical="bottom" textRotation="0" wrapText="1" shrinkToFit="1" readingOrder="0"/>
    </dxf>
    <dxf>
      <numFmt numFmtId="179"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79" formatCode="General"/>
    </dxf>
    <dxf>
      <numFmt numFmtId="178" formatCode="@"/>
    </dxf>
    <dxf>
      <numFmt numFmtId="164" formatCode="0.0"/>
    </dxf>
    <dxf>
      <numFmt numFmtId="179" formatCode="General"/>
    </dxf>
    <dxf>
      <numFmt numFmtId="179" formatCode="General"/>
    </dxf>
    <dxf>
      <numFmt numFmtId="178" formatCode="@"/>
    </dxf>
    <dxf>
      <numFmt numFmtId="178" formatCode="@"/>
    </dxf>
    <dxf>
      <numFmt numFmtId="178" formatCode="@"/>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191"/>
      <tableStyleElement type="headerRow" dxfId="190"/>
    </tableStyle>
    <tableStyle name="NodeXL Table" pivot="0" count="1">
      <tableStyleElement type="headerRow" dxfId="18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4075023"/>
        <c:axId val="42461264"/>
      </c:barChart>
      <c:catAx>
        <c:axId val="1407502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2461264"/>
        <c:crosses val="autoZero"/>
        <c:auto val="1"/>
        <c:lblOffset val="100"/>
        <c:noMultiLvlLbl val="0"/>
      </c:catAx>
      <c:valAx>
        <c:axId val="424612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0750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8518737"/>
        <c:axId val="16846994"/>
      </c:barChart>
      <c:catAx>
        <c:axId val="851873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6846994"/>
        <c:crosses val="autoZero"/>
        <c:auto val="1"/>
        <c:lblOffset val="100"/>
        <c:noMultiLvlLbl val="0"/>
      </c:catAx>
      <c:valAx>
        <c:axId val="168469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5187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1312787"/>
        <c:axId val="43153876"/>
      </c:barChart>
      <c:catAx>
        <c:axId val="2131278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3153876"/>
        <c:crosses val="autoZero"/>
        <c:auto val="1"/>
        <c:lblOffset val="100"/>
        <c:noMultiLvlLbl val="0"/>
      </c:catAx>
      <c:valAx>
        <c:axId val="431538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3127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3538517"/>
        <c:axId val="57451542"/>
      </c:barChart>
      <c:catAx>
        <c:axId val="5353851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7451542"/>
        <c:crosses val="autoZero"/>
        <c:auto val="1"/>
        <c:lblOffset val="100"/>
        <c:noMultiLvlLbl val="0"/>
      </c:catAx>
      <c:valAx>
        <c:axId val="574515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5385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3362711"/>
        <c:axId val="3928"/>
      </c:barChart>
      <c:catAx>
        <c:axId val="4336271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28"/>
        <c:crosses val="autoZero"/>
        <c:auto val="1"/>
        <c:lblOffset val="100"/>
        <c:noMultiLvlLbl val="0"/>
      </c:catAx>
      <c:valAx>
        <c:axId val="39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3627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55321"/>
        <c:axId val="16595866"/>
      </c:barChart>
      <c:catAx>
        <c:axId val="25532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6595866"/>
        <c:crosses val="autoZero"/>
        <c:auto val="1"/>
        <c:lblOffset val="100"/>
        <c:noMultiLvlLbl val="0"/>
      </c:catAx>
      <c:valAx>
        <c:axId val="165958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53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989467"/>
        <c:axId val="55879900"/>
      </c:barChart>
      <c:catAx>
        <c:axId val="498946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5879900"/>
        <c:crosses val="autoZero"/>
        <c:auto val="1"/>
        <c:lblOffset val="100"/>
        <c:noMultiLvlLbl val="0"/>
      </c:catAx>
      <c:valAx>
        <c:axId val="558799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894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8314845"/>
        <c:axId val="3594014"/>
      </c:barChart>
      <c:catAx>
        <c:axId val="831484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594014"/>
        <c:crosses val="autoZero"/>
        <c:auto val="1"/>
        <c:lblOffset val="100"/>
        <c:noMultiLvlLbl val="0"/>
      </c:catAx>
      <c:valAx>
        <c:axId val="35940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3148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2284319"/>
        <c:axId val="18105952"/>
      </c:barChart>
      <c:catAx>
        <c:axId val="32284319"/>
        <c:scaling>
          <c:orientation val="minMax"/>
        </c:scaling>
        <c:axPos val="b"/>
        <c:delete val="1"/>
        <c:majorTickMark val="out"/>
        <c:minorTickMark val="none"/>
        <c:tickLblPos val="none"/>
        <c:crossAx val="18105952"/>
        <c:crosses val="autoZero"/>
        <c:auto val="1"/>
        <c:lblOffset val="100"/>
        <c:noMultiLvlLbl val="0"/>
      </c:catAx>
      <c:valAx>
        <c:axId val="18105952"/>
        <c:scaling>
          <c:orientation val="minMax"/>
        </c:scaling>
        <c:axPos val="l"/>
        <c:delete val="1"/>
        <c:majorTickMark val="out"/>
        <c:minorTickMark val="none"/>
        <c:tickLblPos val="none"/>
        <c:crossAx val="3228431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Redwood_Cit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Redwood City, Californi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AD3" totalsRowShown="0" headerRowDxfId="188" dataDxfId="187">
  <autoFilter ref="A2:AD3"/>
  <tableColumns count="30">
    <tableColumn id="1" name="Vertex 1" dataDxfId="137"/>
    <tableColumn id="2" name="Vertex 2" dataDxfId="135"/>
    <tableColumn id="3" name="Color" dataDxfId="136"/>
    <tableColumn id="4" name="Width" dataDxfId="186"/>
    <tableColumn id="11" name="Style" dataDxfId="185"/>
    <tableColumn id="5" name="Opacity" dataDxfId="184"/>
    <tableColumn id="6" name="Visibility" dataDxfId="183"/>
    <tableColumn id="10" name="Label" dataDxfId="182"/>
    <tableColumn id="12" name="Label Text Color" dataDxfId="181"/>
    <tableColumn id="13" name="Label Font Size" dataDxfId="180"/>
    <tableColumn id="14" name="Reciprocated?" dataDxfId="49"/>
    <tableColumn id="7" name="ID" dataDxfId="179"/>
    <tableColumn id="9" name="Dynamic Filter" dataDxfId="178"/>
    <tableColumn id="8" name="Add Your Own Columns Here" dataDxfId="134"/>
    <tableColumn id="15" name="Relationship" dataDxfId="133"/>
    <tableColumn id="16" name="Edge Weight" dataDxfId="132"/>
    <tableColumn id="17" name="Edge Type" dataDxfId="131"/>
    <tableColumn id="18" name="Edit Comment" dataDxfId="130"/>
    <tableColumn id="19" name="Edit Size" dataDxfId="107"/>
    <tableColumn id="20" name="Vertex 1 Group" dataDxfId="106">
      <calculatedColumnFormula>REPLACE(INDEX(GroupVertices[Group], MATCH(Edges[[#This Row],[Vertex 1]],GroupVertices[Vertex],0)),1,1,"")</calculatedColumnFormula>
    </tableColumn>
    <tableColumn id="21" name="Vertex 2 Group" dataDxfId="75">
      <calculatedColumnFormula>REPLACE(INDEX(GroupVertices[Group], MATCH(Edges[[#This Row],[Vertex 2]],GroupVertices[Vertex],0)),1,1,"")</calculatedColumnFormula>
    </tableColumn>
    <tableColumn id="22" name="Sentiment List #1: Positive Word Count" dataDxfId="74"/>
    <tableColumn id="23" name="Sentiment List #1: Positive Word Percentage (%)" dataDxfId="73"/>
    <tableColumn id="24" name="Sentiment List #2: Negative Word Count" dataDxfId="72"/>
    <tableColumn id="25" name="Sentiment List #2: Negative Word Percentage (%)" dataDxfId="71"/>
    <tableColumn id="26" name="Sentiment List #3: Angry Word Count" dataDxfId="70"/>
    <tableColumn id="27" name="Sentiment List #3: Angry Word Percentage (%)" dataDxfId="69"/>
    <tableColumn id="28" name="Non-categorized Word Count" dataDxfId="68"/>
    <tableColumn id="29" name="Non-categorized Word Percentage (%)" dataDxfId="67"/>
    <tableColumn id="30" name="Edge Content Word Count" dataDxfId="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3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 totalsRowShown="0" headerRowDxfId="105" dataDxfId="104">
  <autoFilter ref="A2:C3"/>
  <tableColumns count="3">
    <tableColumn id="1" name="Group 1" dataDxfId="103"/>
    <tableColumn id="2" name="Group 2" dataDxfId="102"/>
    <tableColumn id="3" name="Edges" dataDxfId="101"/>
  </tableColumns>
  <tableStyleInfo name="NodeXL Table" showFirstColumn="0" showLastColumn="0" showRowStripes="1" showColumnStripes="0"/>
</table>
</file>

<file path=xl/tables/table12.xml><?xml version="1.0" encoding="utf-8"?>
<table xmlns="http://schemas.openxmlformats.org/spreadsheetml/2006/main" id="11" name="Words" displayName="Words" ref="A1:G6" totalsRowShown="0" headerRowDxfId="98" dataDxfId="97">
  <autoFilter ref="A1:G6"/>
  <tableColumns count="7">
    <tableColumn id="1" name="Word" dataDxfId="96"/>
    <tableColumn id="2" name="Count" dataDxfId="95"/>
    <tableColumn id="3" name="Salience" dataDxfId="94"/>
    <tableColumn id="4" name="Group" dataDxfId="93"/>
    <tableColumn id="5" name="Word on Sentiment List #1: Positive" dataDxfId="92"/>
    <tableColumn id="6" name="Word on Sentiment List #2: Negative" dataDxfId="91"/>
    <tableColumn id="7" name="Word on Sentiment List #3: Angry" dataDxfId="90"/>
  </tableColumns>
  <tableStyleInfo name="NodeXL Table" showFirstColumn="0" showLastColumn="0" showRowStripes="1" showColumnStripes="0"/>
</table>
</file>

<file path=xl/tables/table13.xml><?xml version="1.0" encoding="utf-8"?>
<table xmlns="http://schemas.openxmlformats.org/spreadsheetml/2006/main" id="12" name="WordPairs" displayName="WordPairs" ref="A1:L2" totalsRowShown="0" headerRowDxfId="89" dataDxfId="88">
  <autoFilter ref="A1:L2"/>
  <tableColumns count="12">
    <tableColumn id="1" name="Word 1" dataDxfId="87"/>
    <tableColumn id="2" name="Word 2" dataDxfId="86"/>
    <tableColumn id="3" name="Count" dataDxfId="85"/>
    <tableColumn id="4" name="Salience" dataDxfId="84"/>
    <tableColumn id="5" name="Mutual Information" dataDxfId="83"/>
    <tableColumn id="6" name="Group" dataDxfId="82"/>
    <tableColumn id="7" name="Word1 on Sentiment List #1: Positive" dataDxfId="81"/>
    <tableColumn id="8" name="Word1 on Sentiment List #2: Negative" dataDxfId="80"/>
    <tableColumn id="9" name="Word1 on Sentiment List #3: Angry" dataDxfId="79"/>
    <tableColumn id="10" name="Word2 on Sentiment List #1: Positive" dataDxfId="78"/>
    <tableColumn id="11" name="Word2 on Sentiment List #2: Negative" dataDxfId="77"/>
    <tableColumn id="12" name="Word2 on Sentiment List #3: Angry" dataDxfId="76"/>
  </tableColumns>
  <tableStyleInfo name="NodeXL Table" showFirstColumn="0" showLastColumn="0" showRowStripes="1" showColumnStripes="0"/>
</table>
</file>

<file path=xl/tables/table14.xml><?xml version="1.0" encoding="utf-8"?>
<table xmlns="http://schemas.openxmlformats.org/spreadsheetml/2006/main" id="13" name="TopItems_1" displayName="TopItems_1" ref="A1:B3" totalsRowShown="0" headerRowDxfId="23" dataDxfId="22">
  <autoFilter ref="A1:B3"/>
  <tableColumns count="2">
    <tableColumn id="1" name="Top 10 Vertices, Ranked by Betweenness Centrality" dataDxfId="21"/>
    <tableColumn id="2" name="Betweenness Centrality" dataDxfId="20"/>
  </tableColumns>
  <tableStyleInfo name="NodeXL Table" showFirstColumn="0" showLastColumn="0" showRowStripes="1" showColumnStripes="0"/>
</table>
</file>

<file path=xl/tables/table15.xml><?xml version="1.0" encoding="utf-8"?>
<table xmlns="http://schemas.openxmlformats.org/spreadsheetml/2006/main" id="14" name="NetworkTopItems_1" displayName="NetworkTopItems_1" ref="A1:D6" totalsRowShown="0" headerRowDxfId="19" dataDxfId="18">
  <autoFilter ref="A1:D6"/>
  <tableColumns count="4">
    <tableColumn id="1" name="Top Words in About in Entire Graph" dataDxfId="17"/>
    <tableColumn id="2" name="Entire Graph Count" dataDxfId="16"/>
    <tableColumn id="3" name="Top Words in About in G1" dataDxfId="15"/>
    <tableColumn id="4" name="G1 Count" dataDxfId="14"/>
  </tableColumns>
  <tableStyleInfo name="NodeXL Table" showFirstColumn="0" showLastColumn="0" showRowStripes="1" showColumnStripes="0"/>
</table>
</file>

<file path=xl/tables/table16.xml><?xml version="1.0" encoding="utf-8"?>
<table xmlns="http://schemas.openxmlformats.org/spreadsheetml/2006/main" id="16" name="NetworkTopItems_2" displayName="NetworkTopItems_2" ref="A9:D10" totalsRowShown="0" headerRowDxfId="12" dataDxfId="11">
  <autoFilter ref="A9:D10"/>
  <tableColumns count="4">
    <tableColumn id="1" name="Top Word Pairs in About in Entire Graph" dataDxfId="10"/>
    <tableColumn id="2" name="Entire Graph Count" dataDxfId="9"/>
    <tableColumn id="3" name="Top Word Pairs in About in G1" dataDxfId="8"/>
    <tableColumn id="4" name="G1 Count" dataDxfId="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Z4" totalsRowShown="0" headerRowDxfId="177" dataDxfId="176">
  <autoFilter ref="A2:AZ4"/>
  <tableColumns count="52">
    <tableColumn id="1" name="Vertex" dataDxfId="175"/>
    <tableColumn id="52" name="Subgraph"/>
    <tableColumn id="2" name="Color" dataDxfId="174"/>
    <tableColumn id="5" name="Shape" dataDxfId="173"/>
    <tableColumn id="6" name="Size" dataDxfId="172"/>
    <tableColumn id="4" name="Opacity" dataDxfId="129"/>
    <tableColumn id="7" name="Image File" dataDxfId="127"/>
    <tableColumn id="3" name="Visibility" dataDxfId="128"/>
    <tableColumn id="10" name="Label" dataDxfId="171"/>
    <tableColumn id="16" name="Label Fill Color" dataDxfId="170"/>
    <tableColumn id="9" name="Label Position" dataDxfId="124"/>
    <tableColumn id="8" name="Tooltip" dataDxfId="122"/>
    <tableColumn id="18" name="Layout Order" dataDxfId="123"/>
    <tableColumn id="13" name="X" dataDxfId="169"/>
    <tableColumn id="14" name="Y" dataDxfId="168"/>
    <tableColumn id="12" name="Locked?" dataDxfId="167"/>
    <tableColumn id="19" name="Polar R" dataDxfId="166"/>
    <tableColumn id="20" name="Polar Angle" dataDxfId="165"/>
    <tableColumn id="21" name="Degree" dataDxfId="32"/>
    <tableColumn id="22" name="In-Degree" dataDxfId="31"/>
    <tableColumn id="23" name="Out-Degree" dataDxfId="28"/>
    <tableColumn id="24" name="Betweenness Centrality" dataDxfId="27"/>
    <tableColumn id="25" name="Closeness Centrality" dataDxfId="26"/>
    <tableColumn id="26" name="Eigenvector Centrality" dataDxfId="24"/>
    <tableColumn id="15" name="PageRank" dataDxfId="25"/>
    <tableColumn id="27" name="Clustering Coefficient" dataDxfId="29"/>
    <tableColumn id="29" name="Reciprocated Vertex Pair Ratio" dataDxfId="30"/>
    <tableColumn id="11" name="ID" dataDxfId="164"/>
    <tableColumn id="28" name="Dynamic Filter" dataDxfId="163"/>
    <tableColumn id="17" name="Add Your Own Columns Here" dataDxfId="126"/>
    <tableColumn id="30" name="Custom Menu Item Text" dataDxfId="125"/>
    <tableColumn id="31" name="Custom Menu Item Action" dataDxfId="121"/>
    <tableColumn id="32" name="Vertex Type" dataDxfId="120"/>
    <tableColumn id="33" name="Content" dataDxfId="119"/>
    <tableColumn id="34" name="Age" dataDxfId="118"/>
    <tableColumn id="35" name="Gini Coefficient" dataDxfId="117"/>
    <tableColumn id="36" name="Nr Revisions" dataDxfId="116"/>
    <tableColumn id="37" name="URL" dataDxfId="108"/>
    <tableColumn id="38" name="Vertex Group" dataDxfId="65">
      <calculatedColumnFormula>REPLACE(INDEX(GroupVertices[Group], MATCH(Vertices[[#This Row],[Vertex]],GroupVertices[Vertex],0)),1,1,"")</calculatedColumnFormula>
    </tableColumn>
    <tableColumn id="39" name="Sentiment List #1: Positive Word Count" dataDxfId="64"/>
    <tableColumn id="40" name="Sentiment List #1: Positive Word Percentage (%)" dataDxfId="63"/>
    <tableColumn id="41" name="Sentiment List #2: Negative Word Count" dataDxfId="62"/>
    <tableColumn id="42" name="Sentiment List #2: Negative Word Percentage (%)" dataDxfId="61"/>
    <tableColumn id="43" name="Sentiment List #3: Angry Word Count" dataDxfId="60"/>
    <tableColumn id="44" name="Sentiment List #3: Angry Word Percentage (%)" dataDxfId="59"/>
    <tableColumn id="45" name="Non-categorized Word Count" dataDxfId="58"/>
    <tableColumn id="46" name="Non-categorized Word Percentage (%)" dataDxfId="57"/>
    <tableColumn id="47" name="Vertex Content Word Count" dataDxfId="4"/>
    <tableColumn id="48" name="Top Words in About by Count" dataDxfId="3"/>
    <tableColumn id="49" name="Top Words in About by Salience" dataDxfId="2"/>
    <tableColumn id="50" name="Top Word Pairs in About by Count" dataDxfId="1"/>
    <tableColumn id="51" name="Top Word Pairs in About by Salience"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I3" totalsRowShown="0" headerRowDxfId="162">
  <autoFilter ref="A2:AI3"/>
  <tableColumns count="35">
    <tableColumn id="1" name="Group" dataDxfId="115"/>
    <tableColumn id="2" name="Vertex Color" dataDxfId="114"/>
    <tableColumn id="3" name="Vertex Shape" dataDxfId="112"/>
    <tableColumn id="22" name="Visibility" dataDxfId="113"/>
    <tableColumn id="4" name="Collapsed?"/>
    <tableColumn id="18" name="Label" dataDxfId="161"/>
    <tableColumn id="20" name="Collapsed X"/>
    <tableColumn id="21" name="Collapsed Y"/>
    <tableColumn id="6" name="ID" dataDxfId="160"/>
    <tableColumn id="19" name="Collapsed Properties" dataDxfId="48"/>
    <tableColumn id="5" name="Vertices" dataDxfId="47"/>
    <tableColumn id="7" name="Unique Edges" dataDxfId="46"/>
    <tableColumn id="8" name="Edges With Duplicates" dataDxfId="45"/>
    <tableColumn id="9" name="Total Edges" dataDxfId="44"/>
    <tableColumn id="10" name="Self-Loops" dataDxfId="43"/>
    <tableColumn id="24" name="Reciprocated Vertex Pair Ratio" dataDxfId="42"/>
    <tableColumn id="25" name="Reciprocated Edge Ratio" dataDxfId="41"/>
    <tableColumn id="11" name="Connected Components" dataDxfId="40"/>
    <tableColumn id="12" name="Single-Vertex Connected Components" dataDxfId="39"/>
    <tableColumn id="13" name="Maximum Vertices in a Connected Component" dataDxfId="38"/>
    <tableColumn id="14" name="Maximum Edges in a Connected Component" dataDxfId="37"/>
    <tableColumn id="15" name="Maximum Geodesic Distance (Diameter)" dataDxfId="36"/>
    <tableColumn id="16" name="Average Geodesic Distance" dataDxfId="35"/>
    <tableColumn id="17" name="Graph Density" dataDxfId="33"/>
    <tableColumn id="23" name="Sentiment List #1: Positive Word Count" dataDxfId="34"/>
    <tableColumn id="26" name="Sentiment List #1: Positive Word Percentage (%)" dataDxfId="56"/>
    <tableColumn id="27" name="Sentiment List #2: Negative Word Count" dataDxfId="55"/>
    <tableColumn id="28" name="Sentiment List #2: Negative Word Percentage (%)" dataDxfId="54"/>
    <tableColumn id="29" name="Sentiment List #3: Angry Word Count" dataDxfId="53"/>
    <tableColumn id="30" name="Sentiment List #3: Angry Word Percentage (%)" dataDxfId="52"/>
    <tableColumn id="31" name="Non-categorized Word Count" dataDxfId="51"/>
    <tableColumn id="32" name="Non-categorized Word Percentage (%)" dataDxfId="50"/>
    <tableColumn id="33" name="Group Content Word Count" dataDxfId="13"/>
    <tableColumn id="34" name="Top Words in About" dataDxfId="6"/>
    <tableColumn id="35" name="Top Word Pairs in About" dataDxfId="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 totalsRowShown="0" headerRowDxfId="159" dataDxfId="158">
  <autoFilter ref="A1:C3"/>
  <tableColumns count="3">
    <tableColumn id="1" name="Group" dataDxfId="111"/>
    <tableColumn id="2" name="Vertex" dataDxfId="110"/>
    <tableColumn id="3" name="Vertex ID" dataDxfId="10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0" totalsRowShown="0">
  <autoFilter ref="A1:B30"/>
  <tableColumns count="2">
    <tableColumn id="1" name="Graph Metric" dataDxfId="100"/>
    <tableColumn id="2" name="Value" dataDxfId="9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57"/>
    <tableColumn id="2" name="Degree Frequency" dataDxfId="156">
      <calculatedColumnFormula>COUNTIF(Vertices[Degree], "&gt;= " &amp; D2) - COUNTIF(Vertices[Degree], "&gt;=" &amp; D3)</calculatedColumnFormula>
    </tableColumn>
    <tableColumn id="3" name="In-Degree Bin" dataDxfId="155"/>
    <tableColumn id="4" name="In-Degree Frequency" dataDxfId="154">
      <calculatedColumnFormula>COUNTIF(Vertices[In-Degree], "&gt;= " &amp; F2) - COUNTIF(Vertices[In-Degree], "&gt;=" &amp; F3)</calculatedColumnFormula>
    </tableColumn>
    <tableColumn id="5" name="Out-Degree Bin" dataDxfId="153"/>
    <tableColumn id="6" name="Out-Degree Frequency" dataDxfId="152">
      <calculatedColumnFormula>COUNTIF(Vertices[Out-Degree], "&gt;= " &amp; H2) - COUNTIF(Vertices[Out-Degree], "&gt;=" &amp; H3)</calculatedColumnFormula>
    </tableColumn>
    <tableColumn id="7" name="Betweenness Centrality Bin" dataDxfId="151"/>
    <tableColumn id="8" name="Betweenness Centrality Frequency" dataDxfId="150">
      <calculatedColumnFormula>COUNTIF(Vertices[Betweenness Centrality], "&gt;= " &amp; J2) - COUNTIF(Vertices[Betweenness Centrality], "&gt;=" &amp; J3)</calculatedColumnFormula>
    </tableColumn>
    <tableColumn id="9" name="Closeness Centrality Bin" dataDxfId="149"/>
    <tableColumn id="10" name="Closeness Centrality Frequency" dataDxfId="148">
      <calculatedColumnFormula>COUNTIF(Vertices[Closeness Centrality], "&gt;= " &amp; L2) - COUNTIF(Vertices[Closeness Centrality], "&gt;=" &amp; L3)</calculatedColumnFormula>
    </tableColumn>
    <tableColumn id="11" name="Eigenvector Centrality Bin" dataDxfId="147"/>
    <tableColumn id="12" name="Eigenvector Centrality Frequency" dataDxfId="146">
      <calculatedColumnFormula>COUNTIF(Vertices[Eigenvector Centrality], "&gt;= " &amp; N2) - COUNTIF(Vertices[Eigenvector Centrality], "&gt;=" &amp; N3)</calculatedColumnFormula>
    </tableColumn>
    <tableColumn id="18" name="PageRank Bin" dataDxfId="145"/>
    <tableColumn id="17" name="PageRank Frequency" dataDxfId="144">
      <calculatedColumnFormula>COUNTIF(Vertices[Eigenvector Centrality], "&gt;= " &amp; P2) - COUNTIF(Vertices[Eigenvector Centrality], "&gt;=" &amp; P3)</calculatedColumnFormula>
    </tableColumn>
    <tableColumn id="13" name="Clustering Coefficient Bin" dataDxfId="143"/>
    <tableColumn id="14" name="Clustering Coefficient Frequency" dataDxfId="142">
      <calculatedColumnFormula>COUNTIF(Vertices[Clustering Coefficient], "&gt;= " &amp; R2) - COUNTIF(Vertices[Clustering Coefficient], "&gt;=" &amp; R3)</calculatedColumnFormula>
    </tableColumn>
    <tableColumn id="15" name="Dynamic Filter Bin" dataDxfId="141"/>
    <tableColumn id="16" name="Dynamic Filter Frequency" dataDxfId="14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139">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 Id="rId2" Type="http://schemas.openxmlformats.org/officeDocument/2006/relationships/table" Target="../tables/table16.xml" /></Relationships>
</file>

<file path=xl/worksheets/_rels/sheet2.xml.rels><?xml version="1.0" encoding="utf-8" standalone="yes"?><Relationships xmlns="http://schemas.openxmlformats.org/package/2006/relationships"><Relationship Id="rId1" Type="http://schemas.openxmlformats.org/officeDocument/2006/relationships/hyperlink" Target="http://en.wikipedia.org/wiki/User:Redwood_City"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table" Target="../tables/table2.xml" /><Relationship Id="rId5" Type="http://schemas.openxmlformats.org/officeDocument/2006/relationships/drawing" Target="../drawings/drawing1.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9.7109375" style="0" bestFit="1" customWidth="1"/>
    <col min="17" max="17" width="7.57421875" style="0" bestFit="1" customWidth="1"/>
    <col min="18" max="18" width="12.00390625" style="0" bestFit="1" customWidth="1"/>
    <col min="19" max="21" width="10.7109375" style="0" bestFit="1" customWidth="1"/>
    <col min="22" max="22" width="21.7109375" style="0" bestFit="1" customWidth="1"/>
    <col min="23" max="23" width="27.00390625" style="0" bestFit="1" customWidth="1"/>
    <col min="24" max="24" width="22.57421875" style="0" bestFit="1" customWidth="1"/>
    <col min="25" max="25" width="28.00390625" style="0" bestFit="1" customWidth="1"/>
    <col min="26" max="26" width="19.7109375" style="0" bestFit="1" customWidth="1"/>
    <col min="27" max="27" width="25.00390625" style="0" bestFit="1" customWidth="1"/>
    <col min="28" max="28" width="18.140625" style="0" bestFit="1" customWidth="1"/>
    <col min="29" max="29" width="22.28125" style="0" bestFit="1" customWidth="1"/>
    <col min="30" max="30" width="15.140625" style="0" bestFit="1" customWidth="1"/>
  </cols>
  <sheetData>
    <row r="1" spans="3:14" ht="15">
      <c r="C1" s="17" t="s">
        <v>39</v>
      </c>
      <c r="D1" s="18"/>
      <c r="E1" s="18"/>
      <c r="F1" s="18"/>
      <c r="G1" s="17"/>
      <c r="H1" s="15" t="s">
        <v>43</v>
      </c>
      <c r="I1" s="64"/>
      <c r="J1" s="64"/>
      <c r="K1" s="34" t="s">
        <v>42</v>
      </c>
      <c r="L1" s="19" t="s">
        <v>40</v>
      </c>
      <c r="M1" s="19"/>
      <c r="N1" s="16" t="s">
        <v>41</v>
      </c>
    </row>
    <row r="2" spans="1:30"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236</v>
      </c>
      <c r="U2" s="13" t="s">
        <v>237</v>
      </c>
      <c r="V2" s="67" t="s">
        <v>267</v>
      </c>
      <c r="W2" s="67" t="s">
        <v>268</v>
      </c>
      <c r="X2" s="67" t="s">
        <v>269</v>
      </c>
      <c r="Y2" s="67" t="s">
        <v>270</v>
      </c>
      <c r="Z2" s="67" t="s">
        <v>271</v>
      </c>
      <c r="AA2" s="67" t="s">
        <v>272</v>
      </c>
      <c r="AB2" s="67" t="s">
        <v>273</v>
      </c>
      <c r="AC2" s="67" t="s">
        <v>274</v>
      </c>
      <c r="AD2" s="67" t="s">
        <v>275</v>
      </c>
    </row>
    <row r="3" spans="1:30" ht="15" customHeight="1">
      <c r="A3" s="81" t="s">
        <v>199</v>
      </c>
      <c r="B3" s="81" t="s">
        <v>200</v>
      </c>
      <c r="C3" s="52" t="s">
        <v>292</v>
      </c>
      <c r="D3" s="53">
        <v>3</v>
      </c>
      <c r="E3" s="65" t="s">
        <v>132</v>
      </c>
      <c r="F3" s="54">
        <v>32</v>
      </c>
      <c r="G3" s="52"/>
      <c r="H3" s="56"/>
      <c r="I3" s="55"/>
      <c r="J3" s="55"/>
      <c r="K3" s="35" t="s">
        <v>65</v>
      </c>
      <c r="L3" s="61">
        <v>3</v>
      </c>
      <c r="M3" s="61"/>
      <c r="N3" s="62"/>
      <c r="O3" s="82" t="s">
        <v>201</v>
      </c>
      <c r="P3" s="82">
        <v>1</v>
      </c>
      <c r="Q3" s="82" t="s">
        <v>202</v>
      </c>
      <c r="R3" s="82"/>
      <c r="S3" s="82"/>
      <c r="T3" s="82" t="str">
        <f>REPLACE(INDEX(GroupVertices[Group],MATCH(Edges[[#This Row],[Vertex 1]],GroupVertices[Vertex],0)),1,1,"")</f>
        <v>1</v>
      </c>
      <c r="U3" s="82" t="str">
        <f>REPLACE(INDEX(GroupVertices[Group],MATCH(Edges[[#This Row],[Vertex 2]],GroupVertices[Vertex],0)),1,1,"")</f>
        <v>1</v>
      </c>
      <c r="V3" s="35"/>
      <c r="W3" s="35"/>
      <c r="X3" s="35"/>
      <c r="Y3" s="35"/>
      <c r="Z3" s="35"/>
      <c r="AA3" s="35"/>
      <c r="AB3" s="35"/>
      <c r="AC3" s="35"/>
      <c r="AD3" s="35"/>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34.28125" style="0" bestFit="1" customWidth="1"/>
    <col min="10" max="10" width="36.421875" style="0" bestFit="1" customWidth="1"/>
    <col min="11" max="11" width="37.28125" style="0" bestFit="1" customWidth="1"/>
    <col min="12" max="12" width="34.28125" style="0" bestFit="1" customWidth="1"/>
  </cols>
  <sheetData>
    <row r="1" spans="1:12" ht="15" customHeight="1">
      <c r="A1" s="82" t="s">
        <v>258</v>
      </c>
      <c r="B1" s="82" t="s">
        <v>259</v>
      </c>
      <c r="C1" s="82" t="s">
        <v>252</v>
      </c>
      <c r="D1" s="82" t="s">
        <v>253</v>
      </c>
      <c r="E1" s="82" t="s">
        <v>260</v>
      </c>
      <c r="F1" s="82" t="s">
        <v>144</v>
      </c>
      <c r="G1" s="82" t="s">
        <v>261</v>
      </c>
      <c r="H1" s="82" t="s">
        <v>262</v>
      </c>
      <c r="I1" s="82" t="s">
        <v>263</v>
      </c>
      <c r="J1" s="82" t="s">
        <v>264</v>
      </c>
      <c r="K1" s="82" t="s">
        <v>265</v>
      </c>
      <c r="L1" s="82" t="s">
        <v>266</v>
      </c>
    </row>
    <row r="2" spans="1:12" ht="15">
      <c r="A2" s="82"/>
      <c r="B2" s="82"/>
      <c r="C2" s="82"/>
      <c r="D2" s="106"/>
      <c r="E2" s="106"/>
      <c r="F2" s="82"/>
      <c r="G2" s="82"/>
      <c r="H2" s="82"/>
      <c r="I2" s="82"/>
      <c r="J2" s="82"/>
      <c r="K2" s="82"/>
      <c r="L2" s="82"/>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278</v>
      </c>
      <c r="B1" s="13" t="s">
        <v>34</v>
      </c>
    </row>
    <row r="2" spans="1:2" ht="15">
      <c r="A2" s="101" t="s">
        <v>200</v>
      </c>
      <c r="B2" s="82">
        <v>0</v>
      </c>
    </row>
    <row r="3" spans="1:2" ht="15">
      <c r="A3" s="101" t="s">
        <v>199</v>
      </c>
      <c r="B3" s="82">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279</v>
      </c>
      <c r="B1" s="13" t="s">
        <v>280</v>
      </c>
      <c r="C1" s="82" t="s">
        <v>281</v>
      </c>
      <c r="D1" s="82" t="s">
        <v>282</v>
      </c>
    </row>
    <row r="2" spans="1:4" ht="15">
      <c r="A2" s="102" t="s">
        <v>247</v>
      </c>
      <c r="B2" s="102">
        <v>0</v>
      </c>
      <c r="C2" s="102"/>
      <c r="D2" s="102"/>
    </row>
    <row r="3" spans="1:4" ht="15">
      <c r="A3" s="102" t="s">
        <v>248</v>
      </c>
      <c r="B3" s="102">
        <v>0</v>
      </c>
      <c r="C3" s="102"/>
      <c r="D3" s="102"/>
    </row>
    <row r="4" spans="1:4" ht="15">
      <c r="A4" s="102" t="s">
        <v>249</v>
      </c>
      <c r="B4" s="102">
        <v>0</v>
      </c>
      <c r="C4" s="102"/>
      <c r="D4" s="102"/>
    </row>
    <row r="5" spans="1:4" ht="15">
      <c r="A5" s="102" t="s">
        <v>250</v>
      </c>
      <c r="B5" s="102">
        <v>0</v>
      </c>
      <c r="C5" s="102"/>
      <c r="D5" s="102"/>
    </row>
    <row r="6" spans="1:4" ht="15">
      <c r="A6" s="102" t="s">
        <v>251</v>
      </c>
      <c r="B6" s="102">
        <v>0</v>
      </c>
      <c r="C6" s="102"/>
      <c r="D6" s="102"/>
    </row>
    <row r="9" spans="1:4" ht="15" customHeight="1">
      <c r="A9" s="82" t="s">
        <v>285</v>
      </c>
      <c r="B9" s="82" t="s">
        <v>280</v>
      </c>
      <c r="C9" s="82" t="s">
        <v>286</v>
      </c>
      <c r="D9" s="82" t="s">
        <v>282</v>
      </c>
    </row>
    <row r="10" spans="1:4" ht="15">
      <c r="A10" s="82"/>
      <c r="B10" s="82"/>
      <c r="C10" s="82"/>
      <c r="D10" s="82"/>
    </row>
  </sheetData>
  <printOptions/>
  <pageMargins left="0.7" right="0.7" top="0.75" bottom="0.75" header="0.3" footer="0.3"/>
  <pageSetup orientation="portrait" paperSize="9"/>
  <tableParts>
    <tablePart r:id="rId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4"/>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2" width="15.7109375" style="3" customWidth="1"/>
    <col min="33" max="33" width="14.00390625" style="3" customWidth="1"/>
    <col min="34" max="34" width="10.421875" style="3" customWidth="1"/>
    <col min="35" max="35" width="6.7109375" style="0" customWidth="1"/>
    <col min="36" max="36" width="13.140625" style="0" customWidth="1"/>
    <col min="37" max="37" width="14.28125" style="0" customWidth="1"/>
    <col min="38" max="38" width="6.57421875" style="0" customWidth="1"/>
    <col min="39" max="39" width="9.28125" style="0" customWidth="1"/>
    <col min="40" max="40" width="21.7109375" style="0" customWidth="1"/>
    <col min="41" max="41" width="27.00390625" style="0" customWidth="1"/>
    <col min="42" max="42" width="22.57421875" style="0" customWidth="1"/>
    <col min="43" max="43" width="28.00390625" style="0" customWidth="1"/>
    <col min="44" max="44" width="19.7109375" style="0" customWidth="1"/>
    <col min="45" max="45" width="25.00390625" style="0" customWidth="1"/>
    <col min="46" max="46" width="18.140625" style="0" customWidth="1"/>
    <col min="47" max="47" width="22.28125" style="0" customWidth="1"/>
    <col min="48" max="48" width="17.00390625" style="0" customWidth="1"/>
    <col min="49" max="49" width="17.140625" style="0" customWidth="1"/>
    <col min="50" max="50" width="19.28125" style="0" customWidth="1"/>
    <col min="51" max="51" width="18.8515625" style="0" customWidth="1"/>
    <col min="52" max="52" width="19.28125" style="0" customWidth="1"/>
  </cols>
  <sheetData>
    <row r="1" spans="2:34" ht="15">
      <c r="B1" s="1"/>
      <c r="C1" s="24" t="s">
        <v>39</v>
      </c>
      <c r="D1" s="17"/>
      <c r="E1" s="17"/>
      <c r="F1" s="17"/>
      <c r="G1" s="17"/>
      <c r="H1" s="17"/>
      <c r="I1" s="26" t="s">
        <v>43</v>
      </c>
      <c r="J1" s="25"/>
      <c r="K1" s="25"/>
      <c r="L1" s="25"/>
      <c r="M1" s="28" t="s">
        <v>44</v>
      </c>
      <c r="N1" s="27"/>
      <c r="O1" s="27"/>
      <c r="P1" s="27"/>
      <c r="Q1" s="27"/>
      <c r="R1" s="27"/>
      <c r="S1" s="23" t="s">
        <v>42</v>
      </c>
      <c r="T1" s="20"/>
      <c r="U1" s="21"/>
      <c r="V1" s="22"/>
      <c r="W1" s="20"/>
      <c r="X1" s="20"/>
      <c r="Y1" s="20"/>
      <c r="Z1" s="20"/>
      <c r="AA1" s="20"/>
      <c r="AB1" s="29" t="s">
        <v>40</v>
      </c>
      <c r="AC1" s="19"/>
      <c r="AD1" s="30" t="s">
        <v>41</v>
      </c>
      <c r="AE1"/>
      <c r="AF1"/>
      <c r="AG1"/>
      <c r="AH1"/>
    </row>
    <row r="2" spans="1:54" ht="30" customHeight="1">
      <c r="A2" s="11" t="s">
        <v>5</v>
      </c>
      <c r="B2" t="s">
        <v>294</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203</v>
      </c>
      <c r="AF2" s="13" t="s">
        <v>204</v>
      </c>
      <c r="AG2" s="13" t="s">
        <v>205</v>
      </c>
      <c r="AH2" s="13" t="s">
        <v>206</v>
      </c>
      <c r="AI2" s="13" t="s">
        <v>207</v>
      </c>
      <c r="AJ2" s="13" t="s">
        <v>208</v>
      </c>
      <c r="AK2" s="13" t="s">
        <v>209</v>
      </c>
      <c r="AL2" s="13" t="s">
        <v>210</v>
      </c>
      <c r="AM2" s="13" t="s">
        <v>235</v>
      </c>
      <c r="AN2" s="107" t="s">
        <v>267</v>
      </c>
      <c r="AO2" s="107" t="s">
        <v>268</v>
      </c>
      <c r="AP2" s="107" t="s">
        <v>269</v>
      </c>
      <c r="AQ2" s="107" t="s">
        <v>270</v>
      </c>
      <c r="AR2" s="107" t="s">
        <v>271</v>
      </c>
      <c r="AS2" s="107" t="s">
        <v>272</v>
      </c>
      <c r="AT2" s="107" t="s">
        <v>273</v>
      </c>
      <c r="AU2" s="107" t="s">
        <v>274</v>
      </c>
      <c r="AV2" s="107" t="s">
        <v>276</v>
      </c>
      <c r="AW2" s="107" t="s">
        <v>288</v>
      </c>
      <c r="AX2" s="107" t="s">
        <v>289</v>
      </c>
      <c r="AY2" s="107" t="s">
        <v>290</v>
      </c>
      <c r="AZ2" s="107" t="s">
        <v>291</v>
      </c>
      <c r="BA2" s="3"/>
      <c r="BB2" s="3"/>
    </row>
    <row r="3" spans="1:54" ht="41.45" customHeight="1">
      <c r="A3" s="49" t="s">
        <v>199</v>
      </c>
      <c r="C3" s="52"/>
      <c r="D3" s="52" t="s">
        <v>64</v>
      </c>
      <c r="E3" s="53">
        <v>162</v>
      </c>
      <c r="F3" s="54">
        <v>100</v>
      </c>
      <c r="G3" s="96" t="s">
        <v>211</v>
      </c>
      <c r="H3" s="52"/>
      <c r="I3" s="56" t="s">
        <v>199</v>
      </c>
      <c r="J3" s="55"/>
      <c r="K3" s="55"/>
      <c r="L3" s="99" t="s">
        <v>199</v>
      </c>
      <c r="M3" s="58">
        <v>1</v>
      </c>
      <c r="N3" s="59">
        <v>7419.42822265625</v>
      </c>
      <c r="O3" s="59">
        <v>4999.5</v>
      </c>
      <c r="P3" s="57"/>
      <c r="Q3" s="60"/>
      <c r="R3" s="60"/>
      <c r="S3" s="50"/>
      <c r="T3" s="50">
        <v>0</v>
      </c>
      <c r="U3" s="50">
        <v>1</v>
      </c>
      <c r="V3" s="51">
        <v>0</v>
      </c>
      <c r="W3" s="51">
        <v>1</v>
      </c>
      <c r="X3" s="51">
        <v>0.5</v>
      </c>
      <c r="Y3" s="51">
        <v>0.999717</v>
      </c>
      <c r="Z3" s="51">
        <v>0</v>
      </c>
      <c r="AA3" s="51">
        <v>0</v>
      </c>
      <c r="AB3" s="61">
        <v>3</v>
      </c>
      <c r="AC3" s="61"/>
      <c r="AD3" s="62"/>
      <c r="AE3" s="82" t="s">
        <v>212</v>
      </c>
      <c r="AF3" s="98" t="s">
        <v>213</v>
      </c>
      <c r="AG3" s="82" t="s">
        <v>215</v>
      </c>
      <c r="AH3" s="82"/>
      <c r="AI3" s="82"/>
      <c r="AJ3" s="82">
        <v>0</v>
      </c>
      <c r="AK3" s="82">
        <v>1</v>
      </c>
      <c r="AL3" s="82"/>
      <c r="AM3" s="82" t="str">
        <f>REPLACE(INDEX(GroupVertices[Group],MATCH(Vertices[[#This Row],[Vertex]],GroupVertices[Vertex],0)),1,1,"")</f>
        <v>1</v>
      </c>
      <c r="AN3" s="50"/>
      <c r="AO3" s="51"/>
      <c r="AP3" s="50"/>
      <c r="AQ3" s="51"/>
      <c r="AR3" s="50"/>
      <c r="AS3" s="51"/>
      <c r="AT3" s="50"/>
      <c r="AU3" s="51"/>
      <c r="AV3" s="50"/>
      <c r="AW3" s="108" t="s">
        <v>284</v>
      </c>
      <c r="AX3" s="108" t="s">
        <v>284</v>
      </c>
      <c r="AY3" s="108" t="s">
        <v>284</v>
      </c>
      <c r="AZ3" s="108" t="s">
        <v>284</v>
      </c>
      <c r="BA3" s="3"/>
      <c r="BB3" s="3"/>
    </row>
    <row r="4" spans="1:57" ht="41.45" customHeight="1">
      <c r="A4" s="83" t="s">
        <v>200</v>
      </c>
      <c r="C4" s="84"/>
      <c r="D4" s="84" t="s">
        <v>64</v>
      </c>
      <c r="E4" s="85">
        <v>162</v>
      </c>
      <c r="F4" s="86">
        <v>100</v>
      </c>
      <c r="G4" s="97" t="s">
        <v>211</v>
      </c>
      <c r="H4" s="84"/>
      <c r="I4" s="87" t="s">
        <v>200</v>
      </c>
      <c r="J4" s="88"/>
      <c r="K4" s="88"/>
      <c r="L4" s="100" t="s">
        <v>200</v>
      </c>
      <c r="M4" s="89">
        <v>1</v>
      </c>
      <c r="N4" s="90">
        <v>2579.571533203125</v>
      </c>
      <c r="O4" s="90">
        <v>4999.5</v>
      </c>
      <c r="P4" s="91"/>
      <c r="Q4" s="92"/>
      <c r="R4" s="92"/>
      <c r="S4" s="93"/>
      <c r="T4" s="50">
        <v>1</v>
      </c>
      <c r="U4" s="50">
        <v>0</v>
      </c>
      <c r="V4" s="51">
        <v>0</v>
      </c>
      <c r="W4" s="51">
        <v>1</v>
      </c>
      <c r="X4" s="51">
        <v>0.5</v>
      </c>
      <c r="Y4" s="51">
        <v>0.999717</v>
      </c>
      <c r="Z4" s="51">
        <v>0</v>
      </c>
      <c r="AA4" s="51">
        <v>0</v>
      </c>
      <c r="AB4" s="94">
        <v>4</v>
      </c>
      <c r="AC4" s="94"/>
      <c r="AD4" s="95"/>
      <c r="AE4" s="82" t="s">
        <v>212</v>
      </c>
      <c r="AF4" s="82" t="s">
        <v>214</v>
      </c>
      <c r="AG4" s="82" t="s">
        <v>215</v>
      </c>
      <c r="AH4" s="82"/>
      <c r="AI4" s="82"/>
      <c r="AJ4" s="82">
        <v>0.385579</v>
      </c>
      <c r="AK4" s="82">
        <v>500</v>
      </c>
      <c r="AL4" s="82"/>
      <c r="AM4" s="82" t="str">
        <f>REPLACE(INDEX(GroupVertices[Group],MATCH(Vertices[[#This Row],[Vertex]],GroupVertices[Vertex],0)),1,1,"")</f>
        <v>1</v>
      </c>
      <c r="AN4" s="50"/>
      <c r="AO4" s="51"/>
      <c r="AP4" s="50"/>
      <c r="AQ4" s="51"/>
      <c r="AR4" s="50"/>
      <c r="AS4" s="51"/>
      <c r="AT4" s="50"/>
      <c r="AU4" s="51"/>
      <c r="AV4" s="50"/>
      <c r="AW4" s="50"/>
      <c r="AX4" s="50"/>
      <c r="AY4" s="50"/>
      <c r="AZ4" s="50"/>
      <c r="BA4" s="2"/>
      <c r="BB4" s="3"/>
      <c r="BC4" s="3"/>
      <c r="BD4" s="3"/>
      <c r="BE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4"/>
    <dataValidation allowBlank="1" errorTitle="Invalid Vertex Visibility" error="You have entered an unrecognized vertex visibility.  Try selecting from the drop-down list instead." sqref="BA3"/>
    <dataValidation allowBlank="1" showErrorMessage="1" sqref="BA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4"/>
    <dataValidation allowBlank="1" showInputMessage="1" promptTitle="Vertex Tooltip" prompt="Enter optional text that will pop up when the mouse is hovered over the vertex." errorTitle="Invalid Vertex Image Key" sqref="L3:L4"/>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4"/>
    <dataValidation allowBlank="1" showInputMessage="1" promptTitle="Vertex Label Fill Color" prompt="To select an optional fill color for the Label shape, right-click and select Select Color on the right-click menu." sqref="J3:J4"/>
    <dataValidation allowBlank="1" showInputMessage="1" promptTitle="Vertex Image File" prompt="Enter the path to an image file.  Hover over the column header for examples." errorTitle="Invalid Vertex Image Key" sqref="G3:G4"/>
    <dataValidation allowBlank="1" showInputMessage="1" promptTitle="Vertex Color" prompt="To select an optional vertex color, right-click and select Select Color on the right-click menu." sqref="C3:C4"/>
    <dataValidation allowBlank="1" showInputMessage="1" promptTitle="Vertex Opacity" prompt="Enter an optional vertex opacity between 0 (transparent) and 100 (opaque)." errorTitle="Invalid Vertex Opacity" error="The optional vertex opacity must be a whole number between 0 and 10." sqref="F3:F4"/>
    <dataValidation type="list" allowBlank="1" showInputMessage="1" showErrorMessage="1" promptTitle="Vertex Shape" prompt="Select an optional vertex shape." errorTitle="Invalid Vertex Shape" error="You have entered an invalid vertex shape.  Try selecting from the drop-down list instead." sqref="D3:D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4">
      <formula1>ValidVertexLabelPositions</formula1>
    </dataValidation>
    <dataValidation allowBlank="1" showInputMessage="1" showErrorMessage="1" promptTitle="Vertex Name" prompt="Enter the name of the vertex." sqref="A3:A4"/>
  </dataValidations>
  <hyperlinks>
    <hyperlink ref="AF3" r:id="rId1" display="http://en.wikipedia.org/wiki/User:Redwood_City"/>
  </hyperlinks>
  <printOptions/>
  <pageMargins left="0.7" right="0.7" top="0.75" bottom="0.75" header="0.3" footer="0.3"/>
  <pageSetup horizontalDpi="600" verticalDpi="600" orientation="portrait" r:id="rId6"/>
  <drawing r:id="rId5"/>
  <legacyDrawing r:id="rId3"/>
  <tableParts>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19.7109375" style="0" bestFit="1" customWidth="1"/>
    <col min="30" max="30" width="25.00390625" style="0" bestFit="1" customWidth="1"/>
    <col min="31" max="31" width="18.140625" style="0" bestFit="1" customWidth="1"/>
    <col min="32" max="32" width="22.28125" style="0" bestFit="1" customWidth="1"/>
    <col min="33" max="33" width="16.421875" style="0" bestFit="1" customWidth="1"/>
    <col min="34" max="34" width="12.7109375" style="0" bestFit="1" customWidth="1"/>
    <col min="35" max="35" width="15.71093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3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267</v>
      </c>
      <c r="Z2" s="67" t="s">
        <v>268</v>
      </c>
      <c r="AA2" s="67" t="s">
        <v>269</v>
      </c>
      <c r="AB2" s="67" t="s">
        <v>270</v>
      </c>
      <c r="AC2" s="67" t="s">
        <v>271</v>
      </c>
      <c r="AD2" s="67" t="s">
        <v>272</v>
      </c>
      <c r="AE2" s="67" t="s">
        <v>273</v>
      </c>
      <c r="AF2" s="67" t="s">
        <v>274</v>
      </c>
      <c r="AG2" s="67" t="s">
        <v>277</v>
      </c>
      <c r="AH2" s="13" t="s">
        <v>283</v>
      </c>
      <c r="AI2" s="13" t="s">
        <v>287</v>
      </c>
    </row>
    <row r="3" spans="1:35" ht="15">
      <c r="A3" s="81" t="s">
        <v>233</v>
      </c>
      <c r="B3" s="96" t="s">
        <v>234</v>
      </c>
      <c r="C3" s="96" t="s">
        <v>56</v>
      </c>
      <c r="D3" s="14"/>
      <c r="E3" s="14"/>
      <c r="F3" s="15" t="s">
        <v>233</v>
      </c>
      <c r="G3" s="77"/>
      <c r="H3" s="77"/>
      <c r="I3" s="63">
        <v>3</v>
      </c>
      <c r="J3" s="63"/>
      <c r="K3" s="50">
        <v>2</v>
      </c>
      <c r="L3" s="50">
        <v>1</v>
      </c>
      <c r="M3" s="50">
        <v>0</v>
      </c>
      <c r="N3" s="50">
        <v>1</v>
      </c>
      <c r="O3" s="50">
        <v>0</v>
      </c>
      <c r="P3" s="51">
        <v>0</v>
      </c>
      <c r="Q3" s="51">
        <v>0</v>
      </c>
      <c r="R3" s="50">
        <v>1</v>
      </c>
      <c r="S3" s="50">
        <v>0</v>
      </c>
      <c r="T3" s="50">
        <v>2</v>
      </c>
      <c r="U3" s="50">
        <v>1</v>
      </c>
      <c r="V3" s="50">
        <v>1</v>
      </c>
      <c r="W3" s="51">
        <v>0.5</v>
      </c>
      <c r="X3" s="51">
        <v>0.5</v>
      </c>
      <c r="Y3" s="50">
        <v>0</v>
      </c>
      <c r="Z3" s="51">
        <v>0</v>
      </c>
      <c r="AA3" s="50">
        <v>0</v>
      </c>
      <c r="AB3" s="51">
        <v>0</v>
      </c>
      <c r="AC3" s="50">
        <v>0</v>
      </c>
      <c r="AD3" s="51">
        <v>0</v>
      </c>
      <c r="AE3" s="50">
        <v>0</v>
      </c>
      <c r="AF3" s="51">
        <v>0</v>
      </c>
      <c r="AG3" s="50">
        <v>0</v>
      </c>
      <c r="AH3" s="102" t="s">
        <v>284</v>
      </c>
      <c r="AI3" s="102" t="s">
        <v>284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2" t="s">
        <v>233</v>
      </c>
      <c r="B2" s="102" t="s">
        <v>199</v>
      </c>
      <c r="C2" s="82">
        <f>VLOOKUP(GroupVertices[[#This Row],[Vertex]],Vertices[],MATCH("ID",Vertices[[#Headers],[Vertex]:[Top Word Pairs in About by Salience]],0),FALSE)</f>
        <v>3</v>
      </c>
    </row>
    <row r="3" spans="1:3" ht="15">
      <c r="A3" s="82" t="s">
        <v>233</v>
      </c>
      <c r="B3" s="102" t="s">
        <v>200</v>
      </c>
      <c r="C3" s="82">
        <f>VLOOKUP(GroupVertices[[#This Row],[Vertex]],Vertices[],MATCH("ID",Vertices[[#Headers],[Vertex]:[Top Word Pairs in About by Salience]],0),FALSE)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241</v>
      </c>
      <c r="B2" s="35" t="s">
        <v>191</v>
      </c>
      <c r="D2" s="32">
        <f>MIN(Vertices[Degree])</f>
        <v>0</v>
      </c>
      <c r="E2" s="3">
        <f>COUNTIF(Vertices[Degree],"&gt;= "&amp;D2)-COUNTIF(Vertices[Degree],"&gt;="&amp;D3)</f>
        <v>0</v>
      </c>
      <c r="F2" s="38">
        <f>MIN(Vertices[In-Degree])</f>
        <v>0</v>
      </c>
      <c r="G2" s="39">
        <f>COUNTIF(Vertices[In-Degree],"&gt;= "&amp;F2)-COUNTIF(Vertices[In-Degree],"&gt;="&amp;F3)</f>
        <v>1</v>
      </c>
      <c r="H2" s="38">
        <f>MIN(Vertices[Out-Degree])</f>
        <v>0</v>
      </c>
      <c r="I2" s="39">
        <f>COUNTIF(Vertices[Out-Degree],"&gt;= "&amp;H2)-COUNTIF(Vertices[Out-Degree],"&gt;="&amp;H3)</f>
        <v>1</v>
      </c>
      <c r="J2" s="38">
        <f>MIN(Vertices[Betweenness Centrality])</f>
        <v>0</v>
      </c>
      <c r="K2" s="39">
        <f>COUNTIF(Vertices[Betweenness Centrality],"&gt;= "&amp;J2)-COUNTIF(Vertices[Betweenness Centrality],"&gt;="&amp;J3)</f>
        <v>0</v>
      </c>
      <c r="L2" s="38">
        <f>MIN(Vertices[Closeness Centrality])</f>
        <v>1</v>
      </c>
      <c r="M2" s="39">
        <f>COUNTIF(Vertices[Closeness Centrality],"&gt;= "&amp;L2)-COUNTIF(Vertices[Closeness Centrality],"&gt;="&amp;L3)</f>
        <v>0</v>
      </c>
      <c r="N2" s="38">
        <f>MIN(Vertices[Eigenvector Centrality])</f>
        <v>0.5</v>
      </c>
      <c r="O2" s="39">
        <f>COUNTIF(Vertices[Eigenvector Centrality],"&gt;= "&amp;N2)-COUNTIF(Vertices[Eigenvector Centrality],"&gt;="&amp;N3)</f>
        <v>0</v>
      </c>
      <c r="P2" s="38">
        <f>MIN(Vertices[PageRank])</f>
        <v>0.999717</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105"/>
      <c r="B3" s="105"/>
      <c r="D3" s="33">
        <f aca="true" t="shared" si="1" ref="D3:D26">D2+($D$57-$D$2)/BinDivisor</f>
        <v>0</v>
      </c>
      <c r="E3" s="3">
        <f>COUNTIF(Vertices[Degree],"&gt;= "&amp;D3)-COUNTIF(Vertices[Degree],"&gt;="&amp;D4)</f>
        <v>0</v>
      </c>
      <c r="F3" s="40">
        <f aca="true" t="shared" si="2" ref="F3:F26">F2+($F$57-$F$2)/BinDivisor</f>
        <v>0.01818181818181818</v>
      </c>
      <c r="G3" s="41">
        <f>COUNTIF(Vertices[In-Degree],"&gt;= "&amp;F3)-COUNTIF(Vertices[In-Degree],"&gt;="&amp;F4)</f>
        <v>0</v>
      </c>
      <c r="H3" s="40">
        <f aca="true" t="shared" si="3" ref="H3:H26">H2+($H$57-$H$2)/BinDivisor</f>
        <v>0.01818181818181818</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1</v>
      </c>
      <c r="M3" s="41">
        <f>COUNTIF(Vertices[Closeness Centrality],"&gt;= "&amp;L3)-COUNTIF(Vertices[Closeness Centrality],"&gt;="&amp;L4)</f>
        <v>0</v>
      </c>
      <c r="N3" s="40">
        <f aca="true" t="shared" si="6" ref="N3:N26">N2+($N$57-$N$2)/BinDivisor</f>
        <v>0.5</v>
      </c>
      <c r="O3" s="41">
        <f>COUNTIF(Vertices[Eigenvector Centrality],"&gt;= "&amp;N3)-COUNTIF(Vertices[Eigenvector Centrality],"&gt;="&amp;N4)</f>
        <v>0</v>
      </c>
      <c r="P3" s="40">
        <f aca="true" t="shared" si="7" ref="P3:P26">P2+($P$57-$P$2)/BinDivisor</f>
        <v>0.999717</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2</v>
      </c>
      <c r="D4" s="33">
        <f t="shared" si="1"/>
        <v>0</v>
      </c>
      <c r="E4" s="3">
        <f>COUNTIF(Vertices[Degree],"&gt;= "&amp;D4)-COUNTIF(Vertices[Degree],"&gt;="&amp;D5)</f>
        <v>0</v>
      </c>
      <c r="F4" s="38">
        <f t="shared" si="2"/>
        <v>0.03636363636363636</v>
      </c>
      <c r="G4" s="39">
        <f>COUNTIF(Vertices[In-Degree],"&gt;= "&amp;F4)-COUNTIF(Vertices[In-Degree],"&gt;="&amp;F5)</f>
        <v>0</v>
      </c>
      <c r="H4" s="38">
        <f t="shared" si="3"/>
        <v>0.03636363636363636</v>
      </c>
      <c r="I4" s="39">
        <f>COUNTIF(Vertices[Out-Degree],"&gt;= "&amp;H4)-COUNTIF(Vertices[Out-Degree],"&gt;="&amp;H5)</f>
        <v>0</v>
      </c>
      <c r="J4" s="38">
        <f t="shared" si="4"/>
        <v>0</v>
      </c>
      <c r="K4" s="39">
        <f>COUNTIF(Vertices[Betweenness Centrality],"&gt;= "&amp;J4)-COUNTIF(Vertices[Betweenness Centrality],"&gt;="&amp;J5)</f>
        <v>0</v>
      </c>
      <c r="L4" s="38">
        <f t="shared" si="5"/>
        <v>1</v>
      </c>
      <c r="M4" s="39">
        <f>COUNTIF(Vertices[Closeness Centrality],"&gt;= "&amp;L4)-COUNTIF(Vertices[Closeness Centrality],"&gt;="&amp;L5)</f>
        <v>0</v>
      </c>
      <c r="N4" s="38">
        <f t="shared" si="6"/>
        <v>0.5</v>
      </c>
      <c r="O4" s="39">
        <f>COUNTIF(Vertices[Eigenvector Centrality],"&gt;= "&amp;N4)-COUNTIF(Vertices[Eigenvector Centrality],"&gt;="&amp;N5)</f>
        <v>0</v>
      </c>
      <c r="P4" s="38">
        <f t="shared" si="7"/>
        <v>0.999717</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05"/>
      <c r="B5" s="105"/>
      <c r="D5" s="33">
        <f t="shared" si="1"/>
        <v>0</v>
      </c>
      <c r="E5" s="3">
        <f>COUNTIF(Vertices[Degree],"&gt;= "&amp;D5)-COUNTIF(Vertices[Degree],"&gt;="&amp;D6)</f>
        <v>0</v>
      </c>
      <c r="F5" s="40">
        <f t="shared" si="2"/>
        <v>0.05454545454545454</v>
      </c>
      <c r="G5" s="41">
        <f>COUNTIF(Vertices[In-Degree],"&gt;= "&amp;F5)-COUNTIF(Vertices[In-Degree],"&gt;="&amp;F6)</f>
        <v>0</v>
      </c>
      <c r="H5" s="40">
        <f t="shared" si="3"/>
        <v>0.05454545454545454</v>
      </c>
      <c r="I5" s="41">
        <f>COUNTIF(Vertices[Out-Degree],"&gt;= "&amp;H5)-COUNTIF(Vertices[Out-Degree],"&gt;="&amp;H6)</f>
        <v>0</v>
      </c>
      <c r="J5" s="40">
        <f t="shared" si="4"/>
        <v>0</v>
      </c>
      <c r="K5" s="41">
        <f>COUNTIF(Vertices[Betweenness Centrality],"&gt;= "&amp;J5)-COUNTIF(Vertices[Betweenness Centrality],"&gt;="&amp;J6)</f>
        <v>0</v>
      </c>
      <c r="L5" s="40">
        <f t="shared" si="5"/>
        <v>1</v>
      </c>
      <c r="M5" s="41">
        <f>COUNTIF(Vertices[Closeness Centrality],"&gt;= "&amp;L5)-COUNTIF(Vertices[Closeness Centrality],"&gt;="&amp;L6)</f>
        <v>0</v>
      </c>
      <c r="N5" s="40">
        <f t="shared" si="6"/>
        <v>0.5</v>
      </c>
      <c r="O5" s="41">
        <f>COUNTIF(Vertices[Eigenvector Centrality],"&gt;= "&amp;N5)-COUNTIF(Vertices[Eigenvector Centrality],"&gt;="&amp;N6)</f>
        <v>0</v>
      </c>
      <c r="P5" s="40">
        <f t="shared" si="7"/>
        <v>0.999717</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1</v>
      </c>
      <c r="D6" s="33">
        <f t="shared" si="1"/>
        <v>0</v>
      </c>
      <c r="E6" s="3">
        <f>COUNTIF(Vertices[Degree],"&gt;= "&amp;D6)-COUNTIF(Vertices[Degree],"&gt;="&amp;D7)</f>
        <v>0</v>
      </c>
      <c r="F6" s="38">
        <f t="shared" si="2"/>
        <v>0.07272727272727272</v>
      </c>
      <c r="G6" s="39">
        <f>COUNTIF(Vertices[In-Degree],"&gt;= "&amp;F6)-COUNTIF(Vertices[In-Degree],"&gt;="&amp;F7)</f>
        <v>0</v>
      </c>
      <c r="H6" s="38">
        <f t="shared" si="3"/>
        <v>0.07272727272727272</v>
      </c>
      <c r="I6" s="39">
        <f>COUNTIF(Vertices[Out-Degree],"&gt;= "&amp;H6)-COUNTIF(Vertices[Out-Degree],"&gt;="&amp;H7)</f>
        <v>0</v>
      </c>
      <c r="J6" s="38">
        <f t="shared" si="4"/>
        <v>0</v>
      </c>
      <c r="K6" s="39">
        <f>COUNTIF(Vertices[Betweenness Centrality],"&gt;= "&amp;J6)-COUNTIF(Vertices[Betweenness Centrality],"&gt;="&amp;J7)</f>
        <v>0</v>
      </c>
      <c r="L6" s="38">
        <f t="shared" si="5"/>
        <v>1</v>
      </c>
      <c r="M6" s="39">
        <f>COUNTIF(Vertices[Closeness Centrality],"&gt;= "&amp;L6)-COUNTIF(Vertices[Closeness Centrality],"&gt;="&amp;L7)</f>
        <v>0</v>
      </c>
      <c r="N6" s="38">
        <f t="shared" si="6"/>
        <v>0.5</v>
      </c>
      <c r="O6" s="39">
        <f>COUNTIF(Vertices[Eigenvector Centrality],"&gt;= "&amp;N6)-COUNTIF(Vertices[Eigenvector Centrality],"&gt;="&amp;N7)</f>
        <v>0</v>
      </c>
      <c r="P6" s="38">
        <f t="shared" si="7"/>
        <v>0.999717</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0.09090909090909091</v>
      </c>
      <c r="G7" s="41">
        <f>COUNTIF(Vertices[In-Degree],"&gt;= "&amp;F7)-COUNTIF(Vertices[In-Degree],"&gt;="&amp;F8)</f>
        <v>0</v>
      </c>
      <c r="H7" s="40">
        <f t="shared" si="3"/>
        <v>0.09090909090909091</v>
      </c>
      <c r="I7" s="41">
        <f>COUNTIF(Vertices[Out-Degree],"&gt;= "&amp;H7)-COUNTIF(Vertices[Out-Degree],"&gt;="&amp;H8)</f>
        <v>0</v>
      </c>
      <c r="J7" s="40">
        <f t="shared" si="4"/>
        <v>0</v>
      </c>
      <c r="K7" s="41">
        <f>COUNTIF(Vertices[Betweenness Centrality],"&gt;= "&amp;J7)-COUNTIF(Vertices[Betweenness Centrality],"&gt;="&amp;J8)</f>
        <v>0</v>
      </c>
      <c r="L7" s="40">
        <f t="shared" si="5"/>
        <v>1</v>
      </c>
      <c r="M7" s="41">
        <f>COUNTIF(Vertices[Closeness Centrality],"&gt;= "&amp;L7)-COUNTIF(Vertices[Closeness Centrality],"&gt;="&amp;L8)</f>
        <v>0</v>
      </c>
      <c r="N7" s="40">
        <f t="shared" si="6"/>
        <v>0.5</v>
      </c>
      <c r="O7" s="41">
        <f>COUNTIF(Vertices[Eigenvector Centrality],"&gt;= "&amp;N7)-COUNTIF(Vertices[Eigenvector Centrality],"&gt;="&amp;N8)</f>
        <v>0</v>
      </c>
      <c r="P7" s="40">
        <f t="shared" si="7"/>
        <v>0.999717</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1</v>
      </c>
      <c r="D8" s="33">
        <f t="shared" si="1"/>
        <v>0</v>
      </c>
      <c r="E8" s="3">
        <f>COUNTIF(Vertices[Degree],"&gt;= "&amp;D8)-COUNTIF(Vertices[Degree],"&gt;="&amp;D9)</f>
        <v>0</v>
      </c>
      <c r="F8" s="38">
        <f t="shared" si="2"/>
        <v>0.1090909090909091</v>
      </c>
      <c r="G8" s="39">
        <f>COUNTIF(Vertices[In-Degree],"&gt;= "&amp;F8)-COUNTIF(Vertices[In-Degree],"&gt;="&amp;F9)</f>
        <v>0</v>
      </c>
      <c r="H8" s="38">
        <f t="shared" si="3"/>
        <v>0.1090909090909091</v>
      </c>
      <c r="I8" s="39">
        <f>COUNTIF(Vertices[Out-Degree],"&gt;= "&amp;H8)-COUNTIF(Vertices[Out-Degree],"&gt;="&amp;H9)</f>
        <v>0</v>
      </c>
      <c r="J8" s="38">
        <f t="shared" si="4"/>
        <v>0</v>
      </c>
      <c r="K8" s="39">
        <f>COUNTIF(Vertices[Betweenness Centrality],"&gt;= "&amp;J8)-COUNTIF(Vertices[Betweenness Centrality],"&gt;="&amp;J9)</f>
        <v>0</v>
      </c>
      <c r="L8" s="38">
        <f t="shared" si="5"/>
        <v>1</v>
      </c>
      <c r="M8" s="39">
        <f>COUNTIF(Vertices[Closeness Centrality],"&gt;= "&amp;L8)-COUNTIF(Vertices[Closeness Centrality],"&gt;="&amp;L9)</f>
        <v>0</v>
      </c>
      <c r="N8" s="38">
        <f t="shared" si="6"/>
        <v>0.5</v>
      </c>
      <c r="O8" s="39">
        <f>COUNTIF(Vertices[Eigenvector Centrality],"&gt;= "&amp;N8)-COUNTIF(Vertices[Eigenvector Centrality],"&gt;="&amp;N9)</f>
        <v>0</v>
      </c>
      <c r="P8" s="38">
        <f t="shared" si="7"/>
        <v>0.999717</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05"/>
      <c r="B9" s="105"/>
      <c r="D9" s="33">
        <f t="shared" si="1"/>
        <v>0</v>
      </c>
      <c r="E9" s="3">
        <f>COUNTIF(Vertices[Degree],"&gt;= "&amp;D9)-COUNTIF(Vertices[Degree],"&gt;="&amp;D10)</f>
        <v>0</v>
      </c>
      <c r="F9" s="40">
        <f t="shared" si="2"/>
        <v>0.1272727272727273</v>
      </c>
      <c r="G9" s="41">
        <f>COUNTIF(Vertices[In-Degree],"&gt;= "&amp;F9)-COUNTIF(Vertices[In-Degree],"&gt;="&amp;F10)</f>
        <v>0</v>
      </c>
      <c r="H9" s="40">
        <f t="shared" si="3"/>
        <v>0.1272727272727273</v>
      </c>
      <c r="I9" s="41">
        <f>COUNTIF(Vertices[Out-Degree],"&gt;= "&amp;H9)-COUNTIF(Vertices[Out-Degree],"&gt;="&amp;H10)</f>
        <v>0</v>
      </c>
      <c r="J9" s="40">
        <f t="shared" si="4"/>
        <v>0</v>
      </c>
      <c r="K9" s="41">
        <f>COUNTIF(Vertices[Betweenness Centrality],"&gt;= "&amp;J9)-COUNTIF(Vertices[Betweenness Centrality],"&gt;="&amp;J10)</f>
        <v>0</v>
      </c>
      <c r="L9" s="40">
        <f t="shared" si="5"/>
        <v>1</v>
      </c>
      <c r="M9" s="41">
        <f>COUNTIF(Vertices[Closeness Centrality],"&gt;= "&amp;L9)-COUNTIF(Vertices[Closeness Centrality],"&gt;="&amp;L10)</f>
        <v>0</v>
      </c>
      <c r="N9" s="40">
        <f t="shared" si="6"/>
        <v>0.5</v>
      </c>
      <c r="O9" s="41">
        <f>COUNTIF(Vertices[Eigenvector Centrality],"&gt;= "&amp;N9)-COUNTIF(Vertices[Eigenvector Centrality],"&gt;="&amp;N10)</f>
        <v>0</v>
      </c>
      <c r="P9" s="40">
        <f t="shared" si="7"/>
        <v>0.999717</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242</v>
      </c>
      <c r="B10" s="35">
        <v>1</v>
      </c>
      <c r="D10" s="33">
        <f t="shared" si="1"/>
        <v>0</v>
      </c>
      <c r="E10" s="3">
        <f>COUNTIF(Vertices[Degree],"&gt;= "&amp;D10)-COUNTIF(Vertices[Degree],"&gt;="&amp;D11)</f>
        <v>0</v>
      </c>
      <c r="F10" s="38">
        <f t="shared" si="2"/>
        <v>0.14545454545454548</v>
      </c>
      <c r="G10" s="39">
        <f>COUNTIF(Vertices[In-Degree],"&gt;= "&amp;F10)-COUNTIF(Vertices[In-Degree],"&gt;="&amp;F11)</f>
        <v>0</v>
      </c>
      <c r="H10" s="38">
        <f t="shared" si="3"/>
        <v>0.14545454545454548</v>
      </c>
      <c r="I10" s="39">
        <f>COUNTIF(Vertices[Out-Degree],"&gt;= "&amp;H10)-COUNTIF(Vertices[Out-Degree],"&gt;="&amp;H11)</f>
        <v>0</v>
      </c>
      <c r="J10" s="38">
        <f t="shared" si="4"/>
        <v>0</v>
      </c>
      <c r="K10" s="39">
        <f>COUNTIF(Vertices[Betweenness Centrality],"&gt;= "&amp;J10)-COUNTIF(Vertices[Betweenness Centrality],"&gt;="&amp;J11)</f>
        <v>0</v>
      </c>
      <c r="L10" s="38">
        <f t="shared" si="5"/>
        <v>1</v>
      </c>
      <c r="M10" s="39">
        <f>COUNTIF(Vertices[Closeness Centrality],"&gt;= "&amp;L10)-COUNTIF(Vertices[Closeness Centrality],"&gt;="&amp;L11)</f>
        <v>0</v>
      </c>
      <c r="N10" s="38">
        <f t="shared" si="6"/>
        <v>0.5</v>
      </c>
      <c r="O10" s="39">
        <f>COUNTIF(Vertices[Eigenvector Centrality],"&gt;= "&amp;N10)-COUNTIF(Vertices[Eigenvector Centrality],"&gt;="&amp;N11)</f>
        <v>0</v>
      </c>
      <c r="P10" s="38">
        <f t="shared" si="7"/>
        <v>0.999717</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05"/>
      <c r="B11" s="105"/>
      <c r="D11" s="33">
        <f t="shared" si="1"/>
        <v>0</v>
      </c>
      <c r="E11" s="3">
        <f>COUNTIF(Vertices[Degree],"&gt;= "&amp;D11)-COUNTIF(Vertices[Degree],"&gt;="&amp;D12)</f>
        <v>0</v>
      </c>
      <c r="F11" s="40">
        <f t="shared" si="2"/>
        <v>0.16363636363636366</v>
      </c>
      <c r="G11" s="41">
        <f>COUNTIF(Vertices[In-Degree],"&gt;= "&amp;F11)-COUNTIF(Vertices[In-Degree],"&gt;="&amp;F12)</f>
        <v>0</v>
      </c>
      <c r="H11" s="40">
        <f t="shared" si="3"/>
        <v>0.16363636363636366</v>
      </c>
      <c r="I11" s="41">
        <f>COUNTIF(Vertices[Out-Degree],"&gt;= "&amp;H11)-COUNTIF(Vertices[Out-Degree],"&gt;="&amp;H12)</f>
        <v>0</v>
      </c>
      <c r="J11" s="40">
        <f t="shared" si="4"/>
        <v>0</v>
      </c>
      <c r="K11" s="41">
        <f>COUNTIF(Vertices[Betweenness Centrality],"&gt;= "&amp;J11)-COUNTIF(Vertices[Betweenness Centrality],"&gt;="&amp;J12)</f>
        <v>0</v>
      </c>
      <c r="L11" s="40">
        <f t="shared" si="5"/>
        <v>1</v>
      </c>
      <c r="M11" s="41">
        <f>COUNTIF(Vertices[Closeness Centrality],"&gt;= "&amp;L11)-COUNTIF(Vertices[Closeness Centrality],"&gt;="&amp;L12)</f>
        <v>0</v>
      </c>
      <c r="N11" s="40">
        <f t="shared" si="6"/>
        <v>0.5</v>
      </c>
      <c r="O11" s="41">
        <f>COUNTIF(Vertices[Eigenvector Centrality],"&gt;= "&amp;N11)-COUNTIF(Vertices[Eigenvector Centrality],"&gt;="&amp;N12)</f>
        <v>0</v>
      </c>
      <c r="P11" s="40">
        <f t="shared" si="7"/>
        <v>0.999717</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201</v>
      </c>
      <c r="B12" s="35">
        <v>1</v>
      </c>
      <c r="D12" s="33">
        <f t="shared" si="1"/>
        <v>0</v>
      </c>
      <c r="E12" s="3">
        <f>COUNTIF(Vertices[Degree],"&gt;= "&amp;D12)-COUNTIF(Vertices[Degree],"&gt;="&amp;D13)</f>
        <v>0</v>
      </c>
      <c r="F12" s="38">
        <f t="shared" si="2"/>
        <v>0.18181818181818185</v>
      </c>
      <c r="G12" s="39">
        <f>COUNTIF(Vertices[In-Degree],"&gt;= "&amp;F12)-COUNTIF(Vertices[In-Degree],"&gt;="&amp;F13)</f>
        <v>0</v>
      </c>
      <c r="H12" s="38">
        <f t="shared" si="3"/>
        <v>0.18181818181818185</v>
      </c>
      <c r="I12" s="39">
        <f>COUNTIF(Vertices[Out-Degree],"&gt;= "&amp;H12)-COUNTIF(Vertices[Out-Degree],"&gt;="&amp;H13)</f>
        <v>0</v>
      </c>
      <c r="J12" s="38">
        <f t="shared" si="4"/>
        <v>0</v>
      </c>
      <c r="K12" s="39">
        <f>COUNTIF(Vertices[Betweenness Centrality],"&gt;= "&amp;J12)-COUNTIF(Vertices[Betweenness Centrality],"&gt;="&amp;J13)</f>
        <v>0</v>
      </c>
      <c r="L12" s="38">
        <f t="shared" si="5"/>
        <v>1</v>
      </c>
      <c r="M12" s="39">
        <f>COUNTIF(Vertices[Closeness Centrality],"&gt;= "&amp;L12)-COUNTIF(Vertices[Closeness Centrality],"&gt;="&amp;L13)</f>
        <v>0</v>
      </c>
      <c r="N12" s="38">
        <f t="shared" si="6"/>
        <v>0.5</v>
      </c>
      <c r="O12" s="39">
        <f>COUNTIF(Vertices[Eigenvector Centrality],"&gt;= "&amp;N12)-COUNTIF(Vertices[Eigenvector Centrality],"&gt;="&amp;N13)</f>
        <v>0</v>
      </c>
      <c r="P12" s="38">
        <f t="shared" si="7"/>
        <v>0.999717</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105"/>
      <c r="B13" s="105"/>
      <c r="D13" s="33">
        <f t="shared" si="1"/>
        <v>0</v>
      </c>
      <c r="E13" s="3">
        <f>COUNTIF(Vertices[Degree],"&gt;= "&amp;D13)-COUNTIF(Vertices[Degree],"&gt;="&amp;D14)</f>
        <v>0</v>
      </c>
      <c r="F13" s="40">
        <f t="shared" si="2"/>
        <v>0.20000000000000004</v>
      </c>
      <c r="G13" s="41">
        <f>COUNTIF(Vertices[In-Degree],"&gt;= "&amp;F13)-COUNTIF(Vertices[In-Degree],"&gt;="&amp;F14)</f>
        <v>0</v>
      </c>
      <c r="H13" s="40">
        <f t="shared" si="3"/>
        <v>0.20000000000000004</v>
      </c>
      <c r="I13" s="41">
        <f>COUNTIF(Vertices[Out-Degree],"&gt;= "&amp;H13)-COUNTIF(Vertices[Out-Degree],"&gt;="&amp;H14)</f>
        <v>0</v>
      </c>
      <c r="J13" s="40">
        <f t="shared" si="4"/>
        <v>0</v>
      </c>
      <c r="K13" s="41">
        <f>COUNTIF(Vertices[Betweenness Centrality],"&gt;= "&amp;J13)-COUNTIF(Vertices[Betweenness Centrality],"&gt;="&amp;J14)</f>
        <v>0</v>
      </c>
      <c r="L13" s="40">
        <f t="shared" si="5"/>
        <v>1</v>
      </c>
      <c r="M13" s="41">
        <f>COUNTIF(Vertices[Closeness Centrality],"&gt;= "&amp;L13)-COUNTIF(Vertices[Closeness Centrality],"&gt;="&amp;L14)</f>
        <v>0</v>
      </c>
      <c r="N13" s="40">
        <f t="shared" si="6"/>
        <v>0.5</v>
      </c>
      <c r="O13" s="41">
        <f>COUNTIF(Vertices[Eigenvector Centrality],"&gt;= "&amp;N13)-COUNTIF(Vertices[Eigenvector Centrality],"&gt;="&amp;N14)</f>
        <v>0</v>
      </c>
      <c r="P13" s="40">
        <f t="shared" si="7"/>
        <v>0.999717</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151</v>
      </c>
      <c r="B14" s="35">
        <v>0</v>
      </c>
      <c r="D14" s="33">
        <f t="shared" si="1"/>
        <v>0</v>
      </c>
      <c r="E14" s="3">
        <f>COUNTIF(Vertices[Degree],"&gt;= "&amp;D14)-COUNTIF(Vertices[Degree],"&gt;="&amp;D15)</f>
        <v>0</v>
      </c>
      <c r="F14" s="38">
        <f t="shared" si="2"/>
        <v>0.21818181818181823</v>
      </c>
      <c r="G14" s="39">
        <f>COUNTIF(Vertices[In-Degree],"&gt;= "&amp;F14)-COUNTIF(Vertices[In-Degree],"&gt;="&amp;F15)</f>
        <v>0</v>
      </c>
      <c r="H14" s="38">
        <f t="shared" si="3"/>
        <v>0.21818181818181823</v>
      </c>
      <c r="I14" s="39">
        <f>COUNTIF(Vertices[Out-Degree],"&gt;= "&amp;H14)-COUNTIF(Vertices[Out-Degree],"&gt;="&amp;H15)</f>
        <v>0</v>
      </c>
      <c r="J14" s="38">
        <f t="shared" si="4"/>
        <v>0</v>
      </c>
      <c r="K14" s="39">
        <f>COUNTIF(Vertices[Betweenness Centrality],"&gt;= "&amp;J14)-COUNTIF(Vertices[Betweenness Centrality],"&gt;="&amp;J15)</f>
        <v>0</v>
      </c>
      <c r="L14" s="38">
        <f t="shared" si="5"/>
        <v>1</v>
      </c>
      <c r="M14" s="39">
        <f>COUNTIF(Vertices[Closeness Centrality],"&gt;= "&amp;L14)-COUNTIF(Vertices[Closeness Centrality],"&gt;="&amp;L15)</f>
        <v>0</v>
      </c>
      <c r="N14" s="38">
        <f t="shared" si="6"/>
        <v>0.5</v>
      </c>
      <c r="O14" s="39">
        <f>COUNTIF(Vertices[Eigenvector Centrality],"&gt;= "&amp;N14)-COUNTIF(Vertices[Eigenvector Centrality],"&gt;="&amp;N15)</f>
        <v>0</v>
      </c>
      <c r="P14" s="38">
        <f t="shared" si="7"/>
        <v>0.999717</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105"/>
      <c r="B15" s="105"/>
      <c r="D15" s="33">
        <f t="shared" si="1"/>
        <v>0</v>
      </c>
      <c r="E15" s="3">
        <f>COUNTIF(Vertices[Degree],"&gt;= "&amp;D15)-COUNTIF(Vertices[Degree],"&gt;="&amp;D16)</f>
        <v>0</v>
      </c>
      <c r="F15" s="40">
        <f t="shared" si="2"/>
        <v>0.23636363636363641</v>
      </c>
      <c r="G15" s="41">
        <f>COUNTIF(Vertices[In-Degree],"&gt;= "&amp;F15)-COUNTIF(Vertices[In-Degree],"&gt;="&amp;F16)</f>
        <v>0</v>
      </c>
      <c r="H15" s="40">
        <f t="shared" si="3"/>
        <v>0.23636363636363641</v>
      </c>
      <c r="I15" s="41">
        <f>COUNTIF(Vertices[Out-Degree],"&gt;= "&amp;H15)-COUNTIF(Vertices[Out-Degree],"&gt;="&amp;H16)</f>
        <v>0</v>
      </c>
      <c r="J15" s="40">
        <f t="shared" si="4"/>
        <v>0</v>
      </c>
      <c r="K15" s="41">
        <f>COUNTIF(Vertices[Betweenness Centrality],"&gt;= "&amp;J15)-COUNTIF(Vertices[Betweenness Centrality],"&gt;="&amp;J16)</f>
        <v>0</v>
      </c>
      <c r="L15" s="40">
        <f t="shared" si="5"/>
        <v>1</v>
      </c>
      <c r="M15" s="41">
        <f>COUNTIF(Vertices[Closeness Centrality],"&gt;= "&amp;L15)-COUNTIF(Vertices[Closeness Centrality],"&gt;="&amp;L16)</f>
        <v>0</v>
      </c>
      <c r="N15" s="40">
        <f t="shared" si="6"/>
        <v>0.5</v>
      </c>
      <c r="O15" s="41">
        <f>COUNTIF(Vertices[Eigenvector Centrality],"&gt;= "&amp;N15)-COUNTIF(Vertices[Eigenvector Centrality],"&gt;="&amp;N16)</f>
        <v>0</v>
      </c>
      <c r="P15" s="40">
        <f t="shared" si="7"/>
        <v>0.999717</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170</v>
      </c>
      <c r="B16" s="35">
        <v>0</v>
      </c>
      <c r="D16" s="33">
        <f t="shared" si="1"/>
        <v>0</v>
      </c>
      <c r="E16" s="3">
        <f>COUNTIF(Vertices[Degree],"&gt;= "&amp;D16)-COUNTIF(Vertices[Degree],"&gt;="&amp;D17)</f>
        <v>0</v>
      </c>
      <c r="F16" s="38">
        <f t="shared" si="2"/>
        <v>0.2545454545454546</v>
      </c>
      <c r="G16" s="39">
        <f>COUNTIF(Vertices[In-Degree],"&gt;= "&amp;F16)-COUNTIF(Vertices[In-Degree],"&gt;="&amp;F17)</f>
        <v>0</v>
      </c>
      <c r="H16" s="38">
        <f t="shared" si="3"/>
        <v>0.2545454545454546</v>
      </c>
      <c r="I16" s="39">
        <f>COUNTIF(Vertices[Out-Degree],"&gt;= "&amp;H16)-COUNTIF(Vertices[Out-Degree],"&gt;="&amp;H17)</f>
        <v>0</v>
      </c>
      <c r="J16" s="38">
        <f t="shared" si="4"/>
        <v>0</v>
      </c>
      <c r="K16" s="39">
        <f>COUNTIF(Vertices[Betweenness Centrality],"&gt;= "&amp;J16)-COUNTIF(Vertices[Betweenness Centrality],"&gt;="&amp;J17)</f>
        <v>0</v>
      </c>
      <c r="L16" s="38">
        <f t="shared" si="5"/>
        <v>1</v>
      </c>
      <c r="M16" s="39">
        <f>COUNTIF(Vertices[Closeness Centrality],"&gt;= "&amp;L16)-COUNTIF(Vertices[Closeness Centrality],"&gt;="&amp;L17)</f>
        <v>0</v>
      </c>
      <c r="N16" s="38">
        <f t="shared" si="6"/>
        <v>0.5</v>
      </c>
      <c r="O16" s="39">
        <f>COUNTIF(Vertices[Eigenvector Centrality],"&gt;= "&amp;N16)-COUNTIF(Vertices[Eigenvector Centrality],"&gt;="&amp;N17)</f>
        <v>0</v>
      </c>
      <c r="P16" s="38">
        <f t="shared" si="7"/>
        <v>0.999717</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171</v>
      </c>
      <c r="B17" s="35">
        <v>0</v>
      </c>
      <c r="D17" s="33">
        <f t="shared" si="1"/>
        <v>0</v>
      </c>
      <c r="E17" s="3">
        <f>COUNTIF(Vertices[Degree],"&gt;= "&amp;D17)-COUNTIF(Vertices[Degree],"&gt;="&amp;D18)</f>
        <v>0</v>
      </c>
      <c r="F17" s="40">
        <f t="shared" si="2"/>
        <v>0.27272727272727276</v>
      </c>
      <c r="G17" s="41">
        <f>COUNTIF(Vertices[In-Degree],"&gt;= "&amp;F17)-COUNTIF(Vertices[In-Degree],"&gt;="&amp;F18)</f>
        <v>0</v>
      </c>
      <c r="H17" s="40">
        <f t="shared" si="3"/>
        <v>0.27272727272727276</v>
      </c>
      <c r="I17" s="41">
        <f>COUNTIF(Vertices[Out-Degree],"&gt;= "&amp;H17)-COUNTIF(Vertices[Out-Degree],"&gt;="&amp;H18)</f>
        <v>0</v>
      </c>
      <c r="J17" s="40">
        <f t="shared" si="4"/>
        <v>0</v>
      </c>
      <c r="K17" s="41">
        <f>COUNTIF(Vertices[Betweenness Centrality],"&gt;= "&amp;J17)-COUNTIF(Vertices[Betweenness Centrality],"&gt;="&amp;J18)</f>
        <v>0</v>
      </c>
      <c r="L17" s="40">
        <f t="shared" si="5"/>
        <v>1</v>
      </c>
      <c r="M17" s="41">
        <f>COUNTIF(Vertices[Closeness Centrality],"&gt;= "&amp;L17)-COUNTIF(Vertices[Closeness Centrality],"&gt;="&amp;L18)</f>
        <v>0</v>
      </c>
      <c r="N17" s="40">
        <f t="shared" si="6"/>
        <v>0.5</v>
      </c>
      <c r="O17" s="41">
        <f>COUNTIF(Vertices[Eigenvector Centrality],"&gt;= "&amp;N17)-COUNTIF(Vertices[Eigenvector Centrality],"&gt;="&amp;N18)</f>
        <v>0</v>
      </c>
      <c r="P17" s="40">
        <f t="shared" si="7"/>
        <v>0.999717</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105"/>
      <c r="B18" s="105"/>
      <c r="D18" s="33">
        <f t="shared" si="1"/>
        <v>0</v>
      </c>
      <c r="E18" s="3">
        <f>COUNTIF(Vertices[Degree],"&gt;= "&amp;D18)-COUNTIF(Vertices[Degree],"&gt;="&amp;D19)</f>
        <v>0</v>
      </c>
      <c r="F18" s="38">
        <f t="shared" si="2"/>
        <v>0.29090909090909095</v>
      </c>
      <c r="G18" s="39">
        <f>COUNTIF(Vertices[In-Degree],"&gt;= "&amp;F18)-COUNTIF(Vertices[In-Degree],"&gt;="&amp;F19)</f>
        <v>0</v>
      </c>
      <c r="H18" s="38">
        <f t="shared" si="3"/>
        <v>0.29090909090909095</v>
      </c>
      <c r="I18" s="39">
        <f>COUNTIF(Vertices[Out-Degree],"&gt;= "&amp;H18)-COUNTIF(Vertices[Out-Degree],"&gt;="&amp;H19)</f>
        <v>0</v>
      </c>
      <c r="J18" s="38">
        <f t="shared" si="4"/>
        <v>0</v>
      </c>
      <c r="K18" s="39">
        <f>COUNTIF(Vertices[Betweenness Centrality],"&gt;= "&amp;J18)-COUNTIF(Vertices[Betweenness Centrality],"&gt;="&amp;J19)</f>
        <v>0</v>
      </c>
      <c r="L18" s="38">
        <f t="shared" si="5"/>
        <v>1</v>
      </c>
      <c r="M18" s="39">
        <f>COUNTIF(Vertices[Closeness Centrality],"&gt;= "&amp;L18)-COUNTIF(Vertices[Closeness Centrality],"&gt;="&amp;L19)</f>
        <v>0</v>
      </c>
      <c r="N18" s="38">
        <f t="shared" si="6"/>
        <v>0.5</v>
      </c>
      <c r="O18" s="39">
        <f>COUNTIF(Vertices[Eigenvector Centrality],"&gt;= "&amp;N18)-COUNTIF(Vertices[Eigenvector Centrality],"&gt;="&amp;N19)</f>
        <v>0</v>
      </c>
      <c r="P18" s="38">
        <f t="shared" si="7"/>
        <v>0.999717</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152</v>
      </c>
      <c r="B19" s="35">
        <v>1</v>
      </c>
      <c r="D19" s="33">
        <f t="shared" si="1"/>
        <v>0</v>
      </c>
      <c r="E19" s="3">
        <f>COUNTIF(Vertices[Degree],"&gt;= "&amp;D19)-COUNTIF(Vertices[Degree],"&gt;="&amp;D20)</f>
        <v>0</v>
      </c>
      <c r="F19" s="40">
        <f t="shared" si="2"/>
        <v>0.30909090909090914</v>
      </c>
      <c r="G19" s="41">
        <f>COUNTIF(Vertices[In-Degree],"&gt;= "&amp;F19)-COUNTIF(Vertices[In-Degree],"&gt;="&amp;F20)</f>
        <v>0</v>
      </c>
      <c r="H19" s="40">
        <f t="shared" si="3"/>
        <v>0.30909090909090914</v>
      </c>
      <c r="I19" s="41">
        <f>COUNTIF(Vertices[Out-Degree],"&gt;= "&amp;H19)-COUNTIF(Vertices[Out-Degree],"&gt;="&amp;H20)</f>
        <v>0</v>
      </c>
      <c r="J19" s="40">
        <f t="shared" si="4"/>
        <v>0</v>
      </c>
      <c r="K19" s="41">
        <f>COUNTIF(Vertices[Betweenness Centrality],"&gt;= "&amp;J19)-COUNTIF(Vertices[Betweenness Centrality],"&gt;="&amp;J20)</f>
        <v>0</v>
      </c>
      <c r="L19" s="40">
        <f t="shared" si="5"/>
        <v>1</v>
      </c>
      <c r="M19" s="41">
        <f>COUNTIF(Vertices[Closeness Centrality],"&gt;= "&amp;L19)-COUNTIF(Vertices[Closeness Centrality],"&gt;="&amp;L20)</f>
        <v>0</v>
      </c>
      <c r="N19" s="40">
        <f t="shared" si="6"/>
        <v>0.5</v>
      </c>
      <c r="O19" s="41">
        <f>COUNTIF(Vertices[Eigenvector Centrality],"&gt;= "&amp;N19)-COUNTIF(Vertices[Eigenvector Centrality],"&gt;="&amp;N20)</f>
        <v>0</v>
      </c>
      <c r="P19" s="40">
        <f t="shared" si="7"/>
        <v>0.999717</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153</v>
      </c>
      <c r="B20" s="35">
        <v>0</v>
      </c>
      <c r="D20" s="33">
        <f t="shared" si="1"/>
        <v>0</v>
      </c>
      <c r="E20" s="3">
        <f>COUNTIF(Vertices[Degree],"&gt;= "&amp;D20)-COUNTIF(Vertices[Degree],"&gt;="&amp;D21)</f>
        <v>0</v>
      </c>
      <c r="F20" s="38">
        <f t="shared" si="2"/>
        <v>0.3272727272727273</v>
      </c>
      <c r="G20" s="39">
        <f>COUNTIF(Vertices[In-Degree],"&gt;= "&amp;F20)-COUNTIF(Vertices[In-Degree],"&gt;="&amp;F21)</f>
        <v>0</v>
      </c>
      <c r="H20" s="38">
        <f t="shared" si="3"/>
        <v>0.3272727272727273</v>
      </c>
      <c r="I20" s="39">
        <f>COUNTIF(Vertices[Out-Degree],"&gt;= "&amp;H20)-COUNTIF(Vertices[Out-Degree],"&gt;="&amp;H21)</f>
        <v>0</v>
      </c>
      <c r="J20" s="38">
        <f t="shared" si="4"/>
        <v>0</v>
      </c>
      <c r="K20" s="39">
        <f>COUNTIF(Vertices[Betweenness Centrality],"&gt;= "&amp;J20)-COUNTIF(Vertices[Betweenness Centrality],"&gt;="&amp;J21)</f>
        <v>0</v>
      </c>
      <c r="L20" s="38">
        <f t="shared" si="5"/>
        <v>1</v>
      </c>
      <c r="M20" s="39">
        <f>COUNTIF(Vertices[Closeness Centrality],"&gt;= "&amp;L20)-COUNTIF(Vertices[Closeness Centrality],"&gt;="&amp;L21)</f>
        <v>0</v>
      </c>
      <c r="N20" s="38">
        <f t="shared" si="6"/>
        <v>0.5</v>
      </c>
      <c r="O20" s="39">
        <f>COUNTIF(Vertices[Eigenvector Centrality],"&gt;= "&amp;N20)-COUNTIF(Vertices[Eigenvector Centrality],"&gt;="&amp;N21)</f>
        <v>0</v>
      </c>
      <c r="P20" s="38">
        <f t="shared" si="7"/>
        <v>0.999717</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154</v>
      </c>
      <c r="B21" s="35">
        <v>2</v>
      </c>
      <c r="D21" s="33">
        <f t="shared" si="1"/>
        <v>0</v>
      </c>
      <c r="E21" s="3">
        <f>COUNTIF(Vertices[Degree],"&gt;= "&amp;D21)-COUNTIF(Vertices[Degree],"&gt;="&amp;D22)</f>
        <v>0</v>
      </c>
      <c r="F21" s="40">
        <f t="shared" si="2"/>
        <v>0.3454545454545455</v>
      </c>
      <c r="G21" s="41">
        <f>COUNTIF(Vertices[In-Degree],"&gt;= "&amp;F21)-COUNTIF(Vertices[In-Degree],"&gt;="&amp;F22)</f>
        <v>0</v>
      </c>
      <c r="H21" s="40">
        <f t="shared" si="3"/>
        <v>0.3454545454545455</v>
      </c>
      <c r="I21" s="41">
        <f>COUNTIF(Vertices[Out-Degree],"&gt;= "&amp;H21)-COUNTIF(Vertices[Out-Degree],"&gt;="&amp;H22)</f>
        <v>0</v>
      </c>
      <c r="J21" s="40">
        <f t="shared" si="4"/>
        <v>0</v>
      </c>
      <c r="K21" s="41">
        <f>COUNTIF(Vertices[Betweenness Centrality],"&gt;= "&amp;J21)-COUNTIF(Vertices[Betweenness Centrality],"&gt;="&amp;J22)</f>
        <v>0</v>
      </c>
      <c r="L21" s="40">
        <f t="shared" si="5"/>
        <v>1</v>
      </c>
      <c r="M21" s="41">
        <f>COUNTIF(Vertices[Closeness Centrality],"&gt;= "&amp;L21)-COUNTIF(Vertices[Closeness Centrality],"&gt;="&amp;L22)</f>
        <v>0</v>
      </c>
      <c r="N21" s="40">
        <f t="shared" si="6"/>
        <v>0.5</v>
      </c>
      <c r="O21" s="41">
        <f>COUNTIF(Vertices[Eigenvector Centrality],"&gt;= "&amp;N21)-COUNTIF(Vertices[Eigenvector Centrality],"&gt;="&amp;N22)</f>
        <v>0</v>
      </c>
      <c r="P21" s="40">
        <f t="shared" si="7"/>
        <v>0.999717</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155</v>
      </c>
      <c r="B22" s="35">
        <v>1</v>
      </c>
      <c r="D22" s="33">
        <f t="shared" si="1"/>
        <v>0</v>
      </c>
      <c r="E22" s="3">
        <f>COUNTIF(Vertices[Degree],"&gt;= "&amp;D22)-COUNTIF(Vertices[Degree],"&gt;="&amp;D23)</f>
        <v>0</v>
      </c>
      <c r="F22" s="38">
        <f t="shared" si="2"/>
        <v>0.3636363636363637</v>
      </c>
      <c r="G22" s="39">
        <f>COUNTIF(Vertices[In-Degree],"&gt;= "&amp;F22)-COUNTIF(Vertices[In-Degree],"&gt;="&amp;F23)</f>
        <v>0</v>
      </c>
      <c r="H22" s="38">
        <f t="shared" si="3"/>
        <v>0.3636363636363637</v>
      </c>
      <c r="I22" s="39">
        <f>COUNTIF(Vertices[Out-Degree],"&gt;= "&amp;H22)-COUNTIF(Vertices[Out-Degree],"&gt;="&amp;H23)</f>
        <v>0</v>
      </c>
      <c r="J22" s="38">
        <f t="shared" si="4"/>
        <v>0</v>
      </c>
      <c r="K22" s="39">
        <f>COUNTIF(Vertices[Betweenness Centrality],"&gt;= "&amp;J22)-COUNTIF(Vertices[Betweenness Centrality],"&gt;="&amp;J23)</f>
        <v>0</v>
      </c>
      <c r="L22" s="38">
        <f t="shared" si="5"/>
        <v>1</v>
      </c>
      <c r="M22" s="39">
        <f>COUNTIF(Vertices[Closeness Centrality],"&gt;= "&amp;L22)-COUNTIF(Vertices[Closeness Centrality],"&gt;="&amp;L23)</f>
        <v>0</v>
      </c>
      <c r="N22" s="38">
        <f t="shared" si="6"/>
        <v>0.5</v>
      </c>
      <c r="O22" s="39">
        <f>COUNTIF(Vertices[Eigenvector Centrality],"&gt;= "&amp;N22)-COUNTIF(Vertices[Eigenvector Centrality],"&gt;="&amp;N23)</f>
        <v>0</v>
      </c>
      <c r="P22" s="38">
        <f t="shared" si="7"/>
        <v>0.999717</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105"/>
      <c r="B23" s="105"/>
      <c r="D23" s="33">
        <f t="shared" si="1"/>
        <v>0</v>
      </c>
      <c r="E23" s="3">
        <f>COUNTIF(Vertices[Degree],"&gt;= "&amp;D23)-COUNTIF(Vertices[Degree],"&gt;="&amp;D24)</f>
        <v>0</v>
      </c>
      <c r="F23" s="40">
        <f t="shared" si="2"/>
        <v>0.3818181818181819</v>
      </c>
      <c r="G23" s="41">
        <f>COUNTIF(Vertices[In-Degree],"&gt;= "&amp;F23)-COUNTIF(Vertices[In-Degree],"&gt;="&amp;F24)</f>
        <v>0</v>
      </c>
      <c r="H23" s="40">
        <f t="shared" si="3"/>
        <v>0.3818181818181819</v>
      </c>
      <c r="I23" s="41">
        <f>COUNTIF(Vertices[Out-Degree],"&gt;= "&amp;H23)-COUNTIF(Vertices[Out-Degree],"&gt;="&amp;H24)</f>
        <v>0</v>
      </c>
      <c r="J23" s="40">
        <f t="shared" si="4"/>
        <v>0</v>
      </c>
      <c r="K23" s="41">
        <f>COUNTIF(Vertices[Betweenness Centrality],"&gt;= "&amp;J23)-COUNTIF(Vertices[Betweenness Centrality],"&gt;="&amp;J24)</f>
        <v>0</v>
      </c>
      <c r="L23" s="40">
        <f t="shared" si="5"/>
        <v>1</v>
      </c>
      <c r="M23" s="41">
        <f>COUNTIF(Vertices[Closeness Centrality],"&gt;= "&amp;L23)-COUNTIF(Vertices[Closeness Centrality],"&gt;="&amp;L24)</f>
        <v>0</v>
      </c>
      <c r="N23" s="40">
        <f t="shared" si="6"/>
        <v>0.5</v>
      </c>
      <c r="O23" s="41">
        <f>COUNTIF(Vertices[Eigenvector Centrality],"&gt;= "&amp;N23)-COUNTIF(Vertices[Eigenvector Centrality],"&gt;="&amp;N24)</f>
        <v>0</v>
      </c>
      <c r="P23" s="40">
        <f t="shared" si="7"/>
        <v>0.999717</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156</v>
      </c>
      <c r="B24" s="35">
        <v>1</v>
      </c>
      <c r="D24" s="33">
        <f t="shared" si="1"/>
        <v>0</v>
      </c>
      <c r="E24" s="3">
        <f>COUNTIF(Vertices[Degree],"&gt;= "&amp;D24)-COUNTIF(Vertices[Degree],"&gt;="&amp;D25)</f>
        <v>0</v>
      </c>
      <c r="F24" s="38">
        <f t="shared" si="2"/>
        <v>0.4000000000000001</v>
      </c>
      <c r="G24" s="39">
        <f>COUNTIF(Vertices[In-Degree],"&gt;= "&amp;F24)-COUNTIF(Vertices[In-Degree],"&gt;="&amp;F25)</f>
        <v>0</v>
      </c>
      <c r="H24" s="38">
        <f t="shared" si="3"/>
        <v>0.4000000000000001</v>
      </c>
      <c r="I24" s="39">
        <f>COUNTIF(Vertices[Out-Degree],"&gt;= "&amp;H24)-COUNTIF(Vertices[Out-Degree],"&gt;="&amp;H25)</f>
        <v>0</v>
      </c>
      <c r="J24" s="38">
        <f t="shared" si="4"/>
        <v>0</v>
      </c>
      <c r="K24" s="39">
        <f>COUNTIF(Vertices[Betweenness Centrality],"&gt;= "&amp;J24)-COUNTIF(Vertices[Betweenness Centrality],"&gt;="&amp;J25)</f>
        <v>0</v>
      </c>
      <c r="L24" s="38">
        <f t="shared" si="5"/>
        <v>1</v>
      </c>
      <c r="M24" s="39">
        <f>COUNTIF(Vertices[Closeness Centrality],"&gt;= "&amp;L24)-COUNTIF(Vertices[Closeness Centrality],"&gt;="&amp;L25)</f>
        <v>0</v>
      </c>
      <c r="N24" s="38">
        <f t="shared" si="6"/>
        <v>0.5</v>
      </c>
      <c r="O24" s="39">
        <f>COUNTIF(Vertices[Eigenvector Centrality],"&gt;= "&amp;N24)-COUNTIF(Vertices[Eigenvector Centrality],"&gt;="&amp;N25)</f>
        <v>0</v>
      </c>
      <c r="P24" s="38">
        <f t="shared" si="7"/>
        <v>0.999717</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157</v>
      </c>
      <c r="B25" s="35">
        <v>0.5</v>
      </c>
      <c r="D25" s="33">
        <f t="shared" si="1"/>
        <v>0</v>
      </c>
      <c r="E25" s="3">
        <f>COUNTIF(Vertices[Degree],"&gt;= "&amp;D25)-COUNTIF(Vertices[Degree],"&gt;="&amp;D26)</f>
        <v>0</v>
      </c>
      <c r="F25" s="40">
        <f t="shared" si="2"/>
        <v>0.41818181818181827</v>
      </c>
      <c r="G25" s="41">
        <f>COUNTIF(Vertices[In-Degree],"&gt;= "&amp;F25)-COUNTIF(Vertices[In-Degree],"&gt;="&amp;F26)</f>
        <v>0</v>
      </c>
      <c r="H25" s="40">
        <f t="shared" si="3"/>
        <v>0.41818181818181827</v>
      </c>
      <c r="I25" s="41">
        <f>COUNTIF(Vertices[Out-Degree],"&gt;= "&amp;H25)-COUNTIF(Vertices[Out-Degree],"&gt;="&amp;H26)</f>
        <v>0</v>
      </c>
      <c r="J25" s="40">
        <f t="shared" si="4"/>
        <v>0</v>
      </c>
      <c r="K25" s="41">
        <f>COUNTIF(Vertices[Betweenness Centrality],"&gt;= "&amp;J25)-COUNTIF(Vertices[Betweenness Centrality],"&gt;="&amp;J26)</f>
        <v>0</v>
      </c>
      <c r="L25" s="40">
        <f t="shared" si="5"/>
        <v>1</v>
      </c>
      <c r="M25" s="41">
        <f>COUNTIF(Vertices[Closeness Centrality],"&gt;= "&amp;L25)-COUNTIF(Vertices[Closeness Centrality],"&gt;="&amp;L26)</f>
        <v>0</v>
      </c>
      <c r="N25" s="40">
        <f t="shared" si="6"/>
        <v>0.5</v>
      </c>
      <c r="O25" s="41">
        <f>COUNTIF(Vertices[Eigenvector Centrality],"&gt;= "&amp;N25)-COUNTIF(Vertices[Eigenvector Centrality],"&gt;="&amp;N26)</f>
        <v>0</v>
      </c>
      <c r="P25" s="40">
        <f t="shared" si="7"/>
        <v>0.999717</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105"/>
      <c r="B26" s="105"/>
      <c r="D26" s="33">
        <f t="shared" si="1"/>
        <v>0</v>
      </c>
      <c r="E26" s="3">
        <f>COUNTIF(Vertices[Degree],"&gt;= "&amp;D26)-COUNTIF(Vertices[Degree],"&gt;="&amp;D28)</f>
        <v>0</v>
      </c>
      <c r="F26" s="38">
        <f t="shared" si="2"/>
        <v>0.43636363636363645</v>
      </c>
      <c r="G26" s="39">
        <f>COUNTIF(Vertices[In-Degree],"&gt;= "&amp;F26)-COUNTIF(Vertices[In-Degree],"&gt;="&amp;F28)</f>
        <v>0</v>
      </c>
      <c r="H26" s="38">
        <f t="shared" si="3"/>
        <v>0.43636363636363645</v>
      </c>
      <c r="I26" s="39">
        <f>COUNTIF(Vertices[Out-Degree],"&gt;= "&amp;H26)-COUNTIF(Vertices[Out-Degree],"&gt;="&amp;H28)</f>
        <v>0</v>
      </c>
      <c r="J26" s="38">
        <f t="shared" si="4"/>
        <v>0</v>
      </c>
      <c r="K26" s="39">
        <f>COUNTIF(Vertices[Betweenness Centrality],"&gt;= "&amp;J26)-COUNTIF(Vertices[Betweenness Centrality],"&gt;="&amp;J28)</f>
        <v>0</v>
      </c>
      <c r="L26" s="38">
        <f t="shared" si="5"/>
        <v>1</v>
      </c>
      <c r="M26" s="39">
        <f>COUNTIF(Vertices[Closeness Centrality],"&gt;= "&amp;L26)-COUNTIF(Vertices[Closeness Centrality],"&gt;="&amp;L28)</f>
        <v>0</v>
      </c>
      <c r="N26" s="38">
        <f t="shared" si="6"/>
        <v>0.5</v>
      </c>
      <c r="O26" s="39">
        <f>COUNTIF(Vertices[Eigenvector Centrality],"&gt;= "&amp;N26)-COUNTIF(Vertices[Eigenvector Centrality],"&gt;="&amp;N28)</f>
        <v>0</v>
      </c>
      <c r="P26" s="38">
        <f t="shared" si="7"/>
        <v>0.999717</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35" t="s">
        <v>158</v>
      </c>
      <c r="B27" s="35">
        <v>0.5</v>
      </c>
      <c r="D27" s="33"/>
      <c r="E27" s="3">
        <f>COUNTIF(Vertices[Degree],"&gt;= "&amp;D27)-COUNTIF(Vertices[Degree],"&gt;="&amp;D28)</f>
        <v>0</v>
      </c>
      <c r="F27" s="78"/>
      <c r="G27" s="79">
        <f>COUNTIF(Vertices[In-Degree],"&gt;= "&amp;F27)-COUNTIF(Vertices[In-Degree],"&gt;="&amp;F28)</f>
        <v>-1</v>
      </c>
      <c r="H27" s="78"/>
      <c r="I27" s="79">
        <f>COUNTIF(Vertices[Out-Degree],"&gt;= "&amp;H27)-COUNTIF(Vertices[Out-Degree],"&gt;="&amp;H28)</f>
        <v>-1</v>
      </c>
      <c r="J27" s="78"/>
      <c r="K27" s="79">
        <f>COUNTIF(Vertices[Betweenness Centrality],"&gt;= "&amp;J27)-COUNTIF(Vertices[Betweenness Centrality],"&gt;="&amp;J28)</f>
        <v>-2</v>
      </c>
      <c r="L27" s="78"/>
      <c r="M27" s="79">
        <f>COUNTIF(Vertices[Closeness Centrality],"&gt;= "&amp;L27)-COUNTIF(Vertices[Closeness Centrality],"&gt;="&amp;L28)</f>
        <v>-2</v>
      </c>
      <c r="N27" s="78"/>
      <c r="O27" s="79">
        <f>COUNTIF(Vertices[Eigenvector Centrality],"&gt;= "&amp;N27)-COUNTIF(Vertices[Eigenvector Centrality],"&gt;="&amp;N28)</f>
        <v>-2</v>
      </c>
      <c r="P27" s="78"/>
      <c r="Q27" s="79">
        <f>COUNTIF(Vertices[Eigenvector Centrality],"&gt;= "&amp;P27)-COUNTIF(Vertices[Eigenvector Centrality],"&gt;="&amp;P28)</f>
        <v>0</v>
      </c>
      <c r="R27" s="78"/>
      <c r="S27" s="80">
        <f>COUNTIF(Vertices[Clustering Coefficient],"&gt;= "&amp;R27)-COUNTIF(Vertices[Clustering Coefficient],"&gt;="&amp;R28)</f>
        <v>-2</v>
      </c>
      <c r="T27" s="78"/>
      <c r="U27" s="79">
        <f ca="1">COUNTIF(Vertices[Clustering Coefficient],"&gt;= "&amp;T27)-COUNTIF(Vertices[Clustering Coefficient],"&gt;="&amp;T28)</f>
        <v>0</v>
      </c>
    </row>
    <row r="28" spans="1:21" ht="15">
      <c r="A28" s="35" t="s">
        <v>243</v>
      </c>
      <c r="B28" s="35">
        <v>0</v>
      </c>
      <c r="D28" s="33">
        <f>D26+($D$57-$D$2)/BinDivisor</f>
        <v>0</v>
      </c>
      <c r="E28" s="3">
        <f>COUNTIF(Vertices[Degree],"&gt;= "&amp;D28)-COUNTIF(Vertices[Degree],"&gt;="&amp;D40)</f>
        <v>0</v>
      </c>
      <c r="F28" s="40">
        <f>F26+($F$57-$F$2)/BinDivisor</f>
        <v>0.45454545454545464</v>
      </c>
      <c r="G28" s="41">
        <f>COUNTIF(Vertices[In-Degree],"&gt;= "&amp;F28)-COUNTIF(Vertices[In-Degree],"&gt;="&amp;F40)</f>
        <v>0</v>
      </c>
      <c r="H28" s="40">
        <f>H26+($H$57-$H$2)/BinDivisor</f>
        <v>0.45454545454545464</v>
      </c>
      <c r="I28" s="41">
        <f>COUNTIF(Vertices[Out-Degree],"&gt;= "&amp;H28)-COUNTIF(Vertices[Out-Degree],"&gt;="&amp;H40)</f>
        <v>0</v>
      </c>
      <c r="J28" s="40">
        <f>J26+($J$57-$J$2)/BinDivisor</f>
        <v>0</v>
      </c>
      <c r="K28" s="41">
        <f>COUNTIF(Vertices[Betweenness Centrality],"&gt;= "&amp;J28)-COUNTIF(Vertices[Betweenness Centrality],"&gt;="&amp;J40)</f>
        <v>0</v>
      </c>
      <c r="L28" s="40">
        <f>L26+($L$57-$L$2)/BinDivisor</f>
        <v>1</v>
      </c>
      <c r="M28" s="41">
        <f>COUNTIF(Vertices[Closeness Centrality],"&gt;= "&amp;L28)-COUNTIF(Vertices[Closeness Centrality],"&gt;="&amp;L40)</f>
        <v>0</v>
      </c>
      <c r="N28" s="40">
        <f>N26+($N$57-$N$2)/BinDivisor</f>
        <v>0.5</v>
      </c>
      <c r="O28" s="41">
        <f>COUNTIF(Vertices[Eigenvector Centrality],"&gt;= "&amp;N28)-COUNTIF(Vertices[Eigenvector Centrality],"&gt;="&amp;N40)</f>
        <v>0</v>
      </c>
      <c r="P28" s="40">
        <f>P26+($P$57-$P$2)/BinDivisor</f>
        <v>0.999717</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1:21" ht="15">
      <c r="A29" s="105"/>
      <c r="B29" s="105"/>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t="s">
        <v>244</v>
      </c>
      <c r="B30" s="35" t="s">
        <v>245</v>
      </c>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3"/>
      <c r="E38" s="3">
        <f>COUNTIF(Vertices[Degree],"&gt;= "&amp;D38)-COUNTIF(Vertices[Degree],"&gt;="&amp;D40)</f>
        <v>0</v>
      </c>
      <c r="F38" s="78"/>
      <c r="G38" s="79">
        <f>COUNTIF(Vertices[In-Degree],"&gt;= "&amp;F38)-COUNTIF(Vertices[In-Degree],"&gt;="&amp;F40)</f>
        <v>-1</v>
      </c>
      <c r="H38" s="78"/>
      <c r="I38" s="79">
        <f>COUNTIF(Vertices[Out-Degree],"&gt;= "&amp;H38)-COUNTIF(Vertices[Out-Degree],"&gt;="&amp;H40)</f>
        <v>-1</v>
      </c>
      <c r="J38" s="78"/>
      <c r="K38" s="79">
        <f>COUNTIF(Vertices[Betweenness Centrality],"&gt;= "&amp;J38)-COUNTIF(Vertices[Betweenness Centrality],"&gt;="&amp;J40)</f>
        <v>-2</v>
      </c>
      <c r="L38" s="78"/>
      <c r="M38" s="79">
        <f>COUNTIF(Vertices[Closeness Centrality],"&gt;= "&amp;L38)-COUNTIF(Vertices[Closeness Centrality],"&gt;="&amp;L40)</f>
        <v>-2</v>
      </c>
      <c r="N38" s="78"/>
      <c r="O38" s="79">
        <f>COUNTIF(Vertices[Eigenvector Centrality],"&gt;= "&amp;N38)-COUNTIF(Vertices[Eigenvector Centrality],"&gt;="&amp;N40)</f>
        <v>-2</v>
      </c>
      <c r="P38" s="78"/>
      <c r="Q38" s="79">
        <f>COUNTIF(Vertices[Eigenvector Centrality],"&gt;= "&amp;P38)-COUNTIF(Vertices[Eigenvector Centrality],"&gt;="&amp;P40)</f>
        <v>0</v>
      </c>
      <c r="R38" s="78"/>
      <c r="S38" s="80">
        <f>COUNTIF(Vertices[Clustering Coefficient],"&gt;= "&amp;R38)-COUNTIF(Vertices[Clustering Coefficient],"&gt;="&amp;R40)</f>
        <v>-2</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-1</v>
      </c>
      <c r="H39" s="78"/>
      <c r="I39" s="79">
        <f>COUNTIF(Vertices[Out-Degree],"&gt;= "&amp;H39)-COUNTIF(Vertices[Out-Degree],"&gt;="&amp;H40)</f>
        <v>-1</v>
      </c>
      <c r="J39" s="78"/>
      <c r="K39" s="79">
        <f>COUNTIF(Vertices[Betweenness Centrality],"&gt;= "&amp;J39)-COUNTIF(Vertices[Betweenness Centrality],"&gt;="&amp;J40)</f>
        <v>-2</v>
      </c>
      <c r="L39" s="78"/>
      <c r="M39" s="79">
        <f>COUNTIF(Vertices[Closeness Centrality],"&gt;= "&amp;L39)-COUNTIF(Vertices[Closeness Centrality],"&gt;="&amp;L40)</f>
        <v>-2</v>
      </c>
      <c r="N39" s="78"/>
      <c r="O39" s="79">
        <f>COUNTIF(Vertices[Eigenvector Centrality],"&gt;= "&amp;N39)-COUNTIF(Vertices[Eigenvector Centrality],"&gt;="&amp;N40)</f>
        <v>-2</v>
      </c>
      <c r="P39" s="78"/>
      <c r="Q39" s="79">
        <f>COUNTIF(Vertices[Eigenvector Centrality],"&gt;= "&amp;P39)-COUNTIF(Vertices[Eigenvector Centrality],"&gt;="&amp;P40)</f>
        <v>0</v>
      </c>
      <c r="R39" s="78"/>
      <c r="S39" s="80">
        <f>COUNTIF(Vertices[Clustering Coefficient],"&gt;= "&amp;R39)-COUNTIF(Vertices[Clustering Coefficient],"&gt;="&amp;R40)</f>
        <v>-2</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0.47272727272727283</v>
      </c>
      <c r="G40" s="39">
        <f>COUNTIF(Vertices[In-Degree],"&gt;= "&amp;F40)-COUNTIF(Vertices[In-Degree],"&gt;="&amp;F41)</f>
        <v>0</v>
      </c>
      <c r="H40" s="38">
        <f>H28+($H$57-$H$2)/BinDivisor</f>
        <v>0.47272727272727283</v>
      </c>
      <c r="I40" s="39">
        <f>COUNTIF(Vertices[Out-Degree],"&gt;= "&amp;H40)-COUNTIF(Vertices[Out-Degree],"&gt;="&amp;H41)</f>
        <v>0</v>
      </c>
      <c r="J40" s="38">
        <f>J28+($J$57-$J$2)/BinDivisor</f>
        <v>0</v>
      </c>
      <c r="K40" s="39">
        <f>COUNTIF(Vertices[Betweenness Centrality],"&gt;= "&amp;J40)-COUNTIF(Vertices[Betweenness Centrality],"&gt;="&amp;J41)</f>
        <v>0</v>
      </c>
      <c r="L40" s="38">
        <f>L28+($L$57-$L$2)/BinDivisor</f>
        <v>1</v>
      </c>
      <c r="M40" s="39">
        <f>COUNTIF(Vertices[Closeness Centrality],"&gt;= "&amp;L40)-COUNTIF(Vertices[Closeness Centrality],"&gt;="&amp;L41)</f>
        <v>0</v>
      </c>
      <c r="N40" s="38">
        <f>N28+($N$57-$N$2)/BinDivisor</f>
        <v>0.5</v>
      </c>
      <c r="O40" s="39">
        <f>COUNTIF(Vertices[Eigenvector Centrality],"&gt;= "&amp;N40)-COUNTIF(Vertices[Eigenvector Centrality],"&gt;="&amp;N41)</f>
        <v>0</v>
      </c>
      <c r="P40" s="38">
        <f>P28+($P$57-$P$2)/BinDivisor</f>
        <v>0.999717</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0.490909090909091</v>
      </c>
      <c r="G41" s="41">
        <f>COUNTIF(Vertices[In-Degree],"&gt;= "&amp;F41)-COUNTIF(Vertices[In-Degree],"&gt;="&amp;F42)</f>
        <v>0</v>
      </c>
      <c r="H41" s="40">
        <f aca="true" t="shared" si="12" ref="H41:H56">H40+($H$57-$H$2)/BinDivisor</f>
        <v>0.490909090909091</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1</v>
      </c>
      <c r="M41" s="41">
        <f>COUNTIF(Vertices[Closeness Centrality],"&gt;= "&amp;L41)-COUNTIF(Vertices[Closeness Centrality],"&gt;="&amp;L42)</f>
        <v>0</v>
      </c>
      <c r="N41" s="40">
        <f aca="true" t="shared" si="15" ref="N41:N56">N40+($N$57-$N$2)/BinDivisor</f>
        <v>0.5</v>
      </c>
      <c r="O41" s="41">
        <f>COUNTIF(Vertices[Eigenvector Centrality],"&gt;= "&amp;N41)-COUNTIF(Vertices[Eigenvector Centrality],"&gt;="&amp;N42)</f>
        <v>0</v>
      </c>
      <c r="P41" s="40">
        <f aca="true" t="shared" si="16" ref="P41:P56">P40+($P$57-$P$2)/BinDivisor</f>
        <v>0.999717</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0.5090909090909091</v>
      </c>
      <c r="G42" s="39">
        <f>COUNTIF(Vertices[In-Degree],"&gt;= "&amp;F42)-COUNTIF(Vertices[In-Degree],"&gt;="&amp;F43)</f>
        <v>0</v>
      </c>
      <c r="H42" s="38">
        <f t="shared" si="12"/>
        <v>0.5090909090909091</v>
      </c>
      <c r="I42" s="39">
        <f>COUNTIF(Vertices[Out-Degree],"&gt;= "&amp;H42)-COUNTIF(Vertices[Out-Degree],"&gt;="&amp;H43)</f>
        <v>0</v>
      </c>
      <c r="J42" s="38">
        <f t="shared" si="13"/>
        <v>0</v>
      </c>
      <c r="K42" s="39">
        <f>COUNTIF(Vertices[Betweenness Centrality],"&gt;= "&amp;J42)-COUNTIF(Vertices[Betweenness Centrality],"&gt;="&amp;J43)</f>
        <v>0</v>
      </c>
      <c r="L42" s="38">
        <f t="shared" si="14"/>
        <v>1</v>
      </c>
      <c r="M42" s="39">
        <f>COUNTIF(Vertices[Closeness Centrality],"&gt;= "&amp;L42)-COUNTIF(Vertices[Closeness Centrality],"&gt;="&amp;L43)</f>
        <v>0</v>
      </c>
      <c r="N42" s="38">
        <f t="shared" si="15"/>
        <v>0.5</v>
      </c>
      <c r="O42" s="39">
        <f>COUNTIF(Vertices[Eigenvector Centrality],"&gt;= "&amp;N42)-COUNTIF(Vertices[Eigenvector Centrality],"&gt;="&amp;N43)</f>
        <v>0</v>
      </c>
      <c r="P42" s="38">
        <f t="shared" si="16"/>
        <v>0.999717</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4:21" ht="15">
      <c r="D43" s="33">
        <f t="shared" si="10"/>
        <v>0</v>
      </c>
      <c r="E43" s="3">
        <f>COUNTIF(Vertices[Degree],"&gt;= "&amp;D43)-COUNTIF(Vertices[Degree],"&gt;="&amp;D44)</f>
        <v>0</v>
      </c>
      <c r="F43" s="40">
        <f t="shared" si="11"/>
        <v>0.5272727272727273</v>
      </c>
      <c r="G43" s="41">
        <f>COUNTIF(Vertices[In-Degree],"&gt;= "&amp;F43)-COUNTIF(Vertices[In-Degree],"&gt;="&amp;F44)</f>
        <v>0</v>
      </c>
      <c r="H43" s="40">
        <f t="shared" si="12"/>
        <v>0.5272727272727273</v>
      </c>
      <c r="I43" s="41">
        <f>COUNTIF(Vertices[Out-Degree],"&gt;= "&amp;H43)-COUNTIF(Vertices[Out-Degree],"&gt;="&amp;H44)</f>
        <v>0</v>
      </c>
      <c r="J43" s="40">
        <f t="shared" si="13"/>
        <v>0</v>
      </c>
      <c r="K43" s="41">
        <f>COUNTIF(Vertices[Betweenness Centrality],"&gt;= "&amp;J43)-COUNTIF(Vertices[Betweenness Centrality],"&gt;="&amp;J44)</f>
        <v>0</v>
      </c>
      <c r="L43" s="40">
        <f t="shared" si="14"/>
        <v>1</v>
      </c>
      <c r="M43" s="41">
        <f>COUNTIF(Vertices[Closeness Centrality],"&gt;= "&amp;L43)-COUNTIF(Vertices[Closeness Centrality],"&gt;="&amp;L44)</f>
        <v>0</v>
      </c>
      <c r="N43" s="40">
        <f t="shared" si="15"/>
        <v>0.5</v>
      </c>
      <c r="O43" s="41">
        <f>COUNTIF(Vertices[Eigenvector Centrality],"&gt;= "&amp;N43)-COUNTIF(Vertices[Eigenvector Centrality],"&gt;="&amp;N44)</f>
        <v>0</v>
      </c>
      <c r="P43" s="40">
        <f t="shared" si="16"/>
        <v>0.999717</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4:21" ht="15">
      <c r="D44" s="33">
        <f t="shared" si="10"/>
        <v>0</v>
      </c>
      <c r="E44" s="3">
        <f>COUNTIF(Vertices[Degree],"&gt;= "&amp;D44)-COUNTIF(Vertices[Degree],"&gt;="&amp;D45)</f>
        <v>0</v>
      </c>
      <c r="F44" s="38">
        <f t="shared" si="11"/>
        <v>0.5454545454545455</v>
      </c>
      <c r="G44" s="39">
        <f>COUNTIF(Vertices[In-Degree],"&gt;= "&amp;F44)-COUNTIF(Vertices[In-Degree],"&gt;="&amp;F45)</f>
        <v>0</v>
      </c>
      <c r="H44" s="38">
        <f t="shared" si="12"/>
        <v>0.5454545454545455</v>
      </c>
      <c r="I44" s="39">
        <f>COUNTIF(Vertices[Out-Degree],"&gt;= "&amp;H44)-COUNTIF(Vertices[Out-Degree],"&gt;="&amp;H45)</f>
        <v>0</v>
      </c>
      <c r="J44" s="38">
        <f t="shared" si="13"/>
        <v>0</v>
      </c>
      <c r="K44" s="39">
        <f>COUNTIF(Vertices[Betweenness Centrality],"&gt;= "&amp;J44)-COUNTIF(Vertices[Betweenness Centrality],"&gt;="&amp;J45)</f>
        <v>0</v>
      </c>
      <c r="L44" s="38">
        <f t="shared" si="14"/>
        <v>1</v>
      </c>
      <c r="M44" s="39">
        <f>COUNTIF(Vertices[Closeness Centrality],"&gt;= "&amp;L44)-COUNTIF(Vertices[Closeness Centrality],"&gt;="&amp;L45)</f>
        <v>0</v>
      </c>
      <c r="N44" s="38">
        <f t="shared" si="15"/>
        <v>0.5</v>
      </c>
      <c r="O44" s="39">
        <f>COUNTIF(Vertices[Eigenvector Centrality],"&gt;= "&amp;N44)-COUNTIF(Vertices[Eigenvector Centrality],"&gt;="&amp;N45)</f>
        <v>0</v>
      </c>
      <c r="P44" s="38">
        <f t="shared" si="16"/>
        <v>0.999717</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0.5636363636363637</v>
      </c>
      <c r="G45" s="41">
        <f>COUNTIF(Vertices[In-Degree],"&gt;= "&amp;F45)-COUNTIF(Vertices[In-Degree],"&gt;="&amp;F46)</f>
        <v>0</v>
      </c>
      <c r="H45" s="40">
        <f t="shared" si="12"/>
        <v>0.5636363636363637</v>
      </c>
      <c r="I45" s="41">
        <f>COUNTIF(Vertices[Out-Degree],"&gt;= "&amp;H45)-COUNTIF(Vertices[Out-Degree],"&gt;="&amp;H46)</f>
        <v>0</v>
      </c>
      <c r="J45" s="40">
        <f t="shared" si="13"/>
        <v>0</v>
      </c>
      <c r="K45" s="41">
        <f>COUNTIF(Vertices[Betweenness Centrality],"&gt;= "&amp;J45)-COUNTIF(Vertices[Betweenness Centrality],"&gt;="&amp;J46)</f>
        <v>0</v>
      </c>
      <c r="L45" s="40">
        <f t="shared" si="14"/>
        <v>1</v>
      </c>
      <c r="M45" s="41">
        <f>COUNTIF(Vertices[Closeness Centrality],"&gt;= "&amp;L45)-COUNTIF(Vertices[Closeness Centrality],"&gt;="&amp;L46)</f>
        <v>0</v>
      </c>
      <c r="N45" s="40">
        <f t="shared" si="15"/>
        <v>0.5</v>
      </c>
      <c r="O45" s="41">
        <f>COUNTIF(Vertices[Eigenvector Centrality],"&gt;= "&amp;N45)-COUNTIF(Vertices[Eigenvector Centrality],"&gt;="&amp;N46)</f>
        <v>0</v>
      </c>
      <c r="P45" s="40">
        <f t="shared" si="16"/>
        <v>0.999717</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0.5818181818181819</v>
      </c>
      <c r="G46" s="39">
        <f>COUNTIF(Vertices[In-Degree],"&gt;= "&amp;F46)-COUNTIF(Vertices[In-Degree],"&gt;="&amp;F47)</f>
        <v>0</v>
      </c>
      <c r="H46" s="38">
        <f t="shared" si="12"/>
        <v>0.5818181818181819</v>
      </c>
      <c r="I46" s="39">
        <f>COUNTIF(Vertices[Out-Degree],"&gt;= "&amp;H46)-COUNTIF(Vertices[Out-Degree],"&gt;="&amp;H47)</f>
        <v>0</v>
      </c>
      <c r="J46" s="38">
        <f t="shared" si="13"/>
        <v>0</v>
      </c>
      <c r="K46" s="39">
        <f>COUNTIF(Vertices[Betweenness Centrality],"&gt;= "&amp;J46)-COUNTIF(Vertices[Betweenness Centrality],"&gt;="&amp;J47)</f>
        <v>0</v>
      </c>
      <c r="L46" s="38">
        <f t="shared" si="14"/>
        <v>1</v>
      </c>
      <c r="M46" s="39">
        <f>COUNTIF(Vertices[Closeness Centrality],"&gt;= "&amp;L46)-COUNTIF(Vertices[Closeness Centrality],"&gt;="&amp;L47)</f>
        <v>0</v>
      </c>
      <c r="N46" s="38">
        <f t="shared" si="15"/>
        <v>0.5</v>
      </c>
      <c r="O46" s="39">
        <f>COUNTIF(Vertices[Eigenvector Centrality],"&gt;= "&amp;N46)-COUNTIF(Vertices[Eigenvector Centrality],"&gt;="&amp;N47)</f>
        <v>0</v>
      </c>
      <c r="P46" s="38">
        <f t="shared" si="16"/>
        <v>0.999717</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0.6000000000000001</v>
      </c>
      <c r="G47" s="41">
        <f>COUNTIF(Vertices[In-Degree],"&gt;= "&amp;F47)-COUNTIF(Vertices[In-Degree],"&gt;="&amp;F48)</f>
        <v>0</v>
      </c>
      <c r="H47" s="40">
        <f t="shared" si="12"/>
        <v>0.6000000000000001</v>
      </c>
      <c r="I47" s="41">
        <f>COUNTIF(Vertices[Out-Degree],"&gt;= "&amp;H47)-COUNTIF(Vertices[Out-Degree],"&gt;="&amp;H48)</f>
        <v>0</v>
      </c>
      <c r="J47" s="40">
        <f t="shared" si="13"/>
        <v>0</v>
      </c>
      <c r="K47" s="41">
        <f>COUNTIF(Vertices[Betweenness Centrality],"&gt;= "&amp;J47)-COUNTIF(Vertices[Betweenness Centrality],"&gt;="&amp;J48)</f>
        <v>0</v>
      </c>
      <c r="L47" s="40">
        <f t="shared" si="14"/>
        <v>1</v>
      </c>
      <c r="M47" s="41">
        <f>COUNTIF(Vertices[Closeness Centrality],"&gt;= "&amp;L47)-COUNTIF(Vertices[Closeness Centrality],"&gt;="&amp;L48)</f>
        <v>0</v>
      </c>
      <c r="N47" s="40">
        <f t="shared" si="15"/>
        <v>0.5</v>
      </c>
      <c r="O47" s="41">
        <f>COUNTIF(Vertices[Eigenvector Centrality],"&gt;= "&amp;N47)-COUNTIF(Vertices[Eigenvector Centrality],"&gt;="&amp;N48)</f>
        <v>0</v>
      </c>
      <c r="P47" s="40">
        <f t="shared" si="16"/>
        <v>0.999717</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0.6181818181818183</v>
      </c>
      <c r="G48" s="39">
        <f>COUNTIF(Vertices[In-Degree],"&gt;= "&amp;F48)-COUNTIF(Vertices[In-Degree],"&gt;="&amp;F49)</f>
        <v>0</v>
      </c>
      <c r="H48" s="38">
        <f t="shared" si="12"/>
        <v>0.6181818181818183</v>
      </c>
      <c r="I48" s="39">
        <f>COUNTIF(Vertices[Out-Degree],"&gt;= "&amp;H48)-COUNTIF(Vertices[Out-Degree],"&gt;="&amp;H49)</f>
        <v>0</v>
      </c>
      <c r="J48" s="38">
        <f t="shared" si="13"/>
        <v>0</v>
      </c>
      <c r="K48" s="39">
        <f>COUNTIF(Vertices[Betweenness Centrality],"&gt;= "&amp;J48)-COUNTIF(Vertices[Betweenness Centrality],"&gt;="&amp;J49)</f>
        <v>0</v>
      </c>
      <c r="L48" s="38">
        <f t="shared" si="14"/>
        <v>1</v>
      </c>
      <c r="M48" s="39">
        <f>COUNTIF(Vertices[Closeness Centrality],"&gt;= "&amp;L48)-COUNTIF(Vertices[Closeness Centrality],"&gt;="&amp;L49)</f>
        <v>0</v>
      </c>
      <c r="N48" s="38">
        <f t="shared" si="15"/>
        <v>0.5</v>
      </c>
      <c r="O48" s="39">
        <f>COUNTIF(Vertices[Eigenvector Centrality],"&gt;= "&amp;N48)-COUNTIF(Vertices[Eigenvector Centrality],"&gt;="&amp;N49)</f>
        <v>0</v>
      </c>
      <c r="P48" s="38">
        <f t="shared" si="16"/>
        <v>0.999717</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0.6363636363636365</v>
      </c>
      <c r="G49" s="41">
        <f>COUNTIF(Vertices[In-Degree],"&gt;= "&amp;F49)-COUNTIF(Vertices[In-Degree],"&gt;="&amp;F50)</f>
        <v>0</v>
      </c>
      <c r="H49" s="40">
        <f t="shared" si="12"/>
        <v>0.6363636363636365</v>
      </c>
      <c r="I49" s="41">
        <f>COUNTIF(Vertices[Out-Degree],"&gt;= "&amp;H49)-COUNTIF(Vertices[Out-Degree],"&gt;="&amp;H50)</f>
        <v>0</v>
      </c>
      <c r="J49" s="40">
        <f t="shared" si="13"/>
        <v>0</v>
      </c>
      <c r="K49" s="41">
        <f>COUNTIF(Vertices[Betweenness Centrality],"&gt;= "&amp;J49)-COUNTIF(Vertices[Betweenness Centrality],"&gt;="&amp;J50)</f>
        <v>0</v>
      </c>
      <c r="L49" s="40">
        <f t="shared" si="14"/>
        <v>1</v>
      </c>
      <c r="M49" s="41">
        <f>COUNTIF(Vertices[Closeness Centrality],"&gt;= "&amp;L49)-COUNTIF(Vertices[Closeness Centrality],"&gt;="&amp;L50)</f>
        <v>0</v>
      </c>
      <c r="N49" s="40">
        <f t="shared" si="15"/>
        <v>0.5</v>
      </c>
      <c r="O49" s="41">
        <f>COUNTIF(Vertices[Eigenvector Centrality],"&gt;= "&amp;N49)-COUNTIF(Vertices[Eigenvector Centrality],"&gt;="&amp;N50)</f>
        <v>0</v>
      </c>
      <c r="P49" s="40">
        <f t="shared" si="16"/>
        <v>0.999717</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0.6545454545454547</v>
      </c>
      <c r="G50" s="39">
        <f>COUNTIF(Vertices[In-Degree],"&gt;= "&amp;F50)-COUNTIF(Vertices[In-Degree],"&gt;="&amp;F51)</f>
        <v>0</v>
      </c>
      <c r="H50" s="38">
        <f t="shared" si="12"/>
        <v>0.6545454545454547</v>
      </c>
      <c r="I50" s="39">
        <f>COUNTIF(Vertices[Out-Degree],"&gt;= "&amp;H50)-COUNTIF(Vertices[Out-Degree],"&gt;="&amp;H51)</f>
        <v>0</v>
      </c>
      <c r="J50" s="38">
        <f t="shared" si="13"/>
        <v>0</v>
      </c>
      <c r="K50" s="39">
        <f>COUNTIF(Vertices[Betweenness Centrality],"&gt;= "&amp;J50)-COUNTIF(Vertices[Betweenness Centrality],"&gt;="&amp;J51)</f>
        <v>0</v>
      </c>
      <c r="L50" s="38">
        <f t="shared" si="14"/>
        <v>1</v>
      </c>
      <c r="M50" s="39">
        <f>COUNTIF(Vertices[Closeness Centrality],"&gt;= "&amp;L50)-COUNTIF(Vertices[Closeness Centrality],"&gt;="&amp;L51)</f>
        <v>0</v>
      </c>
      <c r="N50" s="38">
        <f t="shared" si="15"/>
        <v>0.5</v>
      </c>
      <c r="O50" s="39">
        <f>COUNTIF(Vertices[Eigenvector Centrality],"&gt;= "&amp;N50)-COUNTIF(Vertices[Eigenvector Centrality],"&gt;="&amp;N51)</f>
        <v>0</v>
      </c>
      <c r="P50" s="38">
        <f t="shared" si="16"/>
        <v>0.999717</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0.6727272727272728</v>
      </c>
      <c r="G51" s="41">
        <f>COUNTIF(Vertices[In-Degree],"&gt;= "&amp;F51)-COUNTIF(Vertices[In-Degree],"&gt;="&amp;F52)</f>
        <v>0</v>
      </c>
      <c r="H51" s="40">
        <f t="shared" si="12"/>
        <v>0.6727272727272728</v>
      </c>
      <c r="I51" s="41">
        <f>COUNTIF(Vertices[Out-Degree],"&gt;= "&amp;H51)-COUNTIF(Vertices[Out-Degree],"&gt;="&amp;H52)</f>
        <v>0</v>
      </c>
      <c r="J51" s="40">
        <f t="shared" si="13"/>
        <v>0</v>
      </c>
      <c r="K51" s="41">
        <f>COUNTIF(Vertices[Betweenness Centrality],"&gt;= "&amp;J51)-COUNTIF(Vertices[Betweenness Centrality],"&gt;="&amp;J52)</f>
        <v>0</v>
      </c>
      <c r="L51" s="40">
        <f t="shared" si="14"/>
        <v>1</v>
      </c>
      <c r="M51" s="41">
        <f>COUNTIF(Vertices[Closeness Centrality],"&gt;= "&amp;L51)-COUNTIF(Vertices[Closeness Centrality],"&gt;="&amp;L52)</f>
        <v>0</v>
      </c>
      <c r="N51" s="40">
        <f t="shared" si="15"/>
        <v>0.5</v>
      </c>
      <c r="O51" s="41">
        <f>COUNTIF(Vertices[Eigenvector Centrality],"&gt;= "&amp;N51)-COUNTIF(Vertices[Eigenvector Centrality],"&gt;="&amp;N52)</f>
        <v>0</v>
      </c>
      <c r="P51" s="40">
        <f t="shared" si="16"/>
        <v>0.999717</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0.690909090909091</v>
      </c>
      <c r="G52" s="39">
        <f>COUNTIF(Vertices[In-Degree],"&gt;= "&amp;F52)-COUNTIF(Vertices[In-Degree],"&gt;="&amp;F53)</f>
        <v>0</v>
      </c>
      <c r="H52" s="38">
        <f t="shared" si="12"/>
        <v>0.690909090909091</v>
      </c>
      <c r="I52" s="39">
        <f>COUNTIF(Vertices[Out-Degree],"&gt;= "&amp;H52)-COUNTIF(Vertices[Out-Degree],"&gt;="&amp;H53)</f>
        <v>0</v>
      </c>
      <c r="J52" s="38">
        <f t="shared" si="13"/>
        <v>0</v>
      </c>
      <c r="K52" s="39">
        <f>COUNTIF(Vertices[Betweenness Centrality],"&gt;= "&amp;J52)-COUNTIF(Vertices[Betweenness Centrality],"&gt;="&amp;J53)</f>
        <v>0</v>
      </c>
      <c r="L52" s="38">
        <f t="shared" si="14"/>
        <v>1</v>
      </c>
      <c r="M52" s="39">
        <f>COUNTIF(Vertices[Closeness Centrality],"&gt;= "&amp;L52)-COUNTIF(Vertices[Closeness Centrality],"&gt;="&amp;L53)</f>
        <v>0</v>
      </c>
      <c r="N52" s="38">
        <f t="shared" si="15"/>
        <v>0.5</v>
      </c>
      <c r="O52" s="39">
        <f>COUNTIF(Vertices[Eigenvector Centrality],"&gt;= "&amp;N52)-COUNTIF(Vertices[Eigenvector Centrality],"&gt;="&amp;N53)</f>
        <v>0</v>
      </c>
      <c r="P52" s="38">
        <f t="shared" si="16"/>
        <v>0.999717</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0.7090909090909092</v>
      </c>
      <c r="G53" s="41">
        <f>COUNTIF(Vertices[In-Degree],"&gt;= "&amp;F53)-COUNTIF(Vertices[In-Degree],"&gt;="&amp;F54)</f>
        <v>0</v>
      </c>
      <c r="H53" s="40">
        <f t="shared" si="12"/>
        <v>0.7090909090909092</v>
      </c>
      <c r="I53" s="41">
        <f>COUNTIF(Vertices[Out-Degree],"&gt;= "&amp;H53)-COUNTIF(Vertices[Out-Degree],"&gt;="&amp;H54)</f>
        <v>0</v>
      </c>
      <c r="J53" s="40">
        <f t="shared" si="13"/>
        <v>0</v>
      </c>
      <c r="K53" s="41">
        <f>COUNTIF(Vertices[Betweenness Centrality],"&gt;= "&amp;J53)-COUNTIF(Vertices[Betweenness Centrality],"&gt;="&amp;J54)</f>
        <v>0</v>
      </c>
      <c r="L53" s="40">
        <f t="shared" si="14"/>
        <v>1</v>
      </c>
      <c r="M53" s="41">
        <f>COUNTIF(Vertices[Closeness Centrality],"&gt;= "&amp;L53)-COUNTIF(Vertices[Closeness Centrality],"&gt;="&amp;L54)</f>
        <v>0</v>
      </c>
      <c r="N53" s="40">
        <f t="shared" si="15"/>
        <v>0.5</v>
      </c>
      <c r="O53" s="41">
        <f>COUNTIF(Vertices[Eigenvector Centrality],"&gt;= "&amp;N53)-COUNTIF(Vertices[Eigenvector Centrality],"&gt;="&amp;N54)</f>
        <v>0</v>
      </c>
      <c r="P53" s="40">
        <f t="shared" si="16"/>
        <v>0.999717</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0.7272727272727274</v>
      </c>
      <c r="G54" s="39">
        <f>COUNTIF(Vertices[In-Degree],"&gt;= "&amp;F54)-COUNTIF(Vertices[In-Degree],"&gt;="&amp;F55)</f>
        <v>0</v>
      </c>
      <c r="H54" s="38">
        <f t="shared" si="12"/>
        <v>0.7272727272727274</v>
      </c>
      <c r="I54" s="39">
        <f>COUNTIF(Vertices[Out-Degree],"&gt;= "&amp;H54)-COUNTIF(Vertices[Out-Degree],"&gt;="&amp;H55)</f>
        <v>0</v>
      </c>
      <c r="J54" s="38">
        <f t="shared" si="13"/>
        <v>0</v>
      </c>
      <c r="K54" s="39">
        <f>COUNTIF(Vertices[Betweenness Centrality],"&gt;= "&amp;J54)-COUNTIF(Vertices[Betweenness Centrality],"&gt;="&amp;J55)</f>
        <v>0</v>
      </c>
      <c r="L54" s="38">
        <f t="shared" si="14"/>
        <v>1</v>
      </c>
      <c r="M54" s="39">
        <f>COUNTIF(Vertices[Closeness Centrality],"&gt;= "&amp;L54)-COUNTIF(Vertices[Closeness Centrality],"&gt;="&amp;L55)</f>
        <v>0</v>
      </c>
      <c r="N54" s="38">
        <f t="shared" si="15"/>
        <v>0.5</v>
      </c>
      <c r="O54" s="39">
        <f>COUNTIF(Vertices[Eigenvector Centrality],"&gt;= "&amp;N54)-COUNTIF(Vertices[Eigenvector Centrality],"&gt;="&amp;N55)</f>
        <v>0</v>
      </c>
      <c r="P54" s="38">
        <f t="shared" si="16"/>
        <v>0.999717</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0.7454545454545456</v>
      </c>
      <c r="G55" s="41">
        <f>COUNTIF(Vertices[In-Degree],"&gt;= "&amp;F55)-COUNTIF(Vertices[In-Degree],"&gt;="&amp;F56)</f>
        <v>0</v>
      </c>
      <c r="H55" s="40">
        <f t="shared" si="12"/>
        <v>0.7454545454545456</v>
      </c>
      <c r="I55" s="41">
        <f>COUNTIF(Vertices[Out-Degree],"&gt;= "&amp;H55)-COUNTIF(Vertices[Out-Degree],"&gt;="&amp;H56)</f>
        <v>0</v>
      </c>
      <c r="J55" s="40">
        <f t="shared" si="13"/>
        <v>0</v>
      </c>
      <c r="K55" s="41">
        <f>COUNTIF(Vertices[Betweenness Centrality],"&gt;= "&amp;J55)-COUNTIF(Vertices[Betweenness Centrality],"&gt;="&amp;J56)</f>
        <v>0</v>
      </c>
      <c r="L55" s="40">
        <f t="shared" si="14"/>
        <v>1</v>
      </c>
      <c r="M55" s="41">
        <f>COUNTIF(Vertices[Closeness Centrality],"&gt;= "&amp;L55)-COUNTIF(Vertices[Closeness Centrality],"&gt;="&amp;L56)</f>
        <v>0</v>
      </c>
      <c r="N55" s="40">
        <f t="shared" si="15"/>
        <v>0.5</v>
      </c>
      <c r="O55" s="41">
        <f>COUNTIF(Vertices[Eigenvector Centrality],"&gt;= "&amp;N55)-COUNTIF(Vertices[Eigenvector Centrality],"&gt;="&amp;N56)</f>
        <v>0</v>
      </c>
      <c r="P55" s="40">
        <f t="shared" si="16"/>
        <v>0.999717</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0.7636363636363638</v>
      </c>
      <c r="G56" s="39">
        <f>COUNTIF(Vertices[In-Degree],"&gt;= "&amp;F56)-COUNTIF(Vertices[In-Degree],"&gt;="&amp;F57)</f>
        <v>0</v>
      </c>
      <c r="H56" s="38">
        <f t="shared" si="12"/>
        <v>0.7636363636363638</v>
      </c>
      <c r="I56" s="39">
        <f>COUNTIF(Vertices[Out-Degree],"&gt;= "&amp;H56)-COUNTIF(Vertices[Out-Degree],"&gt;="&amp;H57)</f>
        <v>0</v>
      </c>
      <c r="J56" s="38">
        <f t="shared" si="13"/>
        <v>0</v>
      </c>
      <c r="K56" s="39">
        <f>COUNTIF(Vertices[Betweenness Centrality],"&gt;= "&amp;J56)-COUNTIF(Vertices[Betweenness Centrality],"&gt;="&amp;J57)</f>
        <v>0</v>
      </c>
      <c r="L56" s="38">
        <f t="shared" si="14"/>
        <v>1</v>
      </c>
      <c r="M56" s="39">
        <f>COUNTIF(Vertices[Closeness Centrality],"&gt;= "&amp;L56)-COUNTIF(Vertices[Closeness Centrality],"&gt;="&amp;L57)</f>
        <v>0</v>
      </c>
      <c r="N56" s="38">
        <f t="shared" si="15"/>
        <v>0.5</v>
      </c>
      <c r="O56" s="39">
        <f>COUNTIF(Vertices[Eigenvector Centrality],"&gt;= "&amp;N56)-COUNTIF(Vertices[Eigenvector Centrality],"&gt;="&amp;N57)</f>
        <v>0</v>
      </c>
      <c r="P56" s="38">
        <f t="shared" si="16"/>
        <v>0.999717</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1</v>
      </c>
      <c r="G57" s="43">
        <f>COUNTIF(Vertices[In-Degree],"&gt;= "&amp;F57)-COUNTIF(Vertices[In-Degree],"&gt;="&amp;F58)</f>
        <v>1</v>
      </c>
      <c r="H57" s="42">
        <f>MAX(Vertices[Out-Degree])</f>
        <v>1</v>
      </c>
      <c r="I57" s="43">
        <f>COUNTIF(Vertices[Out-Degree],"&gt;= "&amp;H57)-COUNTIF(Vertices[Out-Degree],"&gt;="&amp;H58)</f>
        <v>1</v>
      </c>
      <c r="J57" s="42">
        <f>MAX(Vertices[Betweenness Centrality])</f>
        <v>0</v>
      </c>
      <c r="K57" s="43">
        <f>COUNTIF(Vertices[Betweenness Centrality],"&gt;= "&amp;J57)-COUNTIF(Vertices[Betweenness Centrality],"&gt;="&amp;J58)</f>
        <v>2</v>
      </c>
      <c r="L57" s="42">
        <f>MAX(Vertices[Closeness Centrality])</f>
        <v>1</v>
      </c>
      <c r="M57" s="43">
        <f>COUNTIF(Vertices[Closeness Centrality],"&gt;= "&amp;L57)-COUNTIF(Vertices[Closeness Centrality],"&gt;="&amp;L58)</f>
        <v>2</v>
      </c>
      <c r="N57" s="42">
        <f>MAX(Vertices[Eigenvector Centrality])</f>
        <v>0.5</v>
      </c>
      <c r="O57" s="43">
        <f>COUNTIF(Vertices[Eigenvector Centrality],"&gt;= "&amp;N57)-COUNTIF(Vertices[Eigenvector Centrality],"&gt;="&amp;N58)</f>
        <v>2</v>
      </c>
      <c r="P57" s="42">
        <f>MAX(Vertices[PageRank])</f>
        <v>0.999717</v>
      </c>
      <c r="Q57" s="43">
        <f>COUNTIF(Vertices[PageRank],"&gt;= "&amp;P57)-COUNTIF(Vertices[PageRank],"&gt;="&amp;P58)</f>
        <v>2</v>
      </c>
      <c r="R57" s="42">
        <f>MAX(Vertices[Clustering Coefficient])</f>
        <v>0</v>
      </c>
      <c r="S57" s="46">
        <f>COUNTIF(Vertices[Clustering Coefficient],"&gt;= "&amp;R57)-COUNTIF(Vertices[Clustering Coefficient],"&gt;="&amp;R58)</f>
        <v>2</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f>IF(COUNT(Vertices[In-Degree])&gt;0,F2,NoMetricMessage)</f>
        <v>0</v>
      </c>
    </row>
    <row r="70" spans="1:2" ht="15">
      <c r="A70" s="34" t="s">
        <v>89</v>
      </c>
      <c r="B70" s="47">
        <f>IF(COUNT(Vertices[In-Degree])&gt;0,F57,NoMetricMessage)</f>
        <v>1</v>
      </c>
    </row>
    <row r="71" spans="1:2" ht="15">
      <c r="A71" s="34" t="s">
        <v>90</v>
      </c>
      <c r="B71" s="48">
        <f>_xlfn.IFERROR(AVERAGE(Vertices[In-Degree]),NoMetricMessage)</f>
        <v>0.5</v>
      </c>
    </row>
    <row r="72" spans="1:2" ht="15">
      <c r="A72" s="34" t="s">
        <v>91</v>
      </c>
      <c r="B72" s="48">
        <f>_xlfn.IFERROR(MEDIAN(Vertices[In-Degree]),NoMetricMessage)</f>
        <v>0.5</v>
      </c>
    </row>
    <row r="83" spans="1:2" ht="15">
      <c r="A83" s="34" t="s">
        <v>94</v>
      </c>
      <c r="B83" s="47">
        <f>IF(COUNT(Vertices[Out-Degree])&gt;0,H2,NoMetricMessage)</f>
        <v>0</v>
      </c>
    </row>
    <row r="84" spans="1:2" ht="15">
      <c r="A84" s="34" t="s">
        <v>95</v>
      </c>
      <c r="B84" s="47">
        <f>IF(COUNT(Vertices[Out-Degree])&gt;0,H57,NoMetricMessage)</f>
        <v>1</v>
      </c>
    </row>
    <row r="85" spans="1:2" ht="15">
      <c r="A85" s="34" t="s">
        <v>96</v>
      </c>
      <c r="B85" s="48">
        <f>_xlfn.IFERROR(AVERAGE(Vertices[Out-Degree]),NoMetricMessage)</f>
        <v>0.5</v>
      </c>
    </row>
    <row r="86" spans="1:2" ht="15">
      <c r="A86" s="34" t="s">
        <v>97</v>
      </c>
      <c r="B86" s="48">
        <f>_xlfn.IFERROR(MEDIAN(Vertices[Out-Degree]),NoMetricMessage)</f>
        <v>0.5</v>
      </c>
    </row>
    <row r="97" spans="1:2" ht="15">
      <c r="A97" s="34" t="s">
        <v>100</v>
      </c>
      <c r="B97" s="48">
        <f>IF(COUNT(Vertices[Betweenness Centrality])&gt;0,J2,NoMetricMessage)</f>
        <v>0</v>
      </c>
    </row>
    <row r="98" spans="1:2" ht="15">
      <c r="A98" s="34" t="s">
        <v>101</v>
      </c>
      <c r="B98" s="48">
        <f>IF(COUNT(Vertices[Betweenness Centrality])&gt;0,J57,NoMetricMessage)</f>
        <v>0</v>
      </c>
    </row>
    <row r="99" spans="1:2" ht="15">
      <c r="A99" s="34" t="s">
        <v>102</v>
      </c>
      <c r="B99" s="48">
        <f>_xlfn.IFERROR(AVERAGE(Vertices[Betweenness Centrality]),NoMetricMessage)</f>
        <v>0</v>
      </c>
    </row>
    <row r="100" spans="1:2" ht="15">
      <c r="A100" s="34" t="s">
        <v>103</v>
      </c>
      <c r="B100" s="48">
        <f>_xlfn.IFERROR(MEDIAN(Vertices[Betweenness Centrality]),NoMetricMessage)</f>
        <v>0</v>
      </c>
    </row>
    <row r="111" spans="1:2" ht="15">
      <c r="A111" s="34" t="s">
        <v>106</v>
      </c>
      <c r="B111" s="48">
        <f>IF(COUNT(Vertices[Closeness Centrality])&gt;0,L2,NoMetricMessage)</f>
        <v>1</v>
      </c>
    </row>
    <row r="112" spans="1:2" ht="15">
      <c r="A112" s="34" t="s">
        <v>107</v>
      </c>
      <c r="B112" s="48">
        <f>IF(COUNT(Vertices[Closeness Centrality])&gt;0,L57,NoMetricMessage)</f>
        <v>1</v>
      </c>
    </row>
    <row r="113" spans="1:2" ht="15">
      <c r="A113" s="34" t="s">
        <v>108</v>
      </c>
      <c r="B113" s="48">
        <f>_xlfn.IFERROR(AVERAGE(Vertices[Closeness Centrality]),NoMetricMessage)</f>
        <v>1</v>
      </c>
    </row>
    <row r="114" spans="1:2" ht="15">
      <c r="A114" s="34" t="s">
        <v>109</v>
      </c>
      <c r="B114" s="48">
        <f>_xlfn.IFERROR(MEDIAN(Vertices[Closeness Centrality]),NoMetricMessage)</f>
        <v>1</v>
      </c>
    </row>
    <row r="125" spans="1:2" ht="15">
      <c r="A125" s="34" t="s">
        <v>112</v>
      </c>
      <c r="B125" s="48">
        <f>IF(COUNT(Vertices[Eigenvector Centrality])&gt;0,N2,NoMetricMessage)</f>
        <v>0.5</v>
      </c>
    </row>
    <row r="126" spans="1:2" ht="15">
      <c r="A126" s="34" t="s">
        <v>113</v>
      </c>
      <c r="B126" s="48">
        <f>IF(COUNT(Vertices[Eigenvector Centrality])&gt;0,N57,NoMetricMessage)</f>
        <v>0.5</v>
      </c>
    </row>
    <row r="127" spans="1:2" ht="15">
      <c r="A127" s="34" t="s">
        <v>114</v>
      </c>
      <c r="B127" s="48">
        <f>_xlfn.IFERROR(AVERAGE(Vertices[Eigenvector Centrality]),NoMetricMessage)</f>
        <v>0.5</v>
      </c>
    </row>
    <row r="128" spans="1:2" ht="15">
      <c r="A128" s="34" t="s">
        <v>115</v>
      </c>
      <c r="B128" s="48">
        <f>_xlfn.IFERROR(MEDIAN(Vertices[Eigenvector Centrality]),NoMetricMessage)</f>
        <v>0.5</v>
      </c>
    </row>
    <row r="139" spans="1:2" ht="15">
      <c r="A139" s="34" t="s">
        <v>140</v>
      </c>
      <c r="B139" s="48">
        <f>IF(COUNT(Vertices[PageRank])&gt;0,P2,NoMetricMessage)</f>
        <v>0.999717</v>
      </c>
    </row>
    <row r="140" spans="1:2" ht="15">
      <c r="A140" s="34" t="s">
        <v>141</v>
      </c>
      <c r="B140" s="48">
        <f>IF(COUNT(Vertices[PageRank])&gt;0,P57,NoMetricMessage)</f>
        <v>0.999717</v>
      </c>
    </row>
    <row r="141" spans="1:2" ht="15">
      <c r="A141" s="34" t="s">
        <v>142</v>
      </c>
      <c r="B141" s="48">
        <f>_xlfn.IFERROR(AVERAGE(Vertices[PageRank]),NoMetricMessage)</f>
        <v>0.999717</v>
      </c>
    </row>
    <row r="142" spans="1:2" ht="15">
      <c r="A142" s="34" t="s">
        <v>143</v>
      </c>
      <c r="B142" s="48">
        <f>_xlfn.IFERROR(MEDIAN(Vertices[PageRank]),NoMetricMessage)</f>
        <v>0.999717</v>
      </c>
    </row>
    <row r="153" spans="1:2" ht="15">
      <c r="A153" s="34" t="s">
        <v>118</v>
      </c>
      <c r="B153" s="48">
        <f>IF(COUNT(Vertices[Clustering Coefficient])&gt;0,R2,NoMetricMessage)</f>
        <v>0</v>
      </c>
    </row>
    <row r="154" spans="1:2" ht="15">
      <c r="A154" s="34" t="s">
        <v>119</v>
      </c>
      <c r="B154" s="48">
        <f>IF(COUNT(Vertices[Clustering Coefficient])&gt;0,R57,NoMetricMessage)</f>
        <v>0</v>
      </c>
    </row>
    <row r="155" spans="1:2" ht="15">
      <c r="A155" s="34" t="s">
        <v>120</v>
      </c>
      <c r="B155" s="48">
        <f>_xlfn.IFERROR(AVERAGE(Vertices[Clustering Coefficient]),NoMetricMessage)</f>
        <v>0</v>
      </c>
    </row>
    <row r="156" spans="1:2" ht="15">
      <c r="A156" s="34" t="s">
        <v>121</v>
      </c>
      <c r="B156"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216</v>
      </c>
    </row>
    <row r="6" spans="1:18" ht="409.5">
      <c r="A6">
        <v>0</v>
      </c>
      <c r="B6" s="1" t="s">
        <v>136</v>
      </c>
      <c r="C6">
        <v>1</v>
      </c>
      <c r="D6" t="s">
        <v>59</v>
      </c>
      <c r="E6" t="s">
        <v>59</v>
      </c>
      <c r="F6">
        <v>0</v>
      </c>
      <c r="H6" t="s">
        <v>71</v>
      </c>
      <c r="J6" t="s">
        <v>173</v>
      </c>
      <c r="K6" s="13" t="s">
        <v>217</v>
      </c>
      <c r="R6" t="s">
        <v>129</v>
      </c>
    </row>
    <row r="7" spans="1:11" ht="409.5">
      <c r="A7">
        <v>2</v>
      </c>
      <c r="B7">
        <v>1</v>
      </c>
      <c r="C7">
        <v>0</v>
      </c>
      <c r="D7" t="s">
        <v>60</v>
      </c>
      <c r="E7" t="s">
        <v>60</v>
      </c>
      <c r="F7">
        <v>2</v>
      </c>
      <c r="H7" t="s">
        <v>72</v>
      </c>
      <c r="J7" t="s">
        <v>174</v>
      </c>
      <c r="K7" s="13" t="s">
        <v>218</v>
      </c>
    </row>
    <row r="8" spans="1:11" ht="409.5">
      <c r="A8"/>
      <c r="B8">
        <v>2</v>
      </c>
      <c r="C8">
        <v>2</v>
      </c>
      <c r="D8" t="s">
        <v>61</v>
      </c>
      <c r="E8" t="s">
        <v>61</v>
      </c>
      <c r="H8" t="s">
        <v>73</v>
      </c>
      <c r="J8" t="s">
        <v>175</v>
      </c>
      <c r="K8" s="13" t="s">
        <v>219</v>
      </c>
    </row>
    <row r="9" spans="1:11" ht="409.5">
      <c r="A9"/>
      <c r="B9">
        <v>3</v>
      </c>
      <c r="C9">
        <v>4</v>
      </c>
      <c r="D9" t="s">
        <v>62</v>
      </c>
      <c r="E9" t="s">
        <v>62</v>
      </c>
      <c r="H9" t="s">
        <v>74</v>
      </c>
      <c r="J9" t="s">
        <v>176</v>
      </c>
      <c r="K9" s="13" t="s">
        <v>220</v>
      </c>
    </row>
    <row r="10" spans="1:11" ht="15">
      <c r="A10"/>
      <c r="B10">
        <v>4</v>
      </c>
      <c r="D10" t="s">
        <v>63</v>
      </c>
      <c r="E10" t="s">
        <v>63</v>
      </c>
      <c r="H10" t="s">
        <v>75</v>
      </c>
      <c r="J10" t="s">
        <v>177</v>
      </c>
      <c r="K10" t="s">
        <v>221</v>
      </c>
    </row>
    <row r="11" spans="1:11" ht="15">
      <c r="A11"/>
      <c r="B11">
        <v>5</v>
      </c>
      <c r="D11" t="s">
        <v>46</v>
      </c>
      <c r="E11">
        <v>1</v>
      </c>
      <c r="H11" t="s">
        <v>76</v>
      </c>
      <c r="J11" t="s">
        <v>178</v>
      </c>
      <c r="K11" t="s">
        <v>222</v>
      </c>
    </row>
    <row r="12" spans="1:11" ht="15">
      <c r="A12"/>
      <c r="B12"/>
      <c r="D12" t="s">
        <v>64</v>
      </c>
      <c r="E12">
        <v>2</v>
      </c>
      <c r="H12">
        <v>0</v>
      </c>
      <c r="J12" t="s">
        <v>179</v>
      </c>
      <c r="K12" t="s">
        <v>223</v>
      </c>
    </row>
    <row r="13" spans="1:11" ht="15">
      <c r="A13"/>
      <c r="B13"/>
      <c r="D13">
        <v>1</v>
      </c>
      <c r="E13">
        <v>3</v>
      </c>
      <c r="H13">
        <v>1</v>
      </c>
      <c r="J13" t="s">
        <v>180</v>
      </c>
      <c r="K13" t="s">
        <v>224</v>
      </c>
    </row>
    <row r="14" spans="4:11" ht="15">
      <c r="D14">
        <v>2</v>
      </c>
      <c r="E14">
        <v>4</v>
      </c>
      <c r="H14">
        <v>2</v>
      </c>
      <c r="J14" t="s">
        <v>181</v>
      </c>
      <c r="K14" t="s">
        <v>225</v>
      </c>
    </row>
    <row r="15" spans="4:11" ht="15">
      <c r="D15">
        <v>3</v>
      </c>
      <c r="E15">
        <v>5</v>
      </c>
      <c r="H15">
        <v>3</v>
      </c>
      <c r="J15" t="s">
        <v>182</v>
      </c>
      <c r="K15" t="s">
        <v>226</v>
      </c>
    </row>
    <row r="16" spans="4:11" ht="15">
      <c r="D16">
        <v>4</v>
      </c>
      <c r="E16">
        <v>6</v>
      </c>
      <c r="H16">
        <v>4</v>
      </c>
      <c r="J16" t="s">
        <v>183</v>
      </c>
      <c r="K16" t="s">
        <v>227</v>
      </c>
    </row>
    <row r="17" spans="4:11" ht="15">
      <c r="D17">
        <v>5</v>
      </c>
      <c r="E17">
        <v>7</v>
      </c>
      <c r="H17">
        <v>5</v>
      </c>
      <c r="J17" t="s">
        <v>184</v>
      </c>
      <c r="K17" t="s">
        <v>228</v>
      </c>
    </row>
    <row r="18" spans="4:11" ht="15">
      <c r="D18">
        <v>6</v>
      </c>
      <c r="E18">
        <v>8</v>
      </c>
      <c r="H18">
        <v>6</v>
      </c>
      <c r="J18" t="s">
        <v>185</v>
      </c>
      <c r="K18" t="s">
        <v>229</v>
      </c>
    </row>
    <row r="19" spans="4:11" ht="15">
      <c r="D19">
        <v>7</v>
      </c>
      <c r="E19">
        <v>9</v>
      </c>
      <c r="H19">
        <v>7</v>
      </c>
      <c r="J19" t="s">
        <v>186</v>
      </c>
      <c r="K19" t="s">
        <v>230</v>
      </c>
    </row>
    <row r="20" spans="4:11" ht="409.5">
      <c r="D20">
        <v>8</v>
      </c>
      <c r="H20">
        <v>8</v>
      </c>
      <c r="J20" t="s">
        <v>187</v>
      </c>
      <c r="K20" s="13" t="s">
        <v>231</v>
      </c>
    </row>
    <row r="21" spans="4:11" ht="409.5">
      <c r="D21">
        <v>9</v>
      </c>
      <c r="H21">
        <v>9</v>
      </c>
      <c r="J21" t="s">
        <v>188</v>
      </c>
      <c r="K21" s="13" t="s">
        <v>232</v>
      </c>
    </row>
    <row r="22" spans="4:11" ht="409.5">
      <c r="D22">
        <v>10</v>
      </c>
      <c r="J22" t="s">
        <v>189</v>
      </c>
      <c r="K22" s="13" t="s">
        <v>296</v>
      </c>
    </row>
    <row r="23" spans="4:11" ht="15">
      <c r="D23">
        <v>11</v>
      </c>
      <c r="J23" t="s">
        <v>190</v>
      </c>
      <c r="K23">
        <v>18</v>
      </c>
    </row>
    <row r="24" spans="10:11" ht="15">
      <c r="J24" t="s">
        <v>192</v>
      </c>
      <c r="K24" t="s">
        <v>293</v>
      </c>
    </row>
    <row r="25" spans="10:11" ht="409.5">
      <c r="J25" t="s">
        <v>193</v>
      </c>
      <c r="K25" s="13" t="s">
        <v>295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238</v>
      </c>
      <c r="B2" s="104" t="s">
        <v>239</v>
      </c>
      <c r="C2" s="67" t="s">
        <v>240</v>
      </c>
    </row>
    <row r="3" spans="1:3" ht="15">
      <c r="A3" s="103" t="s">
        <v>233</v>
      </c>
      <c r="B3" s="103" t="s">
        <v>233</v>
      </c>
      <c r="C3" s="35">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33.28125" style="0" bestFit="1" customWidth="1"/>
  </cols>
  <sheetData>
    <row r="1" spans="1:7" ht="15" customHeight="1">
      <c r="A1" s="13" t="s">
        <v>246</v>
      </c>
      <c r="B1" s="13" t="s">
        <v>252</v>
      </c>
      <c r="C1" s="13" t="s">
        <v>253</v>
      </c>
      <c r="D1" s="13" t="s">
        <v>144</v>
      </c>
      <c r="E1" s="13" t="s">
        <v>255</v>
      </c>
      <c r="F1" s="13" t="s">
        <v>256</v>
      </c>
      <c r="G1" s="13" t="s">
        <v>257</v>
      </c>
    </row>
    <row r="2" spans="1:7" ht="15">
      <c r="A2" s="82" t="s">
        <v>247</v>
      </c>
      <c r="B2" s="82">
        <v>0</v>
      </c>
      <c r="C2" s="106">
        <v>0</v>
      </c>
      <c r="D2" s="82" t="s">
        <v>254</v>
      </c>
      <c r="E2" s="82"/>
      <c r="F2" s="82"/>
      <c r="G2" s="82"/>
    </row>
    <row r="3" spans="1:7" ht="15">
      <c r="A3" s="82" t="s">
        <v>248</v>
      </c>
      <c r="B3" s="82">
        <v>0</v>
      </c>
      <c r="C3" s="106">
        <v>0</v>
      </c>
      <c r="D3" s="82" t="s">
        <v>254</v>
      </c>
      <c r="E3" s="82"/>
      <c r="F3" s="82"/>
      <c r="G3" s="82"/>
    </row>
    <row r="4" spans="1:7" ht="15">
      <c r="A4" s="82" t="s">
        <v>249</v>
      </c>
      <c r="B4" s="82">
        <v>0</v>
      </c>
      <c r="C4" s="106">
        <v>0</v>
      </c>
      <c r="D4" s="82" t="s">
        <v>254</v>
      </c>
      <c r="E4" s="82"/>
      <c r="F4" s="82"/>
      <c r="G4" s="82"/>
    </row>
    <row r="5" spans="1:7" ht="15">
      <c r="A5" s="82" t="s">
        <v>250</v>
      </c>
      <c r="B5" s="82">
        <v>0</v>
      </c>
      <c r="C5" s="106">
        <v>0</v>
      </c>
      <c r="D5" s="82" t="s">
        <v>254</v>
      </c>
      <c r="E5" s="82"/>
      <c r="F5" s="82"/>
      <c r="G5" s="82"/>
    </row>
    <row r="6" spans="1:7" ht="15">
      <c r="A6" s="82" t="s">
        <v>251</v>
      </c>
      <c r="B6" s="82">
        <v>0</v>
      </c>
      <c r="C6" s="106">
        <v>1</v>
      </c>
      <c r="D6" s="82" t="s">
        <v>254</v>
      </c>
      <c r="E6" s="82"/>
      <c r="F6" s="82"/>
      <c r="G6" s="82"/>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1245611-C25F-40EE-B616-7E21877BCF4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2019-02-19T16:12:30Z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