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Sheet2" sheetId="9" r:id="rId5"/>
    <sheet name="Group Vertices" sheetId="6" r:id="rId6"/>
    <sheet name="Overall Metrics" sheetId="7" r:id="rId7"/>
    <sheet name="Misc" sheetId="2" state="hidden" r:id="rId8"/>
    <sheet name="Twitter Search Ntwrk Top Items" sheetId="8" r:id="rId9"/>
    <sheet name="Group Edge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6.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7.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<sst xmlns="http://schemas.openxmlformats.org/spreadsheetml/2006/main" count="648" uniqueCount="311">
  <si>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</si>
  <si>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</si>
  <si>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</si>
  <si>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</si>
  <si>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</si>
  <si>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</si>
  <si>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</si>
  <si>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</si>
  <si>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</si>
  <si>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</si>
  <si>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</si>
  <si>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</si>
  <si>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</si>
  <si>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</si>
  <si>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</si>
  <si>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</si>
  <si>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</si>
  <si>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</si>
  <si>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</si>
  <si>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</si>
  <si>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</si>
  <si>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</si>
  <si>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</si>
  <si>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</si>
  <si>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</si>
  <si>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</si>
  <si>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</si>
  <si>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</si>
  <si>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</si>
  <si>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</si>
  <si>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</si>
  <si>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</si>
  <si>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</si>
  <si>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</si>
  <si>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</si>
  <si>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</si>
  <si>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</si>
  <si>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</si>
  <si>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</si>
  <si>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</si>
  <si>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</si>
  <si>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</si>
  <si>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</si>
  <si>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</si>
  <si>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</si>
  <si>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</si>
  <si>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</si>
  <si>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</si>
  <si>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</si>
  <si>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</si>
  <si>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</si>
  <si>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</si>
  <si>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</si>
  <si>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</si>
  <si>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</si>
  <si>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</si>
  <si>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</si>
  <si>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</si>
  <si>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</si>
  <si>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</si>
  <si>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</si>
  <si>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</si>
  <si>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</si>
  <si>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</si>
  <si>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</si>
  <si>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</si>
  <si>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</si>
  <si>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</si>
  <si>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</si>
  <si>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</si>
  <si>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</si>
  <si>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</si>
  <si>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</si>
  <si>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</si>
  <si>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</si>
  <si>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</si>
  <si>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</si>
  <si>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</si>
  <si>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</si>
  <si>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</si>
  <si>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</si>
  <si>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</si>
  <si>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</si>
  <si>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</si>
  <si>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</si>
  <si>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</si>
  <si>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</si>
  <si>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</si>
  <si>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</si>
  <si>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</si>
  <si>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</si>
  <si>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</si>
  <si>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</si>
  <si>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</si>
  <si>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</si>
  <si>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</si>
  <si>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</si>
  <si>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</si>
  <si>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</si>
  <si>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</si>
  <si>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</si>
  <si>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</si>
  <si>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</si>
  <si>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</si>
  <si>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</si>
  <si>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</si>
  <si>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</si>
  <si>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</si>
  <si>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</si>
  <si>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</si>
  <si>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</si>
  <si>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</si>
  <si>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</si>
  <si>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</si>
  <si>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</si>
  <si>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</si>
  <si>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</si>
  <si>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</si>
  <si>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</si>
  <si>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</si>
  <si>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</si>
  <si>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</si>
  <si>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</si>
  <si>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</si>
  <si>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</si>
  <si>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</si>
  <si>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</si>
  <si>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</si>
  <si>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</si>
  <si>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</si>
  <si>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</si>
  <si>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</si>
  <si>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</si>
  <si>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</si>
  <si>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</si>
  <si>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</si>
  <si>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</si>
  <si>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</si>
  <si>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</si>
  <si>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</si>
  <si>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</si>
  <si>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</si>
  <si>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</si>
  <si>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</si>
  <si>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</si>
  <si>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</si>
  <si>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</si>
  <si>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</si>
  <si>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</si>
  <si>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</si>
  <si>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</si>
  <si>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</si>
  <si>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</si>
  <si>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</si>
  <si>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</si>
  <si>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</si>
  <si>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</si>
  <si>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</si>
  <si>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</si>
  <si>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</si>
  <si>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</si>
  <si>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</si>
  <si>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</si>
  <si>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</si>
  <si>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</si>
  <si>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</si>
  <si>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</si>
  <si>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</si>
  <si>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</si>
  <si>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</si>
  <si>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</si>
  <si>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</si>
  <si>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</si>
  <si>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</si>
  <si>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Jackson</t>
  </si>
  <si>
    <t>Miley</t>
  </si>
  <si>
    <t>Billy Ray</t>
  </si>
  <si>
    <t>Sienna</t>
  </si>
  <si>
    <t>Rico</t>
  </si>
  <si>
    <t>Lily</t>
  </si>
  <si>
    <t>Interaction Type</t>
  </si>
  <si>
    <t>play game</t>
  </si>
  <si>
    <t>throw blanket</t>
  </si>
  <si>
    <t>play fight</t>
  </si>
  <si>
    <t>shoves</t>
  </si>
  <si>
    <t>compliments</t>
  </si>
  <si>
    <t>tells joke</t>
  </si>
  <si>
    <t>gives hat</t>
  </si>
  <si>
    <t>talk on phone</t>
  </si>
  <si>
    <t>mocks</t>
  </si>
  <si>
    <t>Frequency</t>
  </si>
  <si>
    <t>Reciprocated</t>
  </si>
  <si>
    <t>yes</t>
  </si>
  <si>
    <t>no</t>
  </si>
  <si>
    <t>Graph History</t>
  </si>
  <si>
    <t>Autofill Workbook Results</t>
  </si>
  <si>
    <t>Workbook Settings 2</t>
  </si>
  <si>
    <t>Graph Type</t>
  </si>
  <si>
    <t>Modularity</t>
  </si>
  <si>
    <t>NodeXL Version</t>
  </si>
  <si>
    <t>1.0.1.409</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</si>
  <si>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</si>
  <si>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</si>
  <si>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</si>
  <si>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</si>
  <si>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</si>
  <si>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</si>
  <si>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</si>
  <si>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</si>
  <si>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</si>
  <si>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</si>
  <si>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</si>
  <si>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</si>
  <si>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</si>
  <si>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</si>
  <si>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</si>
  <si>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</si>
  <si>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</si>
  <si>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</si>
  <si>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</si>
  <si>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</si>
  <si>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</si>
  <si>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</si>
  <si>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</si>
  <si>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</si>
  <si>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</si>
  <si>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</si>
  <si>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</si>
  <si>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</si>
  <si>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</si>
  <si>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</si>
  <si>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</si>
  <si>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</si>
  <si>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</si>
  <si>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kiss</t>
  </si>
  <si>
    <t>talk f2f</t>
  </si>
  <si>
    <t>complains</t>
  </si>
  <si>
    <t>consoles</t>
  </si>
  <si>
    <t>pats on back</t>
  </si>
  <si>
    <t>Business Man</t>
  </si>
  <si>
    <t>Hannah Montana</t>
  </si>
  <si>
    <t>scares in window</t>
  </si>
  <si>
    <t>follows around house</t>
  </si>
  <si>
    <t>0, 12, 96</t>
  </si>
  <si>
    <t>0, 136, 227</t>
  </si>
  <si>
    <t>0, 100, 50</t>
  </si>
  <si>
    <t>Directed</t>
  </si>
  <si>
    <t>4</t>
  </si>
  <si>
    <t>3</t>
  </si>
  <si>
    <t>2</t>
  </si>
  <si>
    <t>1</t>
  </si>
  <si>
    <t>Lola</t>
  </si>
  <si>
    <t>hangout</t>
  </si>
  <si>
    <t>tries to sell business</t>
  </si>
  <si>
    <t>G1</t>
  </si>
  <si>
    <t>G2</t>
  </si>
  <si>
    <t>Vertex Group</t>
  </si>
  <si>
    <t>Vertex 1 Group</t>
  </si>
  <si>
    <t>Vertex 2 Group</t>
  </si>
  <si>
    <t>Workbook Settings 3</t>
  </si>
  <si>
    <t>Group 1</t>
  </si>
  <si>
    <t>Group 2</t>
  </si>
  <si>
    <t>Edges</t>
  </si>
  <si>
    <t>Top URLs in Tweet in G1</t>
  </si>
  <si>
    <t>Top URLs in Tweet in G2</t>
  </si>
  <si>
    <t>G1 Count</t>
  </si>
  <si>
    <t>Top URLs in Tweet in G3</t>
  </si>
  <si>
    <t>G2 Count</t>
  </si>
  <si>
    <t>Top Domains in Tweet in G1</t>
  </si>
  <si>
    <t>Top Domains in Tweet in G2</t>
  </si>
  <si>
    <t>Top Domains in Tweet in G3</t>
  </si>
  <si>
    <t>Top Hashtags in Tweet in G1</t>
  </si>
  <si>
    <t>Top Hashtags in Tweet in G2</t>
  </si>
  <si>
    <t>Top Hashtags in Tweet in G3</t>
  </si>
  <si>
    <t>Top Words in Tweet in G1</t>
  </si>
  <si>
    <t>Top Words in Tweet in G2</t>
  </si>
  <si>
    <t>Top Words in Tweet in G3</t>
  </si>
  <si>
    <t>Top Word Pairs in Tweet in G1</t>
  </si>
  <si>
    <t>Top Word Pairs in Tweet in G2</t>
  </si>
  <si>
    <t>Top Word Pairs in Tweet in G3</t>
  </si>
  <si>
    <t>Top Replied-To in G1</t>
  </si>
  <si>
    <t>Top Replied-To in G2</t>
  </si>
  <si>
    <t>Top Mentioned in G1</t>
  </si>
  <si>
    <t>Top Mentioned in G2</t>
  </si>
  <si>
    <t>Top Replied-To in G3</t>
  </si>
  <si>
    <t>Top Mentioned in G3</t>
  </si>
  <si>
    <t>Top Tweeters in G1</t>
  </si>
  <si>
    <t>Top Tweeters in G2</t>
  </si>
  <si>
    <t>Top Tweeters in G3</t>
  </si>
  <si>
    <t>flirt</t>
  </si>
  <si>
    <t>G3</t>
  </si>
  <si>
    <t>Main Characters</t>
  </si>
  <si>
    <t>Secret Keepers</t>
  </si>
  <si>
    <t>Fishermen</t>
  </si>
  <si>
    <t>G3 Count</t>
  </si>
  <si>
    <t>LayoutAlgorithm░The graph was laid out using the Harel-Koren Fast Multiscale layout algorithm.▓GraphDirectedness░The graph is directed.▓GroupingDescription░The graph's vertices were grouped by cluster using the Wakita-Tsurumi cluster algorithm.</t>
  </si>
  <si>
    <t>▓0▓0▓0▓True▓Black▓Black▓▓Frequency▓1▓10▓2▓1▓8▓False▓▓0▓0▓0▓0▓0▓False▓▓0▓0▓0▓True▓Black▓Black▓▓Eigenvector Centrality▓0.00919▓0.199814▓3▓1▓20▓True▓Betweenness Centrality▓0▓24▓3▓50▓100▓False▓▓0▓0▓0▓0▓0▓False▓▓0▓0▓0▓0▓0▓False</t>
  </si>
  <si>
    <t>yellow</t>
  </si>
  <si>
    <t>pink</t>
  </si>
  <si>
    <t>blue</t>
  </si>
  <si>
    <t>red</t>
  </si>
  <si>
    <t>orange</t>
  </si>
  <si>
    <t>brown</t>
  </si>
  <si>
    <t>green</t>
  </si>
  <si>
    <t>purple</t>
  </si>
  <si>
    <t>black</t>
  </si>
  <si>
    <t>gray</t>
  </si>
  <si>
    <t>light blue</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</si>
  <si>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&lt;value&gt;tbartlett21&lt;/value&gt;
      &lt;/setting&gt;
      &lt;setting name="SpaceDelimitedTags" serializeAs="String"&gt;
        &lt;value /&gt;
      &lt;/setting&gt;
    &lt;/ExportToNodeXLGraphGalleryUserSettings&gt;
    &lt;LayoutUserSettings&gt;
      &lt;setting name="Margin" serializeAs="String"&gt;
        &lt;value&gt;6&lt;/value&gt;
      &lt;/setting&gt;
      &lt;setting name="FruchtermanReingoldIterations" serializeAs="String"&gt;
        &lt;value&gt;10&lt;/value&gt;
      &lt;/setting&gt;
      &lt;setting name="GroupRectanglePenWidth" serializeAs="String"&gt;
        &lt;value&gt;1&lt;/value&gt;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&lt;setting name="Layout" serializeAs="String"&gt;
        &lt;value&gt;Null&lt;/value&gt;
      &lt;/setting&gt;
    &lt;/LayoutUserSettings&gt;
    &lt;ClusterUserSettings&gt;
      &lt;setting name="ClusterAlgorithm" serializeAs="String"&gt;
        &lt;value&gt;WakitaTsurumi&lt;/value&gt;
      &lt;/setting&gt;
      &lt;setting name="PutNeighborlessVerticesInOneCluster" serializeAs="String"&gt;
        &lt;value&gt;False&lt;/value&gt;
      &lt;/setting&gt;
    &lt;/ClusterUserSettings&gt;
    &lt;GroupUserSettings&gt;
      &lt;setting name="ReadVertexShapeFromGroups" serializeAs="String"&gt;
        &lt;value&gt;False&lt;/value&gt;
      &lt;/setting&gt;
      &lt;setting name="ReadGroups" serializeAs="String"&gt;
        &lt;value&gt;True&lt;/value&gt;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t>
  </si>
  <si>
    <t>reation, TimeSeries, Paths, NetworkTopItems&lt;/value&gt;
      &lt;/setting&gt;
    &lt;/GraphMetricUserSettings&gt;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name="GroupCollapsedSourceColumnName" serializeAs="String"&gt;
        &lt;value /&gt;
      &lt;/setting&gt;
      &lt;setting name="EdgeWidthSourceColumnName" serializeAs="String"&gt;
        &lt;value&gt;Frequency&lt;/value&gt;
      &lt;/setting&gt;
      &lt;setting name="VertexColorSourceColumnName" serializeAs="String"&gt;
        &lt;value /&gt;
      &lt;/setting&gt;
      &lt;setting name="VertexRadiusSourceColumnName" serializeAs="String"&gt;
        &lt;value&gt;Eigenvector Centrality&lt;/value&gt;
      &lt;/setting&gt;
      &lt;setting name="VertexRadiusDetails" serializeAs="String"&gt;
        &lt;value&gt;False False 0 0 1 20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&lt;value&gt;Betweenness Centrality&lt;/value&gt;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 /&gt;
      &lt;/setting&gt;
      &lt;setting name="EdgeColorSourceColumnName" serializeAs="String"&gt;
        &lt;value /&gt;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&lt;value&gt;Degree&lt;/value&gt;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&lt;value&gt;Interaction Type&lt;/value&gt;
      &lt;/setting&gt;
      &lt;setting name="VertexLabelFillColorDetails" serializeAs="String"&gt;
        &lt;value&gt;False False 0 10 241, 137, 4 46, 7, 195 False False True&lt;/value&gt;
      &lt;/setting&gt;
      &lt;setting name="VertexYSourceColumnName" serializeAs="String"&gt;
        &lt;value /&gt;
      &lt;/setting&gt;
      &lt;setting name="VertexAlphaDetails" serializeAs="String"&gt;
        &lt;value&gt;False False 0 0 50 100 False False&lt;/value&gt;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8 False False&lt;/value&gt;
      &lt;/setting&gt;
      &lt;setting name="VertexXSourceColumnName" serializeAs="String"&gt;
        &lt;value /&gt;
      &lt;/setting&gt;
      &lt;setting name="EdgeColorDetails" serializeAs="String"&gt;
        &lt;value&gt;False False 0 10 241, 137, 4 46, 7, 195 False False False&lt;/value&gt;
      &lt;/setting&gt;
    &lt;/AutoFillUserSettings3&gt;
    &lt;GeneralUserSettings4&gt;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name="NewWorkbookGraphDirectedness" serializeAs="String"&gt;
        &lt;value&gt;Directed&lt;/value&gt;
      &lt;/setting</t>
  </si>
  <si>
    <t>&gt;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&lt;value&gt;Microsoft Sans Serif, 9.75pt White BottomCenter 2147483647 2147483647 Black True 200 255, 0, 128 86 TopCenter Microsoft Sans Serif, 8.25pt Microsoft Sans Serif, 14.25pt&lt;/value&gt;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&lt;AutoScaleUserSettings&gt;
      &lt;setting name="AutoScale" serializeAs="String"&gt;
        &lt;value&gt;False&lt;/value&gt;
      &lt;/setting&gt;
    &lt;/AutoScaleUserSettings&gt;
    &lt;GraphZoomAndScaleUserSettings&gt;
      &lt;setting name="GraphScale" serializeAs="String"&gt;
        &lt;value&gt;0.65&lt;/value&gt;
      &lt;/setting&gt;
    &lt;/GraphZoomAndScaleUserSettings&gt;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</si>
</sst>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
    <numFmt numFmtId="178" formatCode="General"/>
    <numFmt numFmtId="179" formatCode="#,##0.00"/>
    <numFmt numFmtId="180" formatCode="0"/>
    <numFmt numFmtId="181"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2"/>
      <color theme="1"/>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lignment/>
      <protection/>
    </xf>
  </cellStyleXfs>
  <cellXfs count="14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10" fillId="0" borderId="0" xfId="22" applyNumberFormat="1" applyFont="1" applyAlignment="1">
      <alignment wrapText="1"/>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0" fontId="10" fillId="0" borderId="0" xfId="28">
      <alignment/>
      <protection/>
    </xf>
    <xf numFmtId="0" fontId="10" fillId="0" borderId="0" xfId="28">
      <alignment/>
      <protection/>
    </xf>
    <xf numFmtId="164" fontId="0" fillId="3" borderId="1" xfId="23" applyNumberFormat="1" applyFont="1"/>
    <xf numFmtId="0" fontId="10" fillId="0" borderId="0" xfId="28">
      <alignment/>
      <protection/>
    </xf>
    <xf numFmtId="164" fontId="0" fillId="6" borderId="1" xfId="26" applyNumberFormat="1" applyFont="1"/>
    <xf numFmtId="165" fontId="0" fillId="6" borderId="1" xfId="26" applyNumberFormat="1" applyFont="1"/>
    <xf numFmtId="166" fontId="0" fillId="6" borderId="1" xfId="26"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0" fontId="0" fillId="2" borderId="11" xfId="20" applyNumberFormat="1" applyFont="1" applyBorder="1"/>
    <xf numFmtId="0" fontId="0" fillId="0" borderId="0" xfId="21" applyNumberFormat="1" applyFont="1" applyBorder="1"/>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49" fontId="0" fillId="0" borderId="0" xfId="22" applyNumberFormat="1" applyFont="1" applyBorder="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Border="1" applyAlignment="1">
      <alignment wrapText="1"/>
    </xf>
    <xf numFmtId="0" fontId="0" fillId="0" borderId="7" xfId="21" applyNumberFormat="1" applyFont="1" applyBorder="1"/>
    <xf numFmtId="2" fontId="10" fillId="0" borderId="0" xfId="28" applyNumberFormat="1">
      <alignment/>
      <protection/>
    </xf>
    <xf numFmtId="2" fontId="0" fillId="0" borderId="0" xfId="0" applyNumberFormat="1" applyBorder="1" applyAlignment="1">
      <alignment wrapText="1"/>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0" borderId="0" xfId="0" applyFill="1" applyBorder="1" applyAlignment="1">
      <alignment/>
    </xf>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2" borderId="11" xfId="20" applyNumberFormat="1" applyFon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Normal 2" xfId="28"/>
  </cellStyles>
  <dxfs count="207">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style="thin">
          <color theme="0"/>
        </lef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6" formatCode="#,##0.000"/>
      <border>
        <right style="thin">
          <color theme="0"/>
        </right>
      </border>
    </dxf>
    <dxf>
      <numFmt numFmtId="166" formatCode="#,##0.000"/>
    </dxf>
    <dxf>
      <numFmt numFmtId="178" formatCode="General"/>
    </dxf>
    <dxf>
      <numFmt numFmtId="165" formatCode="#,##0.0"/>
    </dxf>
    <dxf>
      <numFmt numFmtId="165" formatCode="#,##0.0"/>
    </dxf>
    <dxf>
      <numFmt numFmtId="164" formatCode="0.0"/>
    </dxf>
    <dxf>
      <numFmt numFmtId="177" formatCode="@"/>
    </dxf>
    <dxf>
      <numFmt numFmtId="178" formatCode="General"/>
    </dxf>
    <dxf>
      <numFmt numFmtId="178" formatCode="General"/>
    </dxf>
    <dxf>
      <numFmt numFmtId="177" formatCode="@"/>
    </dxf>
    <dxf>
      <numFmt numFmtId="178" formatCode="General"/>
    </dxf>
    <dxf>
      <numFmt numFmtId="178" formatCode="General"/>
    </dxf>
    <dxf>
      <numFmt numFmtId="180" formatCode="0"/>
    </dxf>
    <dxf>
      <numFmt numFmtId="164" formatCode="0.0"/>
    </dxf>
    <dxf>
      <numFmt numFmtId="178" formatCode="General"/>
    </dxf>
    <dxf>
      <numFmt numFmtId="178"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1" formatCode="0.00"/>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6"/>
      <tableStyleElement type="headerRow" dxfId="205"/>
    </tableStyle>
    <tableStyle name="NodeXL Table" pivot="0" count="1">
      <tableStyleElement type="headerRow" dxfId="2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230371"/>
        <c:axId val="38855612"/>
      </c:barChart>
      <c:catAx>
        <c:axId val="192303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855612"/>
        <c:crosses val="autoZero"/>
        <c:auto val="1"/>
        <c:lblOffset val="100"/>
        <c:noMultiLvlLbl val="0"/>
      </c:catAx>
      <c:valAx>
        <c:axId val="38855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30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4156189"/>
        <c:axId val="60296838"/>
      </c:barChart>
      <c:catAx>
        <c:axId val="141561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296838"/>
        <c:crosses val="autoZero"/>
        <c:auto val="1"/>
        <c:lblOffset val="100"/>
        <c:noMultiLvlLbl val="0"/>
      </c:catAx>
      <c:valAx>
        <c:axId val="60296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56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00631"/>
        <c:axId val="52205680"/>
      </c:barChart>
      <c:catAx>
        <c:axId val="58006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205680"/>
        <c:crosses val="autoZero"/>
        <c:auto val="1"/>
        <c:lblOffset val="100"/>
        <c:noMultiLvlLbl val="0"/>
      </c:catAx>
      <c:valAx>
        <c:axId val="52205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0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9073"/>
        <c:axId val="801658"/>
      </c:barChart>
      <c:catAx>
        <c:axId val="890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01658"/>
        <c:crosses val="autoZero"/>
        <c:auto val="1"/>
        <c:lblOffset val="100"/>
        <c:noMultiLvlLbl val="0"/>
      </c:catAx>
      <c:valAx>
        <c:axId val="801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7214923"/>
        <c:axId val="64934308"/>
      </c:barChart>
      <c:catAx>
        <c:axId val="721492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34308"/>
        <c:crosses val="autoZero"/>
        <c:auto val="1"/>
        <c:lblOffset val="100"/>
        <c:noMultiLvlLbl val="0"/>
      </c:catAx>
      <c:valAx>
        <c:axId val="64934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14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537861"/>
        <c:axId val="25187566"/>
      </c:barChart>
      <c:catAx>
        <c:axId val="475378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187566"/>
        <c:crosses val="autoZero"/>
        <c:auto val="1"/>
        <c:lblOffset val="100"/>
        <c:noMultiLvlLbl val="0"/>
      </c:catAx>
      <c:valAx>
        <c:axId val="25187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37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361503"/>
        <c:axId val="26926936"/>
      </c:barChart>
      <c:catAx>
        <c:axId val="253615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926936"/>
        <c:crosses val="autoZero"/>
        <c:auto val="1"/>
        <c:lblOffset val="100"/>
        <c:noMultiLvlLbl val="0"/>
      </c:catAx>
      <c:valAx>
        <c:axId val="26926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61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1015833"/>
        <c:axId val="33598178"/>
      </c:barChart>
      <c:catAx>
        <c:axId val="410158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598178"/>
        <c:crosses val="autoZero"/>
        <c:auto val="1"/>
        <c:lblOffset val="100"/>
        <c:noMultiLvlLbl val="0"/>
      </c:catAx>
      <c:valAx>
        <c:axId val="33598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15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948147"/>
        <c:axId val="37097868"/>
      </c:barChart>
      <c:catAx>
        <c:axId val="33948147"/>
        <c:scaling>
          <c:orientation val="minMax"/>
        </c:scaling>
        <c:axPos val="b"/>
        <c:delete val="1"/>
        <c:majorTickMark val="out"/>
        <c:minorTickMark val="none"/>
        <c:tickLblPos val="none"/>
        <c:crossAx val="37097868"/>
        <c:crosses val="autoZero"/>
        <c:auto val="1"/>
        <c:lblOffset val="100"/>
        <c:noMultiLvlLbl val="0"/>
      </c:catAx>
      <c:valAx>
        <c:axId val="37097868"/>
        <c:scaling>
          <c:orientation val="minMax"/>
        </c:scaling>
        <c:axPos val="l"/>
        <c:delete val="1"/>
        <c:majorTickMark val="out"/>
        <c:minorTickMark val="none"/>
        <c:tickLblPos val="none"/>
        <c:crossAx val="339481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R30" totalsRowShown="0" headerRowDxfId="203" dataDxfId="202">
  <autoFilter ref="A2:R30"/>
  <sortState ref="A3:R30">
    <sortCondition sortBy="value" ref="N3:N30"/>
  </sortState>
  <tableColumns count="18">
    <tableColumn id="1" name="Vertex 1" dataDxfId="201"/>
    <tableColumn id="2" name="Vertex 2" dataDxfId="200"/>
    <tableColumn id="3" name="Color" dataDxfId="199"/>
    <tableColumn id="4" name="Width" dataDxfId="198"/>
    <tableColumn id="11" name="Style" dataDxfId="197"/>
    <tableColumn id="5" name="Opacity" dataDxfId="196"/>
    <tableColumn id="6" name="Visibility" dataDxfId="195"/>
    <tableColumn id="10" name="Label" dataDxfId="194"/>
    <tableColumn id="12" name="Label Text Color" dataDxfId="193"/>
    <tableColumn id="13" name="Label Font Size" dataDxfId="192"/>
    <tableColumn id="14" name="Reciprocated?" dataDxfId="191"/>
    <tableColumn id="7" name="ID" dataDxfId="190"/>
    <tableColumn id="9" name="Dynamic Filter" dataDxfId="189"/>
    <tableColumn id="8" name="Interaction Type" dataDxfId="188"/>
    <tableColumn id="15" name="Frequency" dataDxfId="187"/>
    <tableColumn id="16" name="Reciprocated" dataDxfId="186"/>
    <tableColumn id="17" name="Vertex 1 Group" dataDxfId="185">
      <calculatedColumnFormula>REPLACE(INDEX(GroupVertices[Group], MATCH(Edges[[#This Row],[Vertex 1]],GroupVertices[Vertex],0)),1,1,"")</calculatedColumnFormula>
    </tableColumn>
    <tableColumn id="18" name="Vertex 2 Group" dataDxfId="184">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0" name="TwitterSearchNetworkTopItems_1" displayName="TwitterSearchNetworkTopItems_1" ref="A1:H2" totalsRowShown="0" headerRowDxfId="84" dataDxfId="83">
  <autoFilter ref="A1:H2"/>
  <tableColumns count="8">
    <tableColumn id="1" name="Top URLs in Tweet in Entire Graph" dataDxfId="82"/>
    <tableColumn id="2" name="Entire Graph Count" dataDxfId="81"/>
    <tableColumn id="3" name="Top URLs in Tweet in G1" dataDxfId="80"/>
    <tableColumn id="4" name="G1 Count" dataDxfId="79"/>
    <tableColumn id="5" name="Top URLs in Tweet in G2" dataDxfId="78"/>
    <tableColumn id="6" name="G2 Count" dataDxfId="77"/>
    <tableColumn id="7" name="Top URLs in Tweet in G3" dataDxfId="76"/>
    <tableColumn id="8" name="G3 Count" dataDxfId="75"/>
  </tableColumns>
  <tableStyleInfo name="NodeXL Table" showFirstColumn="0" showLastColumn="0" showRowStripes="1" showColumnStripes="0"/>
</table>
</file>

<file path=xl/tables/table12.xml><?xml version="1.0" encoding="utf-8"?>
<table xmlns="http://schemas.openxmlformats.org/spreadsheetml/2006/main" id="61" name="TwitterSearchNetworkTopItems_2" displayName="TwitterSearchNetworkTopItems_2" ref="A4:H5" totalsRowShown="0" headerRowDxfId="74" dataDxfId="73">
  <autoFilter ref="A4:H5"/>
  <tableColumns count="8">
    <tableColumn id="1" name="Top Domains in Tweet in Entire Graph" dataDxfId="72"/>
    <tableColumn id="2" name="Entire Graph Count" dataDxfId="71"/>
    <tableColumn id="3" name="Top Domains in Tweet in G1" dataDxfId="70"/>
    <tableColumn id="4" name="G1 Count" dataDxfId="69"/>
    <tableColumn id="5" name="Top Domains in Tweet in G2" dataDxfId="68"/>
    <tableColumn id="6" name="G2 Count" dataDxfId="67"/>
    <tableColumn id="7" name="Top Domains in Tweet in G3" dataDxfId="66"/>
    <tableColumn id="8" name="G3 Count" dataDxfId="65"/>
  </tableColumns>
  <tableStyleInfo name="NodeXL Table" showFirstColumn="0" showLastColumn="0" showRowStripes="1" showColumnStripes="0"/>
</table>
</file>

<file path=xl/tables/table13.xml><?xml version="1.0" encoding="utf-8"?>
<table xmlns="http://schemas.openxmlformats.org/spreadsheetml/2006/main" id="62" name="TwitterSearchNetworkTopItems_3" displayName="TwitterSearchNetworkTopItems_3" ref="A7:H8" totalsRowShown="0" headerRowDxfId="64" dataDxfId="63">
  <autoFilter ref="A7:H8"/>
  <tableColumns count="8">
    <tableColumn id="1" name="Top Hashtags in Tweet in Entire Graph" dataDxfId="62"/>
    <tableColumn id="2" name="Entire Graph Count" dataDxfId="61"/>
    <tableColumn id="3" name="Top Hashtags in Tweet in G1" dataDxfId="60"/>
    <tableColumn id="4" name="G1 Count" dataDxfId="59"/>
    <tableColumn id="5" name="Top Hashtags in Tweet in G2" dataDxfId="58"/>
    <tableColumn id="6" name="G2 Count" dataDxfId="57"/>
    <tableColumn id="7" name="Top Hashtags in Tweet in G3" dataDxfId="56"/>
    <tableColumn id="8" name="G3 Count" dataDxfId="55"/>
  </tableColumns>
  <tableStyleInfo name="NodeXL Table" showFirstColumn="0" showLastColumn="0" showRowStripes="1" showColumnStripes="0"/>
</table>
</file>

<file path=xl/tables/table14.xml><?xml version="1.0" encoding="utf-8"?>
<table xmlns="http://schemas.openxmlformats.org/spreadsheetml/2006/main" id="63" name="TwitterSearchNetworkTopItems_4" displayName="TwitterSearchNetworkTopItems_4" ref="A10:H15" totalsRowShown="0" headerRowDxfId="54" dataDxfId="53">
  <autoFilter ref="A10:H15"/>
  <tableColumns count="8">
    <tableColumn id="1" name="Top Words in Tweet in Entire Graph" dataDxfId="52"/>
    <tableColumn id="2" name="Entire Graph Count" dataDxfId="51"/>
    <tableColumn id="3" name="Top Words in Tweet in G1" dataDxfId="50"/>
    <tableColumn id="4" name="G1 Count" dataDxfId="49"/>
    <tableColumn id="5" name="Top Words in Tweet in G2" dataDxfId="48"/>
    <tableColumn id="6" name="G2 Count" dataDxfId="47"/>
    <tableColumn id="7" name="Top Words in Tweet in G3" dataDxfId="46"/>
    <tableColumn id="8" name="G3 Count" dataDxfId="45"/>
  </tableColumns>
  <tableStyleInfo name="NodeXL Table" showFirstColumn="0" showLastColumn="0" showRowStripes="1" showColumnStripes="0"/>
</table>
</file>

<file path=xl/tables/table15.xml><?xml version="1.0" encoding="utf-8"?>
<table xmlns="http://schemas.openxmlformats.org/spreadsheetml/2006/main" id="64" name="TwitterSearchNetworkTopItems_5" displayName="TwitterSearchNetworkTopItems_5" ref="A18:H19" totalsRowShown="0" headerRowDxfId="44" dataDxfId="43">
  <autoFilter ref="A18:H19"/>
  <tableColumns count="8">
    <tableColumn id="1" name="Top Word Pairs in Tweet in Entire Graph" dataDxfId="42"/>
    <tableColumn id="2" name="Entire Graph Count" dataDxfId="41"/>
    <tableColumn id="3" name="Top Word Pairs in Tweet in G1" dataDxfId="40"/>
    <tableColumn id="4" name="G1 Count" dataDxfId="39"/>
    <tableColumn id="5" name="Top Word Pairs in Tweet in G2" dataDxfId="38"/>
    <tableColumn id="6" name="G2 Count" dataDxfId="37"/>
    <tableColumn id="7" name="Top Word Pairs in Tweet in G3" dataDxfId="36"/>
    <tableColumn id="8" name="G3 Count" dataDxfId="35"/>
  </tableColumns>
  <tableStyleInfo name="NodeXL Table" showFirstColumn="0" showLastColumn="0" showRowStripes="1" showColumnStripes="0"/>
</table>
</file>

<file path=xl/tables/table16.xml><?xml version="1.0" encoding="utf-8"?>
<table xmlns="http://schemas.openxmlformats.org/spreadsheetml/2006/main" id="65" name="TwitterSearchNetworkTopItems_6" displayName="TwitterSearchNetworkTopItems_6" ref="A21:H22" totalsRowShown="0" headerRowDxfId="34" dataDxfId="33">
  <autoFilter ref="A21:H22"/>
  <tableColumns count="8">
    <tableColumn id="1" name="Top Replied-To in Entire Graph" dataDxfId="32"/>
    <tableColumn id="2" name="Entire Graph Count" dataDxfId="31"/>
    <tableColumn id="3" name="Top Replied-To in G1" dataDxfId="30"/>
    <tableColumn id="4" name="G1 Count" dataDxfId="29"/>
    <tableColumn id="5" name="Top Replied-To in G2" dataDxfId="28"/>
    <tableColumn id="6" name="G2 Count" dataDxfId="27"/>
    <tableColumn id="7" name="Top Replied-To in G3" dataDxfId="26"/>
    <tableColumn id="8" name="G3 Count" dataDxfId="25"/>
  </tableColumns>
  <tableStyleInfo name="NodeXL Table" showFirstColumn="0" showLastColumn="0" showRowStripes="1" showColumnStripes="0"/>
</table>
</file>

<file path=xl/tables/table17.xml><?xml version="1.0" encoding="utf-8"?>
<table xmlns="http://schemas.openxmlformats.org/spreadsheetml/2006/main" id="66" name="TwitterSearchNetworkTopItems_7" displayName="TwitterSearchNetworkTopItems_7" ref="A24:H25" totalsRowShown="0" headerRowDxfId="24" dataDxfId="23">
  <autoFilter ref="A24:H25"/>
  <tableColumns count="8">
    <tableColumn id="1" name="Top Mentioned in Entire Graph" dataDxfId="22"/>
    <tableColumn id="2" name="Entire Graph Count" dataDxfId="21"/>
    <tableColumn id="3" name="Top Mentioned in G1" dataDxfId="20"/>
    <tableColumn id="4" name="G1 Count" dataDxfId="19"/>
    <tableColumn id="5" name="Top Mentioned in G2" dataDxfId="18"/>
    <tableColumn id="6" name="G2 Count" dataDxfId="17"/>
    <tableColumn id="7" name="Top Mentioned in G3" dataDxfId="16"/>
    <tableColumn id="8" name="G3 Count" dataDxfId="15"/>
  </tableColumns>
  <tableStyleInfo name="NodeXL Table" showFirstColumn="0" showLastColumn="0" showRowStripes="1" showColumnStripes="0"/>
</table>
</file>

<file path=xl/tables/table18.xml><?xml version="1.0" encoding="utf-8"?>
<table xmlns="http://schemas.openxmlformats.org/spreadsheetml/2006/main" id="67" name="TwitterSearchNetworkTopItems_8" displayName="TwitterSearchNetworkTopItems_8" ref="A27:H28" totalsRowShown="0" headerRowDxfId="14" dataDxfId="13">
  <autoFilter ref="A27:H28"/>
  <tableColumns count="8">
    <tableColumn id="1" name="Top Tweeters in Entire Graph" dataDxfId="12"/>
    <tableColumn id="2" name="Entire Graph Count" dataDxfId="11"/>
    <tableColumn id="3" name="Top Tweeters in G1" dataDxfId="10"/>
    <tableColumn id="4" name="G1 Count" dataDxfId="9"/>
    <tableColumn id="5" name="Top Tweeters in G2" dataDxfId="8"/>
    <tableColumn id="6" name="G2 Count" dataDxfId="7"/>
    <tableColumn id="7" name="Top Tweeters in G3" dataDxfId="6"/>
    <tableColumn id="8" name="G3 Count" dataDxfId="5"/>
  </tableColumns>
  <tableStyleInfo name="NodeXL Table" showFirstColumn="0" showLastColumn="0" showRowStripes="1" showColumnStripes="0"/>
</table>
</file>

<file path=xl/tables/table19.xml><?xml version="1.0" encoding="utf-8"?>
<table xmlns="http://schemas.openxmlformats.org/spreadsheetml/2006/main" id="43" name="GroupEdges" displayName="GroupEdges" ref="A2:C9" totalsRowShown="0" headerRowDxfId="4" dataDxfId="3">
  <autoFilter ref="A2:C9"/>
  <tableColumns count="3">
    <tableColumn id="1" name="Group 1" dataDxfId="2"/>
    <tableColumn id="2" name="Group 2" dataDxfId="1"/>
    <tableColumn id="3" name="Edges"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1" totalsRowShown="0" headerRowDxfId="183" dataDxfId="182">
  <autoFilter ref="A2:AN11"/>
  <tableColumns count="40">
    <tableColumn id="1" name="Vertex" dataDxfId="181"/>
    <tableColumn id="2" name="Color" dataDxfId="180"/>
    <tableColumn id="5" name="Shape" dataDxfId="179"/>
    <tableColumn id="6" name="Size" dataDxfId="178"/>
    <tableColumn id="4" name="Opacity" dataDxfId="177"/>
    <tableColumn id="7" name="Image File" dataDxfId="176"/>
    <tableColumn id="3" name="Visibility" dataDxfId="175"/>
    <tableColumn id="10" name="Label" dataDxfId="174"/>
    <tableColumn id="16" name="Label Fill Color" dataDxfId="173"/>
    <tableColumn id="9" name="Label Position" dataDxfId="172"/>
    <tableColumn id="8" name="Tooltip" dataDxfId="171"/>
    <tableColumn id="18" name="Layout Order" dataDxfId="170"/>
    <tableColumn id="13" name="X" dataDxfId="169"/>
    <tableColumn id="14" name="Y" dataDxfId="168"/>
    <tableColumn id="12" name="Locked?" dataDxfId="167"/>
    <tableColumn id="19" name="Polar R" dataDxfId="166"/>
    <tableColumn id="20" name="Polar Angle" dataDxfId="165"/>
    <tableColumn id="21" name="Degree" dataDxfId="164"/>
    <tableColumn id="22" name="In-Degree" dataDxfId="163"/>
    <tableColumn id="23" name="Out-Degree" dataDxfId="162"/>
    <tableColumn id="24" name="Betweenness Centrality" dataDxfId="161"/>
    <tableColumn id="25" name="Closeness Centrality" dataDxfId="160"/>
    <tableColumn id="26" name="Eigenvector Centrality" dataDxfId="159"/>
    <tableColumn id="15" name="PageRank" dataDxfId="158"/>
    <tableColumn id="27" name="Clustering Coefficient" dataDxfId="157"/>
    <tableColumn id="29" name="Reciprocated Vertex Pair Ratio" dataDxfId="156"/>
    <tableColumn id="11" name="ID" dataDxfId="155"/>
    <tableColumn id="28" name="Dynamic Filter" dataDxfId="154"/>
    <tableColumn id="17" name="Add Your Own Columns Here" dataDxfId="153"/>
    <tableColumn id="30" name="Top URLs in Tweet by Count" dataDxfId="152"/>
    <tableColumn id="31" name="Top URLs in Tweet by Salience" dataDxfId="151"/>
    <tableColumn id="32" name="Top Domains in Tweet by Count" dataDxfId="150"/>
    <tableColumn id="33" name="Top Domains in Tweet by Salience" dataDxfId="149"/>
    <tableColumn id="34" name="Top Hashtags in Tweet by Count" dataDxfId="148"/>
    <tableColumn id="35" name="Top Hashtags in Tweet by Salience" dataDxfId="147"/>
    <tableColumn id="36" name="Top Words in Tweet by Count" dataDxfId="146"/>
    <tableColumn id="37" name="Top Words in Tweet by Salience" dataDxfId="145"/>
    <tableColumn id="38" name="Top Word Pairs in Tweet by Count" dataDxfId="144"/>
    <tableColumn id="39" name="Top Word Pairs in Tweet by Salience" dataDxfId="143"/>
    <tableColumn id="40" name="Vertex Group" dataDxfId="142">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F5" totalsRowShown="0" headerRowDxfId="141">
  <autoFilter ref="A2:AF5"/>
  <tableColumns count="32">
    <tableColumn id="1" name="Group" dataDxfId="140"/>
    <tableColumn id="2" name="Vertex Color" dataDxfId="139"/>
    <tableColumn id="3" name="Vertex Shape" dataDxfId="138"/>
    <tableColumn id="22" name="Visibility" dataDxfId="137"/>
    <tableColumn id="4" name="Collapsed?"/>
    <tableColumn id="18" name="Label" dataDxfId="136"/>
    <tableColumn id="20" name="Collapsed X"/>
    <tableColumn id="21" name="Collapsed Y"/>
    <tableColumn id="6" name="ID" dataDxfId="135"/>
    <tableColumn id="19" name="Collapsed Properties" dataDxfId="134"/>
    <tableColumn id="5" name="Vertices" dataDxfId="133"/>
    <tableColumn id="7" name="Unique Edges" dataDxfId="132"/>
    <tableColumn id="8" name="Edges With Duplicates" dataDxfId="131"/>
    <tableColumn id="9" name="Total Edges" dataDxfId="130"/>
    <tableColumn id="10" name="Self-Loops" dataDxfId="129"/>
    <tableColumn id="24" name="Reciprocated Vertex Pair Ratio" dataDxfId="128"/>
    <tableColumn id="25" name="Reciprocated Edge Ratio" dataDxfId="127"/>
    <tableColumn id="11" name="Connected Components" dataDxfId="126"/>
    <tableColumn id="12" name="Single-Vertex Connected Components" dataDxfId="125"/>
    <tableColumn id="13" name="Maximum Vertices in a Connected Component" dataDxfId="124"/>
    <tableColumn id="14" name="Maximum Edges in a Connected Component" dataDxfId="123"/>
    <tableColumn id="15" name="Maximum Geodesic Distance (Diameter)" dataDxfId="122"/>
    <tableColumn id="16" name="Average Geodesic Distance" dataDxfId="121"/>
    <tableColumn id="17" name="Graph Density" dataDxfId="120"/>
    <tableColumn id="23" name="Top URLs in Tweet" dataDxfId="119"/>
    <tableColumn id="26" name="Top Domains in Tweet" dataDxfId="118"/>
    <tableColumn id="27" name="Top Hashtags in Tweet" dataDxfId="117"/>
    <tableColumn id="28" name="Top Words in Tweet" dataDxfId="116"/>
    <tableColumn id="29" name="Top Word Pairs in Tweet" dataDxfId="115"/>
    <tableColumn id="30" name="Top Replied-To in Tweet" dataDxfId="114"/>
    <tableColumn id="31" name="Top Mentioned in Tweet" dataDxfId="113"/>
    <tableColumn id="32" name="Top Tweeters" dataDxfId="11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111" dataDxfId="110">
  <autoFilter ref="A1:C10"/>
  <tableColumns count="3">
    <tableColumn id="1" name="Group" dataDxfId="109"/>
    <tableColumn id="2" name="Vertex" dataDxfId="108"/>
    <tableColumn id="3" name="Vertex ID" dataDxfId="10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06"/>
    <tableColumn id="2" name="Value" dataDxfId="10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04"/>
    <tableColumn id="2" name="Degree Frequency" dataDxfId="103">
      <calculatedColumnFormula>COUNTIF(Vertices[Degree], "&gt;= " &amp; D2) - COUNTIF(Vertices[Degree], "&gt;=" &amp; D3)</calculatedColumnFormula>
    </tableColumn>
    <tableColumn id="3" name="In-Degree Bin" dataDxfId="102"/>
    <tableColumn id="4" name="In-Degree Frequency" dataDxfId="101">
      <calculatedColumnFormula>COUNTIF(Vertices[In-Degree], "&gt;= " &amp; F2) - COUNTIF(Vertices[In-Degree], "&gt;=" &amp; F3)</calculatedColumnFormula>
    </tableColumn>
    <tableColumn id="5" name="Out-Degree Bin" dataDxfId="100"/>
    <tableColumn id="6" name="Out-Degree Frequency" dataDxfId="99">
      <calculatedColumnFormula>COUNTIF(Vertices[Out-Degree], "&gt;= " &amp; H2) - COUNTIF(Vertices[Out-Degree], "&gt;=" &amp; H3)</calculatedColumnFormula>
    </tableColumn>
    <tableColumn id="7" name="Betweenness Centrality Bin" dataDxfId="98"/>
    <tableColumn id="8" name="Betweenness Centrality Frequency" dataDxfId="97">
      <calculatedColumnFormula>COUNTIF(Vertices[Betweenness Centrality], "&gt;= " &amp; J2) - COUNTIF(Vertices[Betweenness Centrality], "&gt;=" &amp; J3)</calculatedColumnFormula>
    </tableColumn>
    <tableColumn id="9" name="Closeness Centrality Bin" dataDxfId="96"/>
    <tableColumn id="10" name="Closeness Centrality Frequency" dataDxfId="95">
      <calculatedColumnFormula>COUNTIF(Vertices[Closeness Centrality], "&gt;= " &amp; L2) - COUNTIF(Vertices[Closeness Centrality], "&gt;=" &amp; L3)</calculatedColumnFormula>
    </tableColumn>
    <tableColumn id="11" name="Eigenvector Centrality Bin" dataDxfId="94"/>
    <tableColumn id="12" name="Eigenvector Centrality Frequency" dataDxfId="93">
      <calculatedColumnFormula>COUNTIF(Vertices[Eigenvector Centrality], "&gt;= " &amp; N2) - COUNTIF(Vertices[Eigenvector Centrality], "&gt;=" &amp; N3)</calculatedColumnFormula>
    </tableColumn>
    <tableColumn id="18" name="PageRank Bin" dataDxfId="92"/>
    <tableColumn id="17" name="PageRank Frequency" dataDxfId="91">
      <calculatedColumnFormula>COUNTIF(Vertices[Eigenvector Centrality], "&gt;= " &amp; P2) - COUNTIF(Vertices[Eigenvector Centrality], "&gt;=" &amp; P3)</calculatedColumnFormula>
    </tableColumn>
    <tableColumn id="13" name="Clustering Coefficient Bin" dataDxfId="90"/>
    <tableColumn id="14" name="Clustering Coefficient Frequency" dataDxfId="89">
      <calculatedColumnFormula>COUNTIF(Vertices[Clustering Coefficient], "&gt;= " &amp; R2) - COUNTIF(Vertices[Clustering Coefficient], "&gt;=" &amp; R3)</calculatedColumnFormula>
    </tableColumn>
    <tableColumn id="15" name="Dynamic Filter Bin" dataDxfId="88"/>
    <tableColumn id="16" name="Dynamic Filter Frequency" dataDxfId="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8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9.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0"/>
  <sheetViews>
    <sheetView tabSelected="1" workbookViewId="0" topLeftCell="A1">
      <pane xSplit="2" ySplit="2" topLeftCell="C12" activePane="bottomRight" state="frozen"/>
      <selection pane="topRight" activeCell="C1" sqref="C1"/>
      <selection pane="bottomLeft" activeCell="A3" sqref="A3"/>
      <selection pane="bottomRight" activeCell="F33" sqref="F33"/>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16.00390625" style="0" bestFit="1" customWidth="1"/>
    <col min="15" max="15" width="10.7109375" style="0" bestFit="1" customWidth="1"/>
    <col min="16" max="16" width="12.57421875" style="0" bestFit="1" customWidth="1"/>
    <col min="17" max="18" width="10.7109375" style="0" bestFit="1" customWidth="1"/>
  </cols>
  <sheetData>
    <row r="1" spans="3:14" ht="15">
      <c r="C1" s="18" t="s">
        <v>39</v>
      </c>
      <c r="D1" s="19"/>
      <c r="E1" s="19"/>
      <c r="F1" s="19"/>
      <c r="G1" s="18"/>
      <c r="H1" s="16" t="s">
        <v>43</v>
      </c>
      <c r="I1" s="64"/>
      <c r="J1" s="64"/>
      <c r="K1" s="35" t="s">
        <v>42</v>
      </c>
      <c r="L1" s="20" t="s">
        <v>40</v>
      </c>
      <c r="M1" s="20"/>
      <c r="N1" s="17" t="s">
        <v>41</v>
      </c>
    </row>
    <row r="2" spans="1:18"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180</v>
      </c>
      <c r="O2" s="13" t="s">
        <v>190</v>
      </c>
      <c r="P2" s="13" t="s">
        <v>191</v>
      </c>
      <c r="Q2" s="13" t="s">
        <v>257</v>
      </c>
      <c r="R2" s="13" t="s">
        <v>258</v>
      </c>
    </row>
    <row r="3" spans="1:18" ht="15" customHeight="1">
      <c r="A3" s="111" t="s">
        <v>174</v>
      </c>
      <c r="B3" s="111" t="s">
        <v>176</v>
      </c>
      <c r="C3" s="141"/>
      <c r="D3" s="142">
        <v>1.7777777777777777</v>
      </c>
      <c r="E3" s="143" t="s">
        <v>133</v>
      </c>
      <c r="F3" s="144"/>
      <c r="G3" s="141"/>
      <c r="H3" s="145"/>
      <c r="I3" s="146"/>
      <c r="J3" s="146"/>
      <c r="K3" s="36" t="s">
        <v>66</v>
      </c>
      <c r="L3" s="147">
        <v>3</v>
      </c>
      <c r="M3" s="147"/>
      <c r="N3" s="119" t="s">
        <v>236</v>
      </c>
      <c r="O3" s="123">
        <v>2</v>
      </c>
      <c r="P3" s="120" t="s">
        <v>193</v>
      </c>
      <c r="Q3" s="105" t="str">
        <f>REPLACE(INDEX(GroupVertices[Group],MATCH(Edges[[#This Row],[Vertex 1]],GroupVertices[Vertex],0)),1,1,"")</f>
        <v>1</v>
      </c>
      <c r="R3" s="105" t="str">
        <f>REPLACE(INDEX(GroupVertices[Group],MATCH(Edges[[#This Row],[Vertex 2]],GroupVertices[Vertex],0)),1,1,"")</f>
        <v>1</v>
      </c>
    </row>
    <row r="4" spans="1:18" ht="15" customHeight="1">
      <c r="A4" s="111" t="s">
        <v>175</v>
      </c>
      <c r="B4" s="111" t="s">
        <v>176</v>
      </c>
      <c r="C4" s="141"/>
      <c r="D4" s="142">
        <v>1.7777777777777777</v>
      </c>
      <c r="E4" s="143" t="s">
        <v>133</v>
      </c>
      <c r="F4" s="144"/>
      <c r="G4" s="141"/>
      <c r="H4" s="145"/>
      <c r="I4" s="146"/>
      <c r="J4" s="146"/>
      <c r="K4" s="36" t="s">
        <v>66</v>
      </c>
      <c r="L4" s="147">
        <v>4</v>
      </c>
      <c r="M4" s="147"/>
      <c r="N4" s="119" t="s">
        <v>236</v>
      </c>
      <c r="O4" s="123">
        <v>2</v>
      </c>
      <c r="P4" s="120" t="s">
        <v>193</v>
      </c>
      <c r="Q4" s="105" t="str">
        <f>REPLACE(INDEX(GroupVertices[Group],MATCH(Edges[[#This Row],[Vertex 1]],GroupVertices[Vertex],0)),1,1,"")</f>
        <v>1</v>
      </c>
      <c r="R4" s="105" t="str">
        <f>REPLACE(INDEX(GroupVertices[Group],MATCH(Edges[[#This Row],[Vertex 2]],GroupVertices[Vertex],0)),1,1,"")</f>
        <v>1</v>
      </c>
    </row>
    <row r="5" spans="1:18" ht="15.75">
      <c r="A5" s="81" t="s">
        <v>175</v>
      </c>
      <c r="B5" s="85" t="s">
        <v>177</v>
      </c>
      <c r="C5" s="53"/>
      <c r="D5" s="54">
        <v>4.111111111111111</v>
      </c>
      <c r="E5" s="65"/>
      <c r="F5" s="55"/>
      <c r="G5" s="53"/>
      <c r="H5" s="57"/>
      <c r="I5" s="56"/>
      <c r="J5" s="56"/>
      <c r="K5" s="36" t="s">
        <v>66</v>
      </c>
      <c r="L5" s="84">
        <v>5</v>
      </c>
      <c r="M5" s="84"/>
      <c r="N5" s="86" t="s">
        <v>185</v>
      </c>
      <c r="O5" s="122">
        <v>5</v>
      </c>
      <c r="P5" s="88" t="s">
        <v>193</v>
      </c>
      <c r="Q5" s="105" t="str">
        <f>REPLACE(INDEX(GroupVertices[Group],MATCH(Edges[[#This Row],[Vertex 1]],GroupVertices[Vertex],0)),1,1,"")</f>
        <v>1</v>
      </c>
      <c r="R5" s="105" t="str">
        <f>REPLACE(INDEX(GroupVertices[Group],MATCH(Edges[[#This Row],[Vertex 2]],GroupVertices[Vertex],0)),1,1,"")</f>
        <v>1</v>
      </c>
    </row>
    <row r="6" spans="1:18" ht="15.75">
      <c r="A6" s="81" t="s">
        <v>177</v>
      </c>
      <c r="B6" s="85" t="s">
        <v>175</v>
      </c>
      <c r="C6" s="53" t="s">
        <v>298</v>
      </c>
      <c r="D6" s="54">
        <v>2.5555555555555554</v>
      </c>
      <c r="E6" s="65" t="s">
        <v>134</v>
      </c>
      <c r="F6" s="55"/>
      <c r="G6" s="53"/>
      <c r="H6" s="57"/>
      <c r="I6" s="56"/>
      <c r="J6" s="56"/>
      <c r="K6" s="36" t="s">
        <v>66</v>
      </c>
      <c r="L6" s="84">
        <v>6</v>
      </c>
      <c r="M6" s="84"/>
      <c r="N6" s="86" t="s">
        <v>185</v>
      </c>
      <c r="O6" s="122">
        <v>3</v>
      </c>
      <c r="P6" s="88" t="s">
        <v>193</v>
      </c>
      <c r="Q6" s="105" t="str">
        <f>REPLACE(INDEX(GroupVertices[Group],MATCH(Edges[[#This Row],[Vertex 1]],GroupVertices[Vertex],0)),1,1,"")</f>
        <v>1</v>
      </c>
      <c r="R6" s="105" t="str">
        <f>REPLACE(INDEX(GroupVertices[Group],MATCH(Edges[[#This Row],[Vertex 2]],GroupVertices[Vertex],0)),1,1,"")</f>
        <v>1</v>
      </c>
    </row>
    <row r="7" spans="1:18" ht="15">
      <c r="A7" s="111" t="s">
        <v>176</v>
      </c>
      <c r="B7" s="111" t="s">
        <v>175</v>
      </c>
      <c r="C7" s="141" t="s">
        <v>299</v>
      </c>
      <c r="D7" s="142">
        <v>1</v>
      </c>
      <c r="E7" s="143" t="s">
        <v>133</v>
      </c>
      <c r="F7" s="144"/>
      <c r="G7" s="141"/>
      <c r="H7" s="145"/>
      <c r="I7" s="146"/>
      <c r="J7" s="146"/>
      <c r="K7" s="36" t="s">
        <v>66</v>
      </c>
      <c r="L7" s="147">
        <v>7</v>
      </c>
      <c r="M7" s="147"/>
      <c r="N7" s="119" t="s">
        <v>237</v>
      </c>
      <c r="O7" s="123">
        <v>1</v>
      </c>
      <c r="P7" s="120" t="s">
        <v>193</v>
      </c>
      <c r="Q7" s="105" t="str">
        <f>REPLACE(INDEX(GroupVertices[Group],MATCH(Edges[[#This Row],[Vertex 1]],GroupVertices[Vertex],0)),1,1,"")</f>
        <v>1</v>
      </c>
      <c r="R7" s="105" t="str">
        <f>REPLACE(INDEX(GroupVertices[Group],MATCH(Edges[[#This Row],[Vertex 2]],GroupVertices[Vertex],0)),1,1,"")</f>
        <v>1</v>
      </c>
    </row>
    <row r="8" spans="1:18" ht="15">
      <c r="A8" s="111" t="s">
        <v>178</v>
      </c>
      <c r="B8" s="111" t="s">
        <v>175</v>
      </c>
      <c r="C8" s="141" t="s">
        <v>301</v>
      </c>
      <c r="D8" s="142">
        <v>2.5555555555555554</v>
      </c>
      <c r="E8" s="143" t="s">
        <v>132</v>
      </c>
      <c r="F8" s="144"/>
      <c r="G8" s="141"/>
      <c r="H8" s="145"/>
      <c r="I8" s="146"/>
      <c r="J8" s="146"/>
      <c r="K8" s="36" t="s">
        <v>65</v>
      </c>
      <c r="L8" s="147">
        <v>8</v>
      </c>
      <c r="M8" s="147"/>
      <c r="N8" s="119" t="s">
        <v>289</v>
      </c>
      <c r="O8" s="123">
        <v>3</v>
      </c>
      <c r="P8" s="120" t="s">
        <v>193</v>
      </c>
      <c r="Q8" s="105" t="str">
        <f>REPLACE(INDEX(GroupVertices[Group],MATCH(Edges[[#This Row],[Vertex 1]],GroupVertices[Vertex],0)),1,1,"")</f>
        <v>3</v>
      </c>
      <c r="R8" s="105" t="str">
        <f>REPLACE(INDEX(GroupVertices[Group],MATCH(Edges[[#This Row],[Vertex 2]],GroupVertices[Vertex],0)),1,1,"")</f>
        <v>1</v>
      </c>
    </row>
    <row r="9" spans="1:18" ht="30">
      <c r="A9" s="111" t="s">
        <v>177</v>
      </c>
      <c r="B9" s="111" t="s">
        <v>240</v>
      </c>
      <c r="C9" s="141" t="s">
        <v>306</v>
      </c>
      <c r="D9" s="142">
        <v>2.5555555555555554</v>
      </c>
      <c r="E9" s="143" t="s">
        <v>133</v>
      </c>
      <c r="F9" s="144"/>
      <c r="G9" s="141"/>
      <c r="H9" s="145"/>
      <c r="I9" s="146"/>
      <c r="J9" s="146"/>
      <c r="K9" s="36" t="s">
        <v>66</v>
      </c>
      <c r="L9" s="147">
        <v>9</v>
      </c>
      <c r="M9" s="147"/>
      <c r="N9" s="119" t="s">
        <v>242</v>
      </c>
      <c r="O9" s="123">
        <v>3</v>
      </c>
      <c r="P9" s="120" t="s">
        <v>193</v>
      </c>
      <c r="Q9" s="105" t="str">
        <f>REPLACE(INDEX(GroupVertices[Group],MATCH(Edges[[#This Row],[Vertex 1]],GroupVertices[Vertex],0)),1,1,"")</f>
        <v>1</v>
      </c>
      <c r="R9" s="105" t="str">
        <f>REPLACE(INDEX(GroupVertices[Group],MATCH(Edges[[#This Row],[Vertex 2]],GroupVertices[Vertex],0)),1,1,"")</f>
        <v>2</v>
      </c>
    </row>
    <row r="10" spans="1:18" ht="15.75">
      <c r="A10" s="81" t="s">
        <v>176</v>
      </c>
      <c r="B10" s="85" t="s">
        <v>178</v>
      </c>
      <c r="C10" s="53" t="s">
        <v>302</v>
      </c>
      <c r="D10" s="54">
        <v>1</v>
      </c>
      <c r="E10" s="65" t="s">
        <v>133</v>
      </c>
      <c r="F10" s="55"/>
      <c r="G10" s="53"/>
      <c r="H10" s="57"/>
      <c r="I10" s="56"/>
      <c r="J10" s="56"/>
      <c r="K10" s="36" t="s">
        <v>66</v>
      </c>
      <c r="L10" s="84">
        <v>10</v>
      </c>
      <c r="M10" s="84"/>
      <c r="N10" s="86" t="s">
        <v>187</v>
      </c>
      <c r="O10" s="122">
        <v>1</v>
      </c>
      <c r="P10" s="88" t="s">
        <v>193</v>
      </c>
      <c r="Q10" s="105" t="str">
        <f>REPLACE(INDEX(GroupVertices[Group],MATCH(Edges[[#This Row],[Vertex 1]],GroupVertices[Vertex],0)),1,1,"")</f>
        <v>1</v>
      </c>
      <c r="R10" s="105" t="str">
        <f>REPLACE(INDEX(GroupVertices[Group],MATCH(Edges[[#This Row],[Vertex 2]],GroupVertices[Vertex],0)),1,1,"")</f>
        <v>3</v>
      </c>
    </row>
    <row r="11" spans="1:18" ht="30">
      <c r="A11" s="111" t="s">
        <v>240</v>
      </c>
      <c r="B11" s="111" t="s">
        <v>251</v>
      </c>
      <c r="C11" s="141" t="s">
        <v>303</v>
      </c>
      <c r="D11" s="142">
        <v>4.111111111111111</v>
      </c>
      <c r="E11" s="143" t="s">
        <v>133</v>
      </c>
      <c r="F11" s="144"/>
      <c r="G11" s="141"/>
      <c r="H11" s="145"/>
      <c r="I11" s="146"/>
      <c r="J11" s="146"/>
      <c r="K11" s="36" t="s">
        <v>66</v>
      </c>
      <c r="L11" s="147">
        <v>11</v>
      </c>
      <c r="M11" s="147"/>
      <c r="N11" s="119" t="s">
        <v>252</v>
      </c>
      <c r="O11" s="123">
        <v>5</v>
      </c>
      <c r="P11" s="120" t="s">
        <v>192</v>
      </c>
      <c r="Q11" s="105" t="str">
        <f>REPLACE(INDEX(GroupVertices[Group],MATCH(Edges[[#This Row],[Vertex 1]],GroupVertices[Vertex],0)),1,1,"")</f>
        <v>2</v>
      </c>
      <c r="R11" s="105" t="str">
        <f>REPLACE(INDEX(GroupVertices[Group],MATCH(Edges[[#This Row],[Vertex 2]],GroupVertices[Vertex],0)),1,1,"")</f>
        <v>2</v>
      </c>
    </row>
    <row r="12" spans="1:18" ht="15">
      <c r="A12" s="111" t="s">
        <v>175</v>
      </c>
      <c r="B12" s="111" t="s">
        <v>179</v>
      </c>
      <c r="C12" s="141" t="s">
        <v>303</v>
      </c>
      <c r="D12" s="142">
        <v>7.222222222222222</v>
      </c>
      <c r="E12" s="143" t="s">
        <v>133</v>
      </c>
      <c r="F12" s="144"/>
      <c r="G12" s="141"/>
      <c r="H12" s="145"/>
      <c r="I12" s="146"/>
      <c r="J12" s="146"/>
      <c r="K12" s="36" t="s">
        <v>65</v>
      </c>
      <c r="L12" s="147">
        <v>12</v>
      </c>
      <c r="M12" s="147"/>
      <c r="N12" s="119" t="s">
        <v>252</v>
      </c>
      <c r="O12" s="123">
        <v>9</v>
      </c>
      <c r="P12" s="120" t="s">
        <v>192</v>
      </c>
      <c r="Q12" s="131" t="str">
        <f>REPLACE(INDEX(GroupVertices[Group],MATCH(Edges[[#This Row],[Vertex 1]],GroupVertices[Vertex],0)),1,1,"")</f>
        <v>1</v>
      </c>
      <c r="R12" s="131" t="str">
        <f>REPLACE(INDEX(GroupVertices[Group],MATCH(Edges[[#This Row],[Vertex 2]],GroupVertices[Vertex],0)),1,1,"")</f>
        <v>1</v>
      </c>
    </row>
    <row r="13" spans="1:18" ht="30">
      <c r="A13" s="111" t="s">
        <v>174</v>
      </c>
      <c r="B13" s="111" t="s">
        <v>177</v>
      </c>
      <c r="C13" s="112" t="s">
        <v>307</v>
      </c>
      <c r="D13" s="113">
        <v>1.7777777777777777</v>
      </c>
      <c r="E13" s="114" t="s">
        <v>133</v>
      </c>
      <c r="F13" s="115"/>
      <c r="G13" s="112"/>
      <c r="H13" s="116"/>
      <c r="I13" s="117"/>
      <c r="J13" s="117"/>
      <c r="K13" s="36" t="s">
        <v>65</v>
      </c>
      <c r="L13" s="118">
        <v>13</v>
      </c>
      <c r="M13" s="118"/>
      <c r="N13" s="119" t="s">
        <v>234</v>
      </c>
      <c r="O13" s="123">
        <v>2</v>
      </c>
      <c r="P13" s="120" t="s">
        <v>192</v>
      </c>
      <c r="Q13" s="105" t="str">
        <f>REPLACE(INDEX(GroupVertices[Group],MATCH(Edges[[#This Row],[Vertex 1]],GroupVertices[Vertex],0)),1,1,"")</f>
        <v>1</v>
      </c>
      <c r="R13" s="105" t="str">
        <f>REPLACE(INDEX(GroupVertices[Group],MATCH(Edges[[#This Row],[Vertex 2]],GroupVertices[Vertex],0)),1,1,"")</f>
        <v>1</v>
      </c>
    </row>
    <row r="14" spans="1:18" ht="15.75">
      <c r="A14" s="81" t="s">
        <v>178</v>
      </c>
      <c r="B14" s="88" t="s">
        <v>176</v>
      </c>
      <c r="C14" s="112" t="s">
        <v>301</v>
      </c>
      <c r="D14" s="113">
        <v>3.3333333333333335</v>
      </c>
      <c r="E14" s="114" t="s">
        <v>133</v>
      </c>
      <c r="F14" s="115"/>
      <c r="G14" s="112"/>
      <c r="H14" s="116"/>
      <c r="I14" s="117"/>
      <c r="J14" s="117"/>
      <c r="K14" s="36" t="s">
        <v>66</v>
      </c>
      <c r="L14" s="118">
        <v>14</v>
      </c>
      <c r="M14" s="118"/>
      <c r="N14" s="88" t="s">
        <v>189</v>
      </c>
      <c r="O14" s="122">
        <v>4</v>
      </c>
      <c r="P14" s="88" t="s">
        <v>193</v>
      </c>
      <c r="Q14" s="105" t="str">
        <f>REPLACE(INDEX(GroupVertices[Group],MATCH(Edges[[#This Row],[Vertex 1]],GroupVertices[Vertex],0)),1,1,"")</f>
        <v>3</v>
      </c>
      <c r="R14" s="105" t="str">
        <f>REPLACE(INDEX(GroupVertices[Group],MATCH(Edges[[#This Row],[Vertex 2]],GroupVertices[Vertex],0)),1,1,"")</f>
        <v>1</v>
      </c>
    </row>
    <row r="15" spans="1:18" ht="15">
      <c r="A15" s="111" t="s">
        <v>176</v>
      </c>
      <c r="B15" s="111" t="s">
        <v>174</v>
      </c>
      <c r="C15" s="112" t="s">
        <v>304</v>
      </c>
      <c r="D15" s="113">
        <v>1</v>
      </c>
      <c r="E15" s="114" t="s">
        <v>133</v>
      </c>
      <c r="F15" s="115"/>
      <c r="G15" s="112"/>
      <c r="H15" s="116"/>
      <c r="I15" s="117"/>
      <c r="J15" s="117"/>
      <c r="K15" s="36" t="s">
        <v>66</v>
      </c>
      <c r="L15" s="118">
        <v>15</v>
      </c>
      <c r="M15" s="118"/>
      <c r="N15" s="119" t="s">
        <v>238</v>
      </c>
      <c r="O15" s="123">
        <v>1</v>
      </c>
      <c r="P15" s="120" t="s">
        <v>193</v>
      </c>
      <c r="Q15" s="105" t="str">
        <f>REPLACE(INDEX(GroupVertices[Group],MATCH(Edges[[#This Row],[Vertex 1]],GroupVertices[Vertex],0)),1,1,"")</f>
        <v>1</v>
      </c>
      <c r="R15" s="105" t="str">
        <f>REPLACE(INDEX(GroupVertices[Group],MATCH(Edges[[#This Row],[Vertex 2]],GroupVertices[Vertex],0)),1,1,"")</f>
        <v>1</v>
      </c>
    </row>
    <row r="16" spans="1:18" ht="15.75">
      <c r="A16" s="81" t="s">
        <v>174</v>
      </c>
      <c r="B16" s="88" t="s">
        <v>175</v>
      </c>
      <c r="C16" s="112" t="s">
        <v>304</v>
      </c>
      <c r="D16" s="113">
        <v>1.7777777777777777</v>
      </c>
      <c r="E16" s="114"/>
      <c r="F16" s="115"/>
      <c r="G16" s="112"/>
      <c r="H16" s="116"/>
      <c r="I16" s="117"/>
      <c r="J16" s="117"/>
      <c r="K16" s="36" t="s">
        <v>66</v>
      </c>
      <c r="L16" s="118">
        <v>16</v>
      </c>
      <c r="M16" s="118"/>
      <c r="N16" s="88" t="s">
        <v>183</v>
      </c>
      <c r="O16" s="122">
        <v>2</v>
      </c>
      <c r="P16" s="88" t="s">
        <v>192</v>
      </c>
      <c r="Q16" s="105" t="str">
        <f>REPLACE(INDEX(GroupVertices[Group],MATCH(Edges[[#This Row],[Vertex 1]],GroupVertices[Vertex],0)),1,1,"")</f>
        <v>1</v>
      </c>
      <c r="R16" s="105" t="str">
        <f>REPLACE(INDEX(GroupVertices[Group],MATCH(Edges[[#This Row],[Vertex 2]],GroupVertices[Vertex],0)),1,1,"")</f>
        <v>1</v>
      </c>
    </row>
    <row r="17" spans="1:18" ht="15.75">
      <c r="A17" s="88" t="s">
        <v>174</v>
      </c>
      <c r="B17" s="88" t="s">
        <v>177</v>
      </c>
      <c r="C17" s="112" t="s">
        <v>305</v>
      </c>
      <c r="D17" s="113">
        <v>1</v>
      </c>
      <c r="E17" s="114"/>
      <c r="F17" s="115"/>
      <c r="G17" s="112"/>
      <c r="H17" s="116"/>
      <c r="I17" s="117"/>
      <c r="J17" s="117"/>
      <c r="K17" s="36" t="s">
        <v>65</v>
      </c>
      <c r="L17" s="148">
        <v>17</v>
      </c>
      <c r="M17" s="148"/>
      <c r="N17" s="88" t="s">
        <v>181</v>
      </c>
      <c r="O17" s="122">
        <v>1</v>
      </c>
      <c r="P17" s="88" t="s">
        <v>192</v>
      </c>
      <c r="Q17" s="105" t="str">
        <f>REPLACE(INDEX(GroupVertices[Group],MATCH(Edges[[#This Row],[Vertex 1]],GroupVertices[Vertex],0)),1,1,"")</f>
        <v>1</v>
      </c>
      <c r="R17" s="105" t="str">
        <f>REPLACE(INDEX(GroupVertices[Group],MATCH(Edges[[#This Row],[Vertex 2]],GroupVertices[Vertex],0)),1,1,"")</f>
        <v>1</v>
      </c>
    </row>
    <row r="18" spans="1:18" ht="30">
      <c r="A18" s="111" t="s">
        <v>240</v>
      </c>
      <c r="B18" s="111" t="s">
        <v>177</v>
      </c>
      <c r="C18" s="112" t="s">
        <v>306</v>
      </c>
      <c r="D18" s="113">
        <v>1</v>
      </c>
      <c r="E18" s="114" t="s">
        <v>133</v>
      </c>
      <c r="F18" s="115"/>
      <c r="G18" s="112"/>
      <c r="H18" s="116"/>
      <c r="I18" s="117"/>
      <c r="J18" s="117"/>
      <c r="K18" s="36" t="s">
        <v>66</v>
      </c>
      <c r="L18" s="118">
        <v>18</v>
      </c>
      <c r="M18" s="118"/>
      <c r="N18" s="119" t="s">
        <v>241</v>
      </c>
      <c r="O18" s="123">
        <v>1</v>
      </c>
      <c r="P18" s="120" t="s">
        <v>193</v>
      </c>
      <c r="Q18" s="105" t="str">
        <f>REPLACE(INDEX(GroupVertices[Group],MATCH(Edges[[#This Row],[Vertex 1]],GroupVertices[Vertex],0)),1,1,"")</f>
        <v>2</v>
      </c>
      <c r="R18" s="105" t="str">
        <f>REPLACE(INDEX(GroupVertices[Group],MATCH(Edges[[#This Row],[Vertex 2]],GroupVertices[Vertex],0)),1,1,"")</f>
        <v>1</v>
      </c>
    </row>
    <row r="19" spans="1:18" ht="15.75">
      <c r="A19" s="81" t="s">
        <v>175</v>
      </c>
      <c r="B19" s="88" t="s">
        <v>174</v>
      </c>
      <c r="C19" s="112" t="s">
        <v>306</v>
      </c>
      <c r="D19" s="113">
        <v>2.5555555555555554</v>
      </c>
      <c r="E19" s="114"/>
      <c r="F19" s="115"/>
      <c r="G19" s="112"/>
      <c r="H19" s="116"/>
      <c r="I19" s="117"/>
      <c r="J19" s="117"/>
      <c r="K19" s="36" t="s">
        <v>66</v>
      </c>
      <c r="L19" s="118">
        <v>19</v>
      </c>
      <c r="M19" s="118"/>
      <c r="N19" s="88" t="s">
        <v>184</v>
      </c>
      <c r="O19" s="122">
        <v>3</v>
      </c>
      <c r="P19" s="88" t="s">
        <v>193</v>
      </c>
      <c r="Q19" s="105" t="str">
        <f>REPLACE(INDEX(GroupVertices[Group],MATCH(Edges[[#This Row],[Vertex 1]],GroupVertices[Vertex],0)),1,1,"")</f>
        <v>1</v>
      </c>
      <c r="R19" s="105" t="str">
        <f>REPLACE(INDEX(GroupVertices[Group],MATCH(Edges[[#This Row],[Vertex 2]],GroupVertices[Vertex],0)),1,1,"")</f>
        <v>1</v>
      </c>
    </row>
    <row r="20" spans="1:18" ht="15">
      <c r="A20" s="111" t="s">
        <v>175</v>
      </c>
      <c r="B20" s="111" t="s">
        <v>174</v>
      </c>
      <c r="C20" s="112" t="s">
        <v>297</v>
      </c>
      <c r="D20" s="113">
        <v>8</v>
      </c>
      <c r="E20" s="114" t="s">
        <v>132</v>
      </c>
      <c r="F20" s="115"/>
      <c r="G20" s="112"/>
      <c r="H20" s="116"/>
      <c r="I20" s="117"/>
      <c r="J20" s="117"/>
      <c r="K20" s="36" t="s">
        <v>66</v>
      </c>
      <c r="L20" s="118">
        <v>20</v>
      </c>
      <c r="M20" s="118"/>
      <c r="N20" s="119" t="s">
        <v>235</v>
      </c>
      <c r="O20" s="123">
        <v>10</v>
      </c>
      <c r="P20" s="120" t="s">
        <v>192</v>
      </c>
      <c r="Q20" s="105" t="str">
        <f>REPLACE(INDEX(GroupVertices[Group],MATCH(Edges[[#This Row],[Vertex 1]],GroupVertices[Vertex],0)),1,1,"")</f>
        <v>1</v>
      </c>
      <c r="R20" s="105" t="str">
        <f>REPLACE(INDEX(GroupVertices[Group],MATCH(Edges[[#This Row],[Vertex 2]],GroupVertices[Vertex],0)),1,1,"")</f>
        <v>1</v>
      </c>
    </row>
    <row r="21" spans="1:18" ht="15">
      <c r="A21" s="111" t="s">
        <v>175</v>
      </c>
      <c r="B21" s="111" t="s">
        <v>179</v>
      </c>
      <c r="C21" s="112" t="s">
        <v>297</v>
      </c>
      <c r="D21" s="113">
        <v>5.666666666666667</v>
      </c>
      <c r="E21" s="114" t="s">
        <v>132</v>
      </c>
      <c r="F21" s="115"/>
      <c r="G21" s="112"/>
      <c r="H21" s="116"/>
      <c r="I21" s="117"/>
      <c r="J21" s="117"/>
      <c r="K21" s="36" t="s">
        <v>65</v>
      </c>
      <c r="L21" s="118">
        <v>21</v>
      </c>
      <c r="M21" s="118"/>
      <c r="N21" s="119" t="s">
        <v>235</v>
      </c>
      <c r="O21" s="123">
        <v>7</v>
      </c>
      <c r="P21" s="120" t="s">
        <v>192</v>
      </c>
      <c r="Q21" s="105" t="str">
        <f>REPLACE(INDEX(GroupVertices[Group],MATCH(Edges[[#This Row],[Vertex 1]],GroupVertices[Vertex],0)),1,1,"")</f>
        <v>1</v>
      </c>
      <c r="R21" s="105" t="str">
        <f>REPLACE(INDEX(GroupVertices[Group],MATCH(Edges[[#This Row],[Vertex 2]],GroupVertices[Vertex],0)),1,1,"")</f>
        <v>1</v>
      </c>
    </row>
    <row r="22" spans="1:18" ht="15">
      <c r="A22" s="111" t="s">
        <v>179</v>
      </c>
      <c r="B22" s="111" t="s">
        <v>174</v>
      </c>
      <c r="C22" s="112" t="s">
        <v>297</v>
      </c>
      <c r="D22" s="113">
        <v>2.5555555555555554</v>
      </c>
      <c r="E22" s="114" t="s">
        <v>132</v>
      </c>
      <c r="F22" s="115"/>
      <c r="G22" s="112"/>
      <c r="H22" s="116"/>
      <c r="I22" s="117"/>
      <c r="J22" s="117"/>
      <c r="K22" s="36" t="s">
        <v>65</v>
      </c>
      <c r="L22" s="118">
        <v>22</v>
      </c>
      <c r="M22" s="118"/>
      <c r="N22" s="119" t="s">
        <v>235</v>
      </c>
      <c r="O22" s="123">
        <v>3</v>
      </c>
      <c r="P22" s="120" t="s">
        <v>192</v>
      </c>
      <c r="Q22" s="105" t="str">
        <f>REPLACE(INDEX(GroupVertices[Group],MATCH(Edges[[#This Row],[Vertex 1]],GroupVertices[Vertex],0)),1,1,"")</f>
        <v>1</v>
      </c>
      <c r="R22" s="105" t="str">
        <f>REPLACE(INDEX(GroupVertices[Group],MATCH(Edges[[#This Row],[Vertex 2]],GroupVertices[Vertex],0)),1,1,"")</f>
        <v>1</v>
      </c>
    </row>
    <row r="23" spans="1:18" ht="15">
      <c r="A23" s="111" t="s">
        <v>174</v>
      </c>
      <c r="B23" s="111" t="s">
        <v>177</v>
      </c>
      <c r="C23" s="112" t="s">
        <v>297</v>
      </c>
      <c r="D23" s="113">
        <v>4.111111111111111</v>
      </c>
      <c r="E23" s="114" t="s">
        <v>132</v>
      </c>
      <c r="F23" s="115"/>
      <c r="G23" s="112"/>
      <c r="H23" s="116"/>
      <c r="I23" s="117"/>
      <c r="J23" s="117"/>
      <c r="K23" s="36" t="s">
        <v>65</v>
      </c>
      <c r="L23" s="118">
        <v>23</v>
      </c>
      <c r="M23" s="118"/>
      <c r="N23" s="119" t="s">
        <v>235</v>
      </c>
      <c r="O23" s="123">
        <v>5</v>
      </c>
      <c r="P23" s="120" t="s">
        <v>192</v>
      </c>
      <c r="Q23" s="105" t="str">
        <f>REPLACE(INDEX(GroupVertices[Group],MATCH(Edges[[#This Row],[Vertex 1]],GroupVertices[Vertex],0)),1,1,"")</f>
        <v>1</v>
      </c>
      <c r="R23" s="105" t="str">
        <f>REPLACE(INDEX(GroupVertices[Group],MATCH(Edges[[#This Row],[Vertex 2]],GroupVertices[Vertex],0)),1,1,"")</f>
        <v>1</v>
      </c>
    </row>
    <row r="24" spans="1:18" ht="30">
      <c r="A24" s="111" t="s">
        <v>178</v>
      </c>
      <c r="B24" s="111" t="s">
        <v>239</v>
      </c>
      <c r="C24" s="112" t="s">
        <v>297</v>
      </c>
      <c r="D24" s="113">
        <v>1.7777777777777777</v>
      </c>
      <c r="E24" s="114" t="s">
        <v>132</v>
      </c>
      <c r="F24" s="115"/>
      <c r="G24" s="112"/>
      <c r="H24" s="116"/>
      <c r="I24" s="117"/>
      <c r="J24" s="117"/>
      <c r="K24" s="36" t="s">
        <v>66</v>
      </c>
      <c r="L24" s="118">
        <v>24</v>
      </c>
      <c r="M24" s="118"/>
      <c r="N24" s="119" t="s">
        <v>235</v>
      </c>
      <c r="O24" s="123">
        <v>2</v>
      </c>
      <c r="P24" s="120" t="s">
        <v>192</v>
      </c>
      <c r="Q24" s="105" t="str">
        <f>REPLACE(INDEX(GroupVertices[Group],MATCH(Edges[[#This Row],[Vertex 1]],GroupVertices[Vertex],0)),1,1,"")</f>
        <v>3</v>
      </c>
      <c r="R24" s="105" t="str">
        <f>REPLACE(INDEX(GroupVertices[Group],MATCH(Edges[[#This Row],[Vertex 2]],GroupVertices[Vertex],0)),1,1,"")</f>
        <v>3</v>
      </c>
    </row>
    <row r="25" spans="1:18" ht="15">
      <c r="A25" s="111" t="s">
        <v>175</v>
      </c>
      <c r="B25" s="111" t="s">
        <v>177</v>
      </c>
      <c r="C25" s="112" t="s">
        <v>297</v>
      </c>
      <c r="D25" s="113">
        <v>4.111111111111111</v>
      </c>
      <c r="E25" s="114" t="s">
        <v>132</v>
      </c>
      <c r="F25" s="115"/>
      <c r="G25" s="112"/>
      <c r="H25" s="116"/>
      <c r="I25" s="117"/>
      <c r="J25" s="117"/>
      <c r="K25" s="36" t="s">
        <v>66</v>
      </c>
      <c r="L25" s="118">
        <v>25</v>
      </c>
      <c r="M25" s="118"/>
      <c r="N25" s="119" t="s">
        <v>235</v>
      </c>
      <c r="O25" s="123">
        <v>5</v>
      </c>
      <c r="P25" s="120" t="s">
        <v>192</v>
      </c>
      <c r="Q25" s="131" t="str">
        <f>REPLACE(INDEX(GroupVertices[Group],MATCH(Edges[[#This Row],[Vertex 1]],GroupVertices[Vertex],0)),1,1,"")</f>
        <v>1</v>
      </c>
      <c r="R25" s="131" t="str">
        <f>REPLACE(INDEX(GroupVertices[Group],MATCH(Edges[[#This Row],[Vertex 2]],GroupVertices[Vertex],0)),1,1,"")</f>
        <v>1</v>
      </c>
    </row>
    <row r="26" spans="1:18" ht="30">
      <c r="A26" s="81" t="s">
        <v>175</v>
      </c>
      <c r="B26" s="88" t="s">
        <v>174</v>
      </c>
      <c r="C26" s="112" t="s">
        <v>297</v>
      </c>
      <c r="D26" s="113">
        <v>1</v>
      </c>
      <c r="E26" s="114" t="s">
        <v>135</v>
      </c>
      <c r="F26" s="115"/>
      <c r="G26" s="112"/>
      <c r="H26" s="116"/>
      <c r="I26" s="117"/>
      <c r="J26" s="117"/>
      <c r="K26" s="36" t="s">
        <v>66</v>
      </c>
      <c r="L26" s="118">
        <v>26</v>
      </c>
      <c r="M26" s="118"/>
      <c r="N26" s="88" t="s">
        <v>188</v>
      </c>
      <c r="O26" s="122">
        <v>1</v>
      </c>
      <c r="P26" s="88" t="s">
        <v>192</v>
      </c>
      <c r="Q26" s="105" t="str">
        <f>REPLACE(INDEX(GroupVertices[Group],MATCH(Edges[[#This Row],[Vertex 1]],GroupVertices[Vertex],0)),1,1,"")</f>
        <v>1</v>
      </c>
      <c r="R26" s="105" t="str">
        <f>REPLACE(INDEX(GroupVertices[Group],MATCH(Edges[[#This Row],[Vertex 2]],GroupVertices[Vertex],0)),1,1,"")</f>
        <v>1</v>
      </c>
    </row>
    <row r="27" spans="1:18" ht="15.75">
      <c r="A27" s="81" t="s">
        <v>176</v>
      </c>
      <c r="B27" s="88" t="s">
        <v>179</v>
      </c>
      <c r="C27" s="112" t="s">
        <v>304</v>
      </c>
      <c r="D27" s="113">
        <v>1</v>
      </c>
      <c r="E27" s="114"/>
      <c r="F27" s="115"/>
      <c r="G27" s="112"/>
      <c r="H27" s="116"/>
      <c r="I27" s="117"/>
      <c r="J27" s="117"/>
      <c r="K27" s="36" t="s">
        <v>65</v>
      </c>
      <c r="L27" s="118">
        <v>27</v>
      </c>
      <c r="M27" s="118"/>
      <c r="N27" s="88" t="s">
        <v>186</v>
      </c>
      <c r="O27" s="122">
        <v>1</v>
      </c>
      <c r="P27" s="88" t="s">
        <v>193</v>
      </c>
      <c r="Q27" s="105" t="str">
        <f>REPLACE(INDEX(GroupVertices[Group],MATCH(Edges[[#This Row],[Vertex 1]],GroupVertices[Vertex],0)),1,1,"")</f>
        <v>1</v>
      </c>
      <c r="R27" s="105" t="str">
        <f>REPLACE(INDEX(GroupVertices[Group],MATCH(Edges[[#This Row],[Vertex 2]],GroupVertices[Vertex],0)),1,1,"")</f>
        <v>1</v>
      </c>
    </row>
    <row r="28" spans="1:18" ht="30">
      <c r="A28" s="111" t="s">
        <v>251</v>
      </c>
      <c r="B28" s="111" t="s">
        <v>240</v>
      </c>
      <c r="C28" s="112" t="s">
        <v>304</v>
      </c>
      <c r="D28" s="113">
        <v>1.7777777777777777</v>
      </c>
      <c r="E28" s="114" t="s">
        <v>133</v>
      </c>
      <c r="F28" s="115"/>
      <c r="G28" s="112"/>
      <c r="H28" s="116"/>
      <c r="I28" s="117"/>
      <c r="J28" s="117"/>
      <c r="K28" s="36" t="s">
        <v>66</v>
      </c>
      <c r="L28" s="118">
        <v>28</v>
      </c>
      <c r="M28" s="118"/>
      <c r="N28" s="119" t="s">
        <v>186</v>
      </c>
      <c r="O28" s="123">
        <v>2</v>
      </c>
      <c r="P28" s="120" t="s">
        <v>193</v>
      </c>
      <c r="Q28" s="105" t="str">
        <f>REPLACE(INDEX(GroupVertices[Group],MATCH(Edges[[#This Row],[Vertex 1]],GroupVertices[Vertex],0)),1,1,"")</f>
        <v>2</v>
      </c>
      <c r="R28" s="105" t="str">
        <f>REPLACE(INDEX(GroupVertices[Group],MATCH(Edges[[#This Row],[Vertex 2]],GroupVertices[Vertex],0)),1,1,"")</f>
        <v>2</v>
      </c>
    </row>
    <row r="29" spans="1:18" ht="15.75">
      <c r="A29" s="81" t="s">
        <v>175</v>
      </c>
      <c r="B29" s="88" t="s">
        <v>179</v>
      </c>
      <c r="C29" s="112" t="s">
        <v>305</v>
      </c>
      <c r="D29" s="113">
        <v>2.5555555555555554</v>
      </c>
      <c r="E29" s="114"/>
      <c r="F29" s="115"/>
      <c r="G29" s="112"/>
      <c r="H29" s="116"/>
      <c r="I29" s="117"/>
      <c r="J29" s="117"/>
      <c r="K29" s="36" t="s">
        <v>65</v>
      </c>
      <c r="L29" s="118">
        <v>29</v>
      </c>
      <c r="M29" s="118"/>
      <c r="N29" s="88" t="s">
        <v>182</v>
      </c>
      <c r="O29" s="122">
        <v>3</v>
      </c>
      <c r="P29" s="88" t="s">
        <v>193</v>
      </c>
      <c r="Q29" s="105" t="str">
        <f>REPLACE(INDEX(GroupVertices[Group],MATCH(Edges[[#This Row],[Vertex 1]],GroupVertices[Vertex],0)),1,1,"")</f>
        <v>1</v>
      </c>
      <c r="R29" s="105" t="str">
        <f>REPLACE(INDEX(GroupVertices[Group],MATCH(Edges[[#This Row],[Vertex 2]],GroupVertices[Vertex],0)),1,1,"")</f>
        <v>1</v>
      </c>
    </row>
    <row r="30" spans="1:18" ht="30">
      <c r="A30" s="111" t="s">
        <v>239</v>
      </c>
      <c r="B30" s="111" t="s">
        <v>178</v>
      </c>
      <c r="C30" s="112" t="s">
        <v>300</v>
      </c>
      <c r="D30" s="113">
        <v>1.7777777777777777</v>
      </c>
      <c r="E30" s="114" t="s">
        <v>133</v>
      </c>
      <c r="F30" s="115"/>
      <c r="G30" s="112"/>
      <c r="H30" s="116"/>
      <c r="I30" s="117"/>
      <c r="J30" s="117"/>
      <c r="K30" s="36" t="s">
        <v>66</v>
      </c>
      <c r="L30" s="118">
        <v>30</v>
      </c>
      <c r="M30" s="118"/>
      <c r="N30" s="119" t="s">
        <v>253</v>
      </c>
      <c r="O30" s="123">
        <v>2</v>
      </c>
      <c r="P30" s="120" t="s">
        <v>193</v>
      </c>
      <c r="Q30" s="105" t="str">
        <f>REPLACE(INDEX(GroupVertices[Group],MATCH(Edges[[#This Row],[Vertex 1]],GroupVertices[Vertex],0)),1,1,"")</f>
        <v>3</v>
      </c>
      <c r="R30" s="105" t="str">
        <f>REPLACE(INDEX(GroupVertices[Group],MATCH(Edges[[#This Row],[Vertex 2]],GroupVertices[Vertex],0)),1,1,"")</f>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ErrorMessage="1" sqref="N2:N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Color" prompt="To select an optional edge color, right-click and select Select Color on the right-click menu." sqref="C3:C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Opacity" prompt="Enter an optional edge opacity between 0 (transparent) and 100 (opaque)." errorTitle="Invalid Edge Opacity" error="The optional edge opacity must be a whole number between 0 and 10." sqref="F3:F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showErrorMessage="1" promptTitle="Vertex 1 Name" prompt="Enter the name of the edge's first vertex." sqref="A3:A30"/>
    <dataValidation allowBlank="1" showInputMessage="1" showErrorMessage="1" promptTitle="Vertex 2 Name" prompt="Enter the name of the edge's second vertex." sqref="B3:B30"/>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260</v>
      </c>
      <c r="B2" s="137" t="s">
        <v>261</v>
      </c>
      <c r="C2" s="67" t="s">
        <v>262</v>
      </c>
    </row>
    <row r="3" spans="1:3" ht="15">
      <c r="A3" s="136" t="s">
        <v>254</v>
      </c>
      <c r="B3" s="136" t="s">
        <v>254</v>
      </c>
      <c r="C3" s="36">
        <v>19</v>
      </c>
    </row>
    <row r="4" spans="1:3" ht="15">
      <c r="A4" s="140" t="s">
        <v>254</v>
      </c>
      <c r="B4" s="139" t="s">
        <v>255</v>
      </c>
      <c r="C4" s="36">
        <v>1</v>
      </c>
    </row>
    <row r="5" spans="1:3" ht="15">
      <c r="A5" s="140" t="s">
        <v>254</v>
      </c>
      <c r="B5" s="139" t="s">
        <v>290</v>
      </c>
      <c r="C5" s="36">
        <v>1</v>
      </c>
    </row>
    <row r="6" spans="1:3" ht="15">
      <c r="A6" s="140" t="s">
        <v>255</v>
      </c>
      <c r="B6" s="139" t="s">
        <v>254</v>
      </c>
      <c r="C6" s="36">
        <v>1</v>
      </c>
    </row>
    <row r="7" spans="1:3" ht="15">
      <c r="A7" s="140" t="s">
        <v>255</v>
      </c>
      <c r="B7" s="139" t="s">
        <v>255</v>
      </c>
      <c r="C7" s="36">
        <v>2</v>
      </c>
    </row>
    <row r="8" spans="1:3" ht="15">
      <c r="A8" s="140" t="s">
        <v>290</v>
      </c>
      <c r="B8" s="139" t="s">
        <v>254</v>
      </c>
      <c r="C8" s="36">
        <v>2</v>
      </c>
    </row>
    <row r="9" spans="1:3" ht="15">
      <c r="A9" s="140" t="s">
        <v>290</v>
      </c>
      <c r="B9" s="139" t="s">
        <v>290</v>
      </c>
      <c r="C9" s="36">
        <v>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
  <sheetViews>
    <sheetView workbookViewId="0" topLeftCell="A1">
      <pane xSplit="1" ySplit="2" topLeftCell="I3" activePane="bottomRight" state="frozen"/>
      <selection pane="topRight" activeCell="B1" sqref="B1"/>
      <selection pane="bottomLeft" activeCell="A3" sqref="A3"/>
      <selection pane="bottomRight" activeCell="A10" sqref="A10:AN10"/>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28125" style="2" bestFit="1" customWidth="1"/>
    <col min="31" max="31" width="19.57421875" style="3" bestFit="1" customWidth="1"/>
    <col min="32" max="32" width="17.28125" style="3" bestFit="1" customWidth="1"/>
    <col min="33" max="33" width="19.57421875" style="3" bestFit="1" customWidth="1"/>
    <col min="34" max="34" width="17.28125" style="3" bestFit="1" customWidth="1"/>
    <col min="35" max="35" width="19.57421875" style="0" bestFit="1" customWidth="1"/>
    <col min="36" max="36" width="17.28125" style="0" bestFit="1" customWidth="1"/>
    <col min="37" max="37" width="19.57421875" style="0" bestFit="1" customWidth="1"/>
    <col min="38" max="38" width="18.8515625" style="0" bestFit="1" customWidth="1"/>
    <col min="39" max="39" width="19.57421875" style="0" bestFit="1" customWidth="1"/>
    <col min="40" max="40"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09" t="s">
        <v>223</v>
      </c>
      <c r="AE2" s="109" t="s">
        <v>224</v>
      </c>
      <c r="AF2" s="109" t="s">
        <v>225</v>
      </c>
      <c r="AG2" s="109" t="s">
        <v>226</v>
      </c>
      <c r="AH2" s="109" t="s">
        <v>227</v>
      </c>
      <c r="AI2" s="109" t="s">
        <v>228</v>
      </c>
      <c r="AJ2" s="109" t="s">
        <v>229</v>
      </c>
      <c r="AK2" s="109" t="s">
        <v>231</v>
      </c>
      <c r="AL2" s="109" t="s">
        <v>232</v>
      </c>
      <c r="AM2" s="109" t="s">
        <v>233</v>
      </c>
      <c r="AN2" s="13" t="s">
        <v>256</v>
      </c>
      <c r="AO2" s="3"/>
      <c r="AP2" s="3"/>
    </row>
    <row r="3" spans="1:42" ht="15" customHeight="1">
      <c r="A3" s="50" t="s">
        <v>174</v>
      </c>
      <c r="B3" s="53"/>
      <c r="C3" s="53"/>
      <c r="D3" s="54">
        <v>19.20802546775525</v>
      </c>
      <c r="E3" s="55">
        <v>62.5</v>
      </c>
      <c r="F3" s="53"/>
      <c r="G3" s="53"/>
      <c r="H3" s="57" t="s">
        <v>174</v>
      </c>
      <c r="I3" s="56"/>
      <c r="J3" s="56" t="s">
        <v>73</v>
      </c>
      <c r="K3" s="57" t="s">
        <v>247</v>
      </c>
      <c r="L3" s="59"/>
      <c r="M3" s="60">
        <v>3802.659423828125</v>
      </c>
      <c r="N3" s="60">
        <v>4266.16748046875</v>
      </c>
      <c r="O3" s="58"/>
      <c r="P3" s="61"/>
      <c r="Q3" s="61"/>
      <c r="R3" s="51">
        <v>4</v>
      </c>
      <c r="S3" s="51">
        <v>3</v>
      </c>
      <c r="T3" s="51">
        <v>3</v>
      </c>
      <c r="U3" s="52">
        <v>6</v>
      </c>
      <c r="V3" s="52">
        <v>0.071429</v>
      </c>
      <c r="W3" s="52">
        <v>0.175745</v>
      </c>
      <c r="X3" s="52">
        <v>1.24635</v>
      </c>
      <c r="Y3" s="52">
        <v>0.5</v>
      </c>
      <c r="Z3" s="52">
        <v>0.5</v>
      </c>
      <c r="AA3" s="62">
        <v>3</v>
      </c>
      <c r="AB3" s="62"/>
      <c r="AC3" s="63"/>
      <c r="AD3" s="51"/>
      <c r="AE3" s="51"/>
      <c r="AF3" s="51"/>
      <c r="AG3" s="51"/>
      <c r="AH3" s="51"/>
      <c r="AI3" s="51"/>
      <c r="AJ3" s="110" t="s">
        <v>230</v>
      </c>
      <c r="AK3" s="110" t="s">
        <v>230</v>
      </c>
      <c r="AL3" s="110" t="s">
        <v>230</v>
      </c>
      <c r="AM3" s="110" t="s">
        <v>230</v>
      </c>
      <c r="AN3" s="107" t="str">
        <f>REPLACE(INDEX(GroupVertices[Group],MATCH(Vertices[[#This Row],[Vertex]],GroupVertices[Vertex],0)),1,1,"")</f>
        <v>1</v>
      </c>
      <c r="AO3" s="3"/>
      <c r="AP3" s="3"/>
    </row>
    <row r="4" spans="1:45" ht="15">
      <c r="A4" s="14" t="s">
        <v>177</v>
      </c>
      <c r="B4" s="15"/>
      <c r="C4" s="15"/>
      <c r="D4" s="87">
        <v>16.45173599780656</v>
      </c>
      <c r="E4" s="82">
        <v>100</v>
      </c>
      <c r="F4" s="15"/>
      <c r="G4" s="15"/>
      <c r="H4" s="16" t="s">
        <v>177</v>
      </c>
      <c r="I4" s="66"/>
      <c r="J4" s="66" t="s">
        <v>69</v>
      </c>
      <c r="K4" s="16" t="s">
        <v>248</v>
      </c>
      <c r="L4" s="89"/>
      <c r="M4" s="90">
        <v>5227.10693359375</v>
      </c>
      <c r="N4" s="90">
        <v>9076.8525390625</v>
      </c>
      <c r="O4" s="77"/>
      <c r="P4" s="91"/>
      <c r="Q4" s="91"/>
      <c r="R4" s="51">
        <v>3</v>
      </c>
      <c r="S4" s="51">
        <v>3</v>
      </c>
      <c r="T4" s="51">
        <v>2</v>
      </c>
      <c r="U4" s="52">
        <v>24</v>
      </c>
      <c r="V4" s="52">
        <v>0.071429</v>
      </c>
      <c r="W4" s="52">
        <v>0.11243</v>
      </c>
      <c r="X4" s="52">
        <v>1.063152</v>
      </c>
      <c r="Y4" s="52">
        <v>0.3333333333333333</v>
      </c>
      <c r="Z4" s="52">
        <v>0.6666666666666666</v>
      </c>
      <c r="AA4" s="83">
        <v>4</v>
      </c>
      <c r="AB4" s="83"/>
      <c r="AC4" s="92"/>
      <c r="AD4" s="51"/>
      <c r="AE4" s="51"/>
      <c r="AF4" s="51"/>
      <c r="AG4" s="51"/>
      <c r="AH4" s="51"/>
      <c r="AI4" s="51"/>
      <c r="AJ4" s="110" t="s">
        <v>230</v>
      </c>
      <c r="AK4" s="110" t="s">
        <v>230</v>
      </c>
      <c r="AL4" s="110" t="s">
        <v>230</v>
      </c>
      <c r="AM4" s="110" t="s">
        <v>230</v>
      </c>
      <c r="AN4" s="107" t="str">
        <f>REPLACE(INDEX(GroupVertices[Group],MATCH(Vertices[[#This Row],[Vertex]],GroupVertices[Vertex],0)),1,1,"")</f>
        <v>1</v>
      </c>
      <c r="AO4" s="2"/>
      <c r="AP4" s="3"/>
      <c r="AQ4" s="3"/>
      <c r="AR4" s="3"/>
      <c r="AS4" s="3"/>
    </row>
    <row r="5" spans="1:45" ht="15">
      <c r="A5" s="14" t="s">
        <v>175</v>
      </c>
      <c r="B5" s="15"/>
      <c r="C5" s="15"/>
      <c r="D5" s="87">
        <v>20</v>
      </c>
      <c r="E5" s="82">
        <v>95.83333333333333</v>
      </c>
      <c r="F5" s="15"/>
      <c r="G5" s="15"/>
      <c r="H5" s="16" t="s">
        <v>175</v>
      </c>
      <c r="I5" s="66"/>
      <c r="J5" s="66" t="s">
        <v>69</v>
      </c>
      <c r="K5" s="16" t="s">
        <v>247</v>
      </c>
      <c r="L5" s="89"/>
      <c r="M5" s="90">
        <v>1970.34765625</v>
      </c>
      <c r="N5" s="90">
        <v>7807.22412109375</v>
      </c>
      <c r="O5" s="77"/>
      <c r="P5" s="91"/>
      <c r="Q5" s="91"/>
      <c r="R5" s="51">
        <v>4</v>
      </c>
      <c r="S5" s="51">
        <v>4</v>
      </c>
      <c r="T5" s="51">
        <v>4</v>
      </c>
      <c r="U5" s="52">
        <v>22</v>
      </c>
      <c r="V5" s="52">
        <v>0.083333</v>
      </c>
      <c r="W5" s="52">
        <v>0.199814</v>
      </c>
      <c r="X5" s="52">
        <v>1.548561</v>
      </c>
      <c r="Y5" s="52">
        <v>0.35</v>
      </c>
      <c r="Z5" s="52">
        <v>0.6</v>
      </c>
      <c r="AA5" s="83">
        <v>5</v>
      </c>
      <c r="AB5" s="83"/>
      <c r="AC5" s="92"/>
      <c r="AD5" s="51"/>
      <c r="AE5" s="51"/>
      <c r="AF5" s="51"/>
      <c r="AG5" s="51"/>
      <c r="AH5" s="51"/>
      <c r="AI5" s="51"/>
      <c r="AJ5" s="110" t="s">
        <v>230</v>
      </c>
      <c r="AK5" s="110" t="s">
        <v>230</v>
      </c>
      <c r="AL5" s="110" t="s">
        <v>230</v>
      </c>
      <c r="AM5" s="110" t="s">
        <v>230</v>
      </c>
      <c r="AN5" s="107" t="str">
        <f>REPLACE(INDEX(GroupVertices[Group],MATCH(Vertices[[#This Row],[Vertex]],GroupVertices[Vertex],0)),1,1,"")</f>
        <v>1</v>
      </c>
      <c r="AO5" s="2"/>
      <c r="AP5" s="3"/>
      <c r="AQ5" s="3"/>
      <c r="AR5" s="3"/>
      <c r="AS5" s="3"/>
    </row>
    <row r="6" spans="1:45" ht="15">
      <c r="A6" s="14" t="s">
        <v>179</v>
      </c>
      <c r="B6" s="15"/>
      <c r="C6" s="15"/>
      <c r="D6" s="87">
        <v>18.29217738901144</v>
      </c>
      <c r="E6" s="82">
        <v>50</v>
      </c>
      <c r="F6" s="15"/>
      <c r="G6" s="15"/>
      <c r="H6" s="16" t="s">
        <v>179</v>
      </c>
      <c r="I6" s="66"/>
      <c r="J6" s="66"/>
      <c r="K6" s="16" t="s">
        <v>248</v>
      </c>
      <c r="L6" s="89"/>
      <c r="M6" s="90">
        <v>318.76763916015625</v>
      </c>
      <c r="N6" s="90">
        <v>3709.0478515625</v>
      </c>
      <c r="O6" s="77"/>
      <c r="P6" s="91"/>
      <c r="Q6" s="91"/>
      <c r="R6" s="51">
        <v>3</v>
      </c>
      <c r="S6" s="51">
        <v>2</v>
      </c>
      <c r="T6" s="51">
        <v>1</v>
      </c>
      <c r="U6" s="52">
        <v>0</v>
      </c>
      <c r="V6" s="52">
        <v>0.058824</v>
      </c>
      <c r="W6" s="52">
        <v>0.151503</v>
      </c>
      <c r="X6" s="52">
        <v>0.942838</v>
      </c>
      <c r="Y6" s="52">
        <v>1</v>
      </c>
      <c r="Z6" s="52">
        <v>0</v>
      </c>
      <c r="AA6" s="83">
        <v>6</v>
      </c>
      <c r="AB6" s="83"/>
      <c r="AC6" s="92"/>
      <c r="AD6" s="51"/>
      <c r="AE6" s="51"/>
      <c r="AF6" s="51"/>
      <c r="AG6" s="51"/>
      <c r="AH6" s="51"/>
      <c r="AI6" s="51"/>
      <c r="AJ6" s="110" t="s">
        <v>230</v>
      </c>
      <c r="AK6" s="110" t="s">
        <v>230</v>
      </c>
      <c r="AL6" s="110" t="s">
        <v>230</v>
      </c>
      <c r="AM6" s="110" t="s">
        <v>230</v>
      </c>
      <c r="AN6" s="107" t="str">
        <f>REPLACE(INDEX(GroupVertices[Group],MATCH(Vertices[[#This Row],[Vertex]],GroupVertices[Vertex],0)),1,1,"")</f>
        <v>1</v>
      </c>
      <c r="AO6" s="2"/>
      <c r="AP6" s="3"/>
      <c r="AQ6" s="3"/>
      <c r="AR6" s="3"/>
      <c r="AS6" s="3"/>
    </row>
    <row r="7" spans="1:45" ht="15">
      <c r="A7" s="14" t="s">
        <v>176</v>
      </c>
      <c r="B7" s="15"/>
      <c r="C7" s="15"/>
      <c r="D7" s="87">
        <v>19.20194855980726</v>
      </c>
      <c r="E7" s="82">
        <v>58.333333333333336</v>
      </c>
      <c r="F7" s="15"/>
      <c r="G7" s="15"/>
      <c r="H7" s="16" t="s">
        <v>176</v>
      </c>
      <c r="I7" s="66"/>
      <c r="J7" s="66" t="s">
        <v>71</v>
      </c>
      <c r="K7" s="16" t="s">
        <v>247</v>
      </c>
      <c r="L7" s="89"/>
      <c r="M7" s="90">
        <v>2247.591064453125</v>
      </c>
      <c r="N7" s="90">
        <v>545.4791259765625</v>
      </c>
      <c r="O7" s="77"/>
      <c r="P7" s="91"/>
      <c r="Q7" s="91"/>
      <c r="R7" s="51">
        <v>4</v>
      </c>
      <c r="S7" s="51">
        <v>3</v>
      </c>
      <c r="T7" s="51">
        <v>4</v>
      </c>
      <c r="U7" s="52">
        <v>4</v>
      </c>
      <c r="V7" s="52">
        <v>0.066667</v>
      </c>
      <c r="W7" s="52">
        <v>0.175572</v>
      </c>
      <c r="X7" s="52">
        <v>1.24585</v>
      </c>
      <c r="Y7" s="52">
        <v>0.4166666666666667</v>
      </c>
      <c r="Z7" s="52">
        <v>0.75</v>
      </c>
      <c r="AA7" s="83">
        <v>7</v>
      </c>
      <c r="AB7" s="83"/>
      <c r="AC7" s="92"/>
      <c r="AD7" s="51"/>
      <c r="AE7" s="51"/>
      <c r="AF7" s="51"/>
      <c r="AG7" s="51"/>
      <c r="AH7" s="51"/>
      <c r="AI7" s="51"/>
      <c r="AJ7" s="110" t="s">
        <v>230</v>
      </c>
      <c r="AK7" s="110" t="s">
        <v>230</v>
      </c>
      <c r="AL7" s="110" t="s">
        <v>230</v>
      </c>
      <c r="AM7" s="110" t="s">
        <v>230</v>
      </c>
      <c r="AN7" s="107" t="str">
        <f>REPLACE(INDEX(GroupVertices[Group],MATCH(Vertices[[#This Row],[Vertex]],GroupVertices[Vertex],0)),1,1,"")</f>
        <v>1</v>
      </c>
      <c r="AO7" s="2"/>
      <c r="AP7" s="3"/>
      <c r="AQ7" s="3"/>
      <c r="AR7" s="3"/>
      <c r="AS7" s="3"/>
    </row>
    <row r="8" spans="1:45" ht="15">
      <c r="A8" s="93" t="s">
        <v>178</v>
      </c>
      <c r="B8" s="94"/>
      <c r="C8" s="94"/>
      <c r="D8" s="95">
        <v>16.407508275607015</v>
      </c>
      <c r="E8" s="96">
        <v>79.16666666666667</v>
      </c>
      <c r="F8" s="94"/>
      <c r="G8" s="94"/>
      <c r="H8" s="97" t="s">
        <v>178</v>
      </c>
      <c r="I8" s="98"/>
      <c r="J8" s="98"/>
      <c r="K8" s="97" t="s">
        <v>249</v>
      </c>
      <c r="L8" s="99"/>
      <c r="M8" s="100">
        <v>6043.3515625</v>
      </c>
      <c r="N8" s="100">
        <v>5675.82470703125</v>
      </c>
      <c r="O8" s="101"/>
      <c r="P8" s="102"/>
      <c r="Q8" s="102"/>
      <c r="R8" s="51">
        <v>2</v>
      </c>
      <c r="S8" s="51">
        <v>2</v>
      </c>
      <c r="T8" s="51">
        <v>3</v>
      </c>
      <c r="U8" s="52">
        <v>14</v>
      </c>
      <c r="V8" s="52">
        <v>0.0625</v>
      </c>
      <c r="W8" s="52">
        <v>0.111627</v>
      </c>
      <c r="X8" s="52">
        <v>1.061014</v>
      </c>
      <c r="Y8" s="52">
        <v>0.3333333333333333</v>
      </c>
      <c r="Z8" s="52">
        <v>0.6666666666666666</v>
      </c>
      <c r="AA8" s="103">
        <v>8</v>
      </c>
      <c r="AB8" s="103"/>
      <c r="AC8" s="104"/>
      <c r="AD8" s="51"/>
      <c r="AE8" s="51"/>
      <c r="AF8" s="51"/>
      <c r="AG8" s="51"/>
      <c r="AH8" s="51"/>
      <c r="AI8" s="51"/>
      <c r="AJ8" s="110" t="s">
        <v>230</v>
      </c>
      <c r="AK8" s="110" t="s">
        <v>230</v>
      </c>
      <c r="AL8" s="110" t="s">
        <v>230</v>
      </c>
      <c r="AM8" s="110" t="s">
        <v>230</v>
      </c>
      <c r="AN8" s="107" t="str">
        <f>REPLACE(INDEX(GroupVertices[Group],MATCH(Vertices[[#This Row],[Vertex]],GroupVertices[Vertex],0)),1,1,"")</f>
        <v>3</v>
      </c>
      <c r="AO8" s="2"/>
      <c r="AP8" s="3"/>
      <c r="AQ8" s="3"/>
      <c r="AR8" s="3"/>
      <c r="AS8" s="3"/>
    </row>
    <row r="9" spans="1:40" ht="15">
      <c r="A9" s="93" t="s">
        <v>239</v>
      </c>
      <c r="B9" s="94"/>
      <c r="C9" s="94"/>
      <c r="D9" s="95">
        <v>8.439462520133274</v>
      </c>
      <c r="E9" s="96">
        <v>50</v>
      </c>
      <c r="F9" s="94"/>
      <c r="G9" s="94"/>
      <c r="H9" s="97" t="s">
        <v>239</v>
      </c>
      <c r="I9" s="98"/>
      <c r="J9" s="98" t="s">
        <v>71</v>
      </c>
      <c r="K9" s="97" t="s">
        <v>250</v>
      </c>
      <c r="L9" s="99"/>
      <c r="M9" s="100">
        <v>9406.591796875</v>
      </c>
      <c r="N9" s="100">
        <v>8934.884765625</v>
      </c>
      <c r="O9" s="101"/>
      <c r="P9" s="102"/>
      <c r="Q9" s="102"/>
      <c r="R9" s="51">
        <v>1</v>
      </c>
      <c r="S9" s="51">
        <v>1</v>
      </c>
      <c r="T9" s="51">
        <v>1</v>
      </c>
      <c r="U9" s="52">
        <v>0</v>
      </c>
      <c r="V9" s="52">
        <v>0.043478</v>
      </c>
      <c r="W9" s="52">
        <v>0.030686</v>
      </c>
      <c r="X9" s="52">
        <v>0.450617</v>
      </c>
      <c r="Y9" s="52">
        <v>0</v>
      </c>
      <c r="Z9" s="52">
        <v>1</v>
      </c>
      <c r="AA9" s="103">
        <v>9</v>
      </c>
      <c r="AB9" s="103"/>
      <c r="AC9" s="121"/>
      <c r="AD9" s="51"/>
      <c r="AE9" s="51"/>
      <c r="AF9" s="51"/>
      <c r="AG9" s="51"/>
      <c r="AH9" s="51"/>
      <c r="AI9" s="51"/>
      <c r="AJ9" s="110" t="s">
        <v>230</v>
      </c>
      <c r="AK9" s="110" t="s">
        <v>230</v>
      </c>
      <c r="AL9" s="110" t="s">
        <v>230</v>
      </c>
      <c r="AM9" s="110" t="s">
        <v>230</v>
      </c>
      <c r="AN9" s="107" t="str">
        <f>REPLACE(INDEX(GroupVertices[Group],MATCH(Vertices[[#This Row],[Vertex]],GroupVertices[Vertex],0)),1,1,"")</f>
        <v>3</v>
      </c>
    </row>
    <row r="10" spans="1:40" ht="15">
      <c r="A10" s="93" t="s">
        <v>240</v>
      </c>
      <c r="B10" s="94"/>
      <c r="C10" s="94"/>
      <c r="D10" s="95">
        <v>8.968484266660917</v>
      </c>
      <c r="E10" s="96">
        <v>79.16666666666667</v>
      </c>
      <c r="F10" s="94"/>
      <c r="G10" s="94"/>
      <c r="H10" s="97" t="s">
        <v>240</v>
      </c>
      <c r="I10" s="98"/>
      <c r="J10" s="98" t="s">
        <v>71</v>
      </c>
      <c r="K10" s="97" t="s">
        <v>249</v>
      </c>
      <c r="L10" s="99"/>
      <c r="M10" s="100">
        <v>9356.3515625</v>
      </c>
      <c r="N10" s="100">
        <v>585.5389404296875</v>
      </c>
      <c r="O10" s="101"/>
      <c r="P10" s="102"/>
      <c r="Q10" s="102"/>
      <c r="R10" s="51">
        <v>2</v>
      </c>
      <c r="S10" s="51">
        <v>2</v>
      </c>
      <c r="T10" s="51">
        <v>2</v>
      </c>
      <c r="U10" s="52">
        <v>14</v>
      </c>
      <c r="V10" s="52">
        <v>0.052632</v>
      </c>
      <c r="W10" s="52">
        <v>0.033433</v>
      </c>
      <c r="X10" s="52">
        <v>0.906015</v>
      </c>
      <c r="Y10" s="52">
        <v>0</v>
      </c>
      <c r="Z10" s="52">
        <v>1</v>
      </c>
      <c r="AA10" s="103">
        <v>10</v>
      </c>
      <c r="AB10" s="103"/>
      <c r="AC10" s="121"/>
      <c r="AD10" s="51"/>
      <c r="AE10" s="51"/>
      <c r="AF10" s="51"/>
      <c r="AG10" s="51"/>
      <c r="AH10" s="51"/>
      <c r="AI10" s="51"/>
      <c r="AJ10" s="110" t="s">
        <v>230</v>
      </c>
      <c r="AK10" s="110" t="s">
        <v>230</v>
      </c>
      <c r="AL10" s="110" t="s">
        <v>230</v>
      </c>
      <c r="AM10" s="110" t="s">
        <v>230</v>
      </c>
      <c r="AN10" s="107" t="str">
        <f>REPLACE(INDEX(GroupVertices[Group],MATCH(Vertices[[#This Row],[Vertex]],GroupVertices[Vertex],0)),1,1,"")</f>
        <v>2</v>
      </c>
    </row>
    <row r="11" spans="1:40" ht="15">
      <c r="A11" s="93" t="s">
        <v>251</v>
      </c>
      <c r="B11" s="94"/>
      <c r="C11" s="94"/>
      <c r="D11" s="95">
        <v>1</v>
      </c>
      <c r="E11" s="96">
        <v>50</v>
      </c>
      <c r="F11" s="94"/>
      <c r="G11" s="94"/>
      <c r="H11" s="97" t="s">
        <v>251</v>
      </c>
      <c r="I11" s="98"/>
      <c r="J11" s="98" t="s">
        <v>69</v>
      </c>
      <c r="K11" s="97" t="s">
        <v>250</v>
      </c>
      <c r="L11" s="99"/>
      <c r="M11" s="100">
        <v>5807.896484375</v>
      </c>
      <c r="N11" s="100">
        <v>3978.382080078125</v>
      </c>
      <c r="O11" s="101"/>
      <c r="P11" s="102"/>
      <c r="Q11" s="102"/>
      <c r="R11" s="51">
        <v>1</v>
      </c>
      <c r="S11" s="51">
        <v>1</v>
      </c>
      <c r="T11" s="51">
        <v>1</v>
      </c>
      <c r="U11" s="52">
        <v>0</v>
      </c>
      <c r="V11" s="52">
        <v>0.038462</v>
      </c>
      <c r="W11" s="52">
        <v>0.00919</v>
      </c>
      <c r="X11" s="52">
        <v>0.535053</v>
      </c>
      <c r="Y11" s="52">
        <v>0</v>
      </c>
      <c r="Z11" s="52">
        <v>1</v>
      </c>
      <c r="AA11" s="103">
        <v>11</v>
      </c>
      <c r="AB11" s="103"/>
      <c r="AC11" s="121"/>
      <c r="AD11" s="51"/>
      <c r="AE11" s="51"/>
      <c r="AF11" s="51"/>
      <c r="AG11" s="51"/>
      <c r="AH11" s="51"/>
      <c r="AI11" s="51"/>
      <c r="AJ11" s="110" t="s">
        <v>230</v>
      </c>
      <c r="AK11" s="110" t="s">
        <v>230</v>
      </c>
      <c r="AL11" s="110" t="s">
        <v>230</v>
      </c>
      <c r="AM11" s="110" t="s">
        <v>230</v>
      </c>
      <c r="AN11" s="107" t="str">
        <f>REPLACE(INDEX(GroupVertices[Group],MATCH(Vertices[[#This Row],[Vertex]],GroupVertices[Vertex],0)),1,1,"")</f>
        <v>2</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AO3"/>
    <dataValidation allowBlank="1" showErrorMessage="1" sqref="A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
  <sheetViews>
    <sheetView workbookViewId="0" topLeftCell="S1">
      <pane ySplit="2" topLeftCell="A3" activePane="bottomLeft" state="frozen"/>
      <selection pane="bottomLeft" activeCell="A2" sqref="A2:AF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203</v>
      </c>
      <c r="Z2" s="13" t="s">
        <v>205</v>
      </c>
      <c r="AA2" s="13" t="s">
        <v>207</v>
      </c>
      <c r="AB2" s="13" t="s">
        <v>214</v>
      </c>
      <c r="AC2" s="13" t="s">
        <v>216</v>
      </c>
      <c r="AD2" s="13" t="s">
        <v>219</v>
      </c>
      <c r="AE2" s="13" t="s">
        <v>220</v>
      </c>
      <c r="AF2" s="13" t="s">
        <v>222</v>
      </c>
    </row>
    <row r="3" spans="1:32" ht="15">
      <c r="A3" s="134" t="s">
        <v>254</v>
      </c>
      <c r="B3" s="135" t="s">
        <v>243</v>
      </c>
      <c r="C3" s="135" t="s">
        <v>56</v>
      </c>
      <c r="D3" s="126"/>
      <c r="E3" s="125"/>
      <c r="F3" s="127" t="s">
        <v>291</v>
      </c>
      <c r="G3" s="128"/>
      <c r="H3" s="128"/>
      <c r="I3" s="129">
        <v>3</v>
      </c>
      <c r="J3" s="130"/>
      <c r="K3" s="51">
        <v>5</v>
      </c>
      <c r="L3" s="51">
        <v>8</v>
      </c>
      <c r="M3" s="51">
        <v>11</v>
      </c>
      <c r="N3" s="51">
        <v>19</v>
      </c>
      <c r="O3" s="51">
        <v>0</v>
      </c>
      <c r="P3" s="52">
        <v>0.5</v>
      </c>
      <c r="Q3" s="52">
        <v>0.6666666666666666</v>
      </c>
      <c r="R3" s="51">
        <v>1</v>
      </c>
      <c r="S3" s="51">
        <v>0</v>
      </c>
      <c r="T3" s="51">
        <v>5</v>
      </c>
      <c r="U3" s="51">
        <v>19</v>
      </c>
      <c r="V3" s="51">
        <v>2</v>
      </c>
      <c r="W3" s="52">
        <v>0.96</v>
      </c>
      <c r="X3" s="52">
        <v>0.6</v>
      </c>
      <c r="Y3" s="105"/>
      <c r="Z3" s="105"/>
      <c r="AA3" s="105"/>
      <c r="AB3" s="107" t="s">
        <v>230</v>
      </c>
      <c r="AC3" s="107" t="s">
        <v>230</v>
      </c>
      <c r="AD3" s="105"/>
      <c r="AE3" s="105"/>
      <c r="AF3" s="105"/>
    </row>
    <row r="4" spans="1:32" ht="15">
      <c r="A4" s="138" t="s">
        <v>255</v>
      </c>
      <c r="B4" s="135" t="s">
        <v>244</v>
      </c>
      <c r="C4" s="135" t="s">
        <v>56</v>
      </c>
      <c r="D4" s="132"/>
      <c r="E4" s="94"/>
      <c r="F4" s="97" t="s">
        <v>292</v>
      </c>
      <c r="G4" s="101"/>
      <c r="H4" s="101"/>
      <c r="I4" s="133">
        <v>4</v>
      </c>
      <c r="J4" s="103"/>
      <c r="K4" s="51">
        <v>2</v>
      </c>
      <c r="L4" s="51">
        <v>2</v>
      </c>
      <c r="M4" s="51">
        <v>0</v>
      </c>
      <c r="N4" s="51">
        <v>2</v>
      </c>
      <c r="O4" s="51">
        <v>0</v>
      </c>
      <c r="P4" s="52">
        <v>1</v>
      </c>
      <c r="Q4" s="52">
        <v>1</v>
      </c>
      <c r="R4" s="51">
        <v>1</v>
      </c>
      <c r="S4" s="51">
        <v>0</v>
      </c>
      <c r="T4" s="51">
        <v>2</v>
      </c>
      <c r="U4" s="51">
        <v>2</v>
      </c>
      <c r="V4" s="51">
        <v>1</v>
      </c>
      <c r="W4" s="52">
        <v>0.5</v>
      </c>
      <c r="X4" s="52">
        <v>1</v>
      </c>
      <c r="Y4" s="105"/>
      <c r="Z4" s="105"/>
      <c r="AA4" s="105"/>
      <c r="AB4" s="107" t="s">
        <v>230</v>
      </c>
      <c r="AC4" s="107" t="s">
        <v>230</v>
      </c>
      <c r="AD4" s="105"/>
      <c r="AE4" s="105"/>
      <c r="AF4" s="105"/>
    </row>
    <row r="5" spans="1:32" ht="15">
      <c r="A5" s="138" t="s">
        <v>290</v>
      </c>
      <c r="B5" s="135" t="s">
        <v>245</v>
      </c>
      <c r="C5" s="135" t="s">
        <v>56</v>
      </c>
      <c r="D5" s="132"/>
      <c r="E5" s="94"/>
      <c r="F5" s="97" t="s">
        <v>293</v>
      </c>
      <c r="G5" s="101"/>
      <c r="H5" s="101"/>
      <c r="I5" s="133">
        <v>5</v>
      </c>
      <c r="J5" s="103"/>
      <c r="K5" s="51">
        <v>2</v>
      </c>
      <c r="L5" s="51">
        <v>2</v>
      </c>
      <c r="M5" s="51">
        <v>0</v>
      </c>
      <c r="N5" s="51">
        <v>2</v>
      </c>
      <c r="O5" s="51">
        <v>0</v>
      </c>
      <c r="P5" s="52">
        <v>1</v>
      </c>
      <c r="Q5" s="52">
        <v>1</v>
      </c>
      <c r="R5" s="51">
        <v>1</v>
      </c>
      <c r="S5" s="51">
        <v>0</v>
      </c>
      <c r="T5" s="51">
        <v>2</v>
      </c>
      <c r="U5" s="51">
        <v>2</v>
      </c>
      <c r="V5" s="51">
        <v>1</v>
      </c>
      <c r="W5" s="52">
        <v>0.5</v>
      </c>
      <c r="X5" s="52">
        <v>1</v>
      </c>
      <c r="Y5" s="105"/>
      <c r="Z5" s="105"/>
      <c r="AA5" s="105"/>
      <c r="AB5" s="107" t="s">
        <v>230</v>
      </c>
      <c r="AC5" s="107" t="s">
        <v>230</v>
      </c>
      <c r="AD5" s="105"/>
      <c r="AE5" s="105"/>
      <c r="AF5" s="105"/>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105" t="s">
        <v>254</v>
      </c>
      <c r="B2" s="107" t="s">
        <v>176</v>
      </c>
      <c r="C2" s="105">
        <f>VLOOKUP(GroupVertices[[#This Row],[Vertex]],Vertices[],MATCH("ID",Vertices[[#Headers],[Vertex]:[Vertex Group]],0),FALSE)</f>
        <v>7</v>
      </c>
    </row>
    <row r="3" spans="1:3" ht="15">
      <c r="A3" s="105" t="s">
        <v>254</v>
      </c>
      <c r="B3" s="107" t="s">
        <v>179</v>
      </c>
      <c r="C3" s="105">
        <f>VLOOKUP(GroupVertices[[#This Row],[Vertex]],Vertices[],MATCH("ID",Vertices[[#Headers],[Vertex]:[Vertex Group]],0),FALSE)</f>
        <v>6</v>
      </c>
    </row>
    <row r="4" spans="1:3" ht="15">
      <c r="A4" s="105" t="s">
        <v>254</v>
      </c>
      <c r="B4" s="107" t="s">
        <v>175</v>
      </c>
      <c r="C4" s="105">
        <f>VLOOKUP(GroupVertices[[#This Row],[Vertex]],Vertices[],MATCH("ID",Vertices[[#Headers],[Vertex]:[Vertex Group]],0),FALSE)</f>
        <v>5</v>
      </c>
    </row>
    <row r="5" spans="1:3" ht="15">
      <c r="A5" s="105" t="s">
        <v>254</v>
      </c>
      <c r="B5" s="107" t="s">
        <v>177</v>
      </c>
      <c r="C5" s="105">
        <f>VLOOKUP(GroupVertices[[#This Row],[Vertex]],Vertices[],MATCH("ID",Vertices[[#Headers],[Vertex]:[Vertex Group]],0),FALSE)</f>
        <v>4</v>
      </c>
    </row>
    <row r="6" spans="1:3" ht="15">
      <c r="A6" s="105" t="s">
        <v>254</v>
      </c>
      <c r="B6" s="107" t="s">
        <v>174</v>
      </c>
      <c r="C6" s="105">
        <f>VLOOKUP(GroupVertices[[#This Row],[Vertex]],Vertices[],MATCH("ID",Vertices[[#Headers],[Vertex]:[Vertex Group]],0),FALSE)</f>
        <v>3</v>
      </c>
    </row>
    <row r="7" spans="1:3" ht="15">
      <c r="A7" s="105" t="s">
        <v>255</v>
      </c>
      <c r="B7" s="107" t="s">
        <v>240</v>
      </c>
      <c r="C7" s="105">
        <f>VLOOKUP(GroupVertices[[#This Row],[Vertex]],Vertices[],MATCH("ID",Vertices[[#Headers],[Vertex]:[Vertex Group]],0),FALSE)</f>
        <v>10</v>
      </c>
    </row>
    <row r="8" spans="1:3" ht="15">
      <c r="A8" s="105" t="s">
        <v>255</v>
      </c>
      <c r="B8" s="107" t="s">
        <v>251</v>
      </c>
      <c r="C8" s="105">
        <f>VLOOKUP(GroupVertices[[#This Row],[Vertex]],Vertices[],MATCH("ID",Vertices[[#Headers],[Vertex]:[Vertex Group]],0),FALSE)</f>
        <v>11</v>
      </c>
    </row>
    <row r="9" spans="1:3" ht="15">
      <c r="A9" s="105" t="s">
        <v>290</v>
      </c>
      <c r="B9" s="107" t="s">
        <v>239</v>
      </c>
      <c r="C9" s="105">
        <f>VLOOKUP(GroupVertices[[#This Row],[Vertex]],Vertices[],MATCH("ID",Vertices[[#Headers],[Vertex]:[Vertex Group]],0),FALSE)</f>
        <v>9</v>
      </c>
    </row>
    <row r="10" spans="1:3" ht="15">
      <c r="A10" s="105" t="s">
        <v>290</v>
      </c>
      <c r="B10" s="107" t="s">
        <v>178</v>
      </c>
      <c r="C10" s="105">
        <f>VLOOKUP(GroupVertices[[#This Row],[Vertex]],Vertices[],MATCH("ID",Vertices[[#Headers],[Vertex]:[Vertex Group]],0),FALSE)</f>
        <v>8</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27">
      <selection activeCell="C26" sqref="C2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197</v>
      </c>
      <c r="B2" s="36" t="s">
        <v>246</v>
      </c>
      <c r="D2" s="33">
        <f>MIN(Vertices[Degree])</f>
        <v>1</v>
      </c>
      <c r="E2" s="3">
        <f>COUNTIF(Vertices[Degree],"&gt;= "&amp;D2)-COUNTIF(Vertices[Degree],"&gt;="&amp;D3)</f>
        <v>2</v>
      </c>
      <c r="F2" s="39">
        <f>MIN(Vertices[In-Degree])</f>
        <v>1</v>
      </c>
      <c r="G2" s="40">
        <f>COUNTIF(Vertices[In-Degree],"&gt;= "&amp;F2)-COUNTIF(Vertices[In-Degree],"&gt;="&amp;F3)</f>
        <v>2</v>
      </c>
      <c r="H2" s="39">
        <f>MIN(Vertices[Out-Degree])</f>
        <v>1</v>
      </c>
      <c r="I2" s="40">
        <f>COUNTIF(Vertices[Out-Degree],"&gt;= "&amp;H2)-COUNTIF(Vertices[Out-Degree],"&gt;="&amp;H3)</f>
        <v>3</v>
      </c>
      <c r="J2" s="39">
        <f>MIN(Vertices[Betweenness Centrality])</f>
        <v>0</v>
      </c>
      <c r="K2" s="40">
        <f>COUNTIF(Vertices[Betweenness Centrality],"&gt;= "&amp;J2)-COUNTIF(Vertices[Betweenness Centrality],"&gt;="&amp;J3)</f>
        <v>3</v>
      </c>
      <c r="L2" s="39">
        <f>MIN(Vertices[Closeness Centrality])</f>
        <v>0.038462</v>
      </c>
      <c r="M2" s="40">
        <f>COUNTIF(Vertices[Closeness Centrality],"&gt;= "&amp;L2)-COUNTIF(Vertices[Closeness Centrality],"&gt;="&amp;L3)</f>
        <v>1</v>
      </c>
      <c r="N2" s="39">
        <f>MIN(Vertices[Eigenvector Centrality])</f>
        <v>0.00919</v>
      </c>
      <c r="O2" s="40">
        <f>COUNTIF(Vertices[Eigenvector Centrality],"&gt;= "&amp;N2)-COUNTIF(Vertices[Eigenvector Centrality],"&gt;="&amp;N3)</f>
        <v>1</v>
      </c>
      <c r="P2" s="39">
        <f>MIN(Vertices[PageRank])</f>
        <v>0.450617</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06"/>
      <c r="B3" s="106"/>
      <c r="D3" s="34">
        <f aca="true" t="shared" si="1" ref="D3:D26">D2+($D$57-$D$2)/BinDivisor</f>
        <v>1.0545454545454545</v>
      </c>
      <c r="E3" s="3">
        <f>COUNTIF(Vertices[Degree],"&gt;= "&amp;D3)-COUNTIF(Vertices[Degree],"&gt;="&amp;D4)</f>
        <v>0</v>
      </c>
      <c r="F3" s="41">
        <f aca="true" t="shared" si="2" ref="F3:F26">F2+($F$57-$F$2)/BinDivisor</f>
        <v>1.0545454545454545</v>
      </c>
      <c r="G3" s="42">
        <f>COUNTIF(Vertices[In-Degree],"&gt;= "&amp;F3)-COUNTIF(Vertices[In-Degree],"&gt;="&amp;F4)</f>
        <v>0</v>
      </c>
      <c r="H3" s="41">
        <f aca="true" t="shared" si="3" ref="H3:H26">H2+($H$57-$H$2)/BinDivisor</f>
        <v>1.0545454545454545</v>
      </c>
      <c r="I3" s="42">
        <f>COUNTIF(Vertices[Out-Degree],"&gt;= "&amp;H3)-COUNTIF(Vertices[Out-Degree],"&gt;="&amp;H4)</f>
        <v>0</v>
      </c>
      <c r="J3" s="41">
        <f aca="true" t="shared" si="4" ref="J3:J26">J2+($J$57-$J$2)/BinDivisor</f>
        <v>0.43636363636363634</v>
      </c>
      <c r="K3" s="42">
        <f>COUNTIF(Vertices[Betweenness Centrality],"&gt;= "&amp;J3)-COUNTIF(Vertices[Betweenness Centrality],"&gt;="&amp;J4)</f>
        <v>0</v>
      </c>
      <c r="L3" s="41">
        <f aca="true" t="shared" si="5" ref="L3:L26">L2+($L$57-$L$2)/BinDivisor</f>
        <v>0.03927783636363637</v>
      </c>
      <c r="M3" s="42">
        <f>COUNTIF(Vertices[Closeness Centrality],"&gt;= "&amp;L3)-COUNTIF(Vertices[Closeness Centrality],"&gt;="&amp;L4)</f>
        <v>0</v>
      </c>
      <c r="N3" s="41">
        <f aca="true" t="shared" si="6" ref="N3:N26">N2+($N$57-$N$2)/BinDivisor</f>
        <v>0.01265589090909091</v>
      </c>
      <c r="O3" s="42">
        <f>COUNTIF(Vertices[Eigenvector Centrality],"&gt;= "&amp;N3)-COUNTIF(Vertices[Eigenvector Centrality],"&gt;="&amp;N4)</f>
        <v>0</v>
      </c>
      <c r="P3" s="41">
        <f aca="true" t="shared" si="7" ref="P3:P26">P2+($P$57-$P$2)/BinDivisor</f>
        <v>0.47057961818181815</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1.109090909090909</v>
      </c>
      <c r="E4" s="3">
        <f>COUNTIF(Vertices[Degree],"&gt;= "&amp;D4)-COUNTIF(Vertices[Degree],"&gt;="&amp;D5)</f>
        <v>0</v>
      </c>
      <c r="F4" s="39">
        <f t="shared" si="2"/>
        <v>1.109090909090909</v>
      </c>
      <c r="G4" s="40">
        <f>COUNTIF(Vertices[In-Degree],"&gt;= "&amp;F4)-COUNTIF(Vertices[In-Degree],"&gt;="&amp;F5)</f>
        <v>0</v>
      </c>
      <c r="H4" s="39">
        <f t="shared" si="3"/>
        <v>1.109090909090909</v>
      </c>
      <c r="I4" s="40">
        <f>COUNTIF(Vertices[Out-Degree],"&gt;= "&amp;H4)-COUNTIF(Vertices[Out-Degree],"&gt;="&amp;H5)</f>
        <v>0</v>
      </c>
      <c r="J4" s="39">
        <f t="shared" si="4"/>
        <v>0.8727272727272727</v>
      </c>
      <c r="K4" s="40">
        <f>COUNTIF(Vertices[Betweenness Centrality],"&gt;= "&amp;J4)-COUNTIF(Vertices[Betweenness Centrality],"&gt;="&amp;J5)</f>
        <v>0</v>
      </c>
      <c r="L4" s="39">
        <f t="shared" si="5"/>
        <v>0.04009367272727273</v>
      </c>
      <c r="M4" s="40">
        <f>COUNTIF(Vertices[Closeness Centrality],"&gt;= "&amp;L4)-COUNTIF(Vertices[Closeness Centrality],"&gt;="&amp;L5)</f>
        <v>0</v>
      </c>
      <c r="N4" s="39">
        <f t="shared" si="6"/>
        <v>0.01612178181818182</v>
      </c>
      <c r="O4" s="40">
        <f>COUNTIF(Vertices[Eigenvector Centrality],"&gt;= "&amp;N4)-COUNTIF(Vertices[Eigenvector Centrality],"&gt;="&amp;N5)</f>
        <v>0</v>
      </c>
      <c r="P4" s="39">
        <f t="shared" si="7"/>
        <v>0.4905422363636363</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06"/>
      <c r="B5" s="106"/>
      <c r="D5" s="34">
        <f t="shared" si="1"/>
        <v>1.1636363636363634</v>
      </c>
      <c r="E5" s="3">
        <f>COUNTIF(Vertices[Degree],"&gt;= "&amp;D5)-COUNTIF(Vertices[Degree],"&gt;="&amp;D6)</f>
        <v>0</v>
      </c>
      <c r="F5" s="41">
        <f t="shared" si="2"/>
        <v>1.1636363636363634</v>
      </c>
      <c r="G5" s="42">
        <f>COUNTIF(Vertices[In-Degree],"&gt;= "&amp;F5)-COUNTIF(Vertices[In-Degree],"&gt;="&amp;F6)</f>
        <v>0</v>
      </c>
      <c r="H5" s="41">
        <f t="shared" si="3"/>
        <v>1.1636363636363634</v>
      </c>
      <c r="I5" s="42">
        <f>COUNTIF(Vertices[Out-Degree],"&gt;= "&amp;H5)-COUNTIF(Vertices[Out-Degree],"&gt;="&amp;H6)</f>
        <v>0</v>
      </c>
      <c r="J5" s="41">
        <f t="shared" si="4"/>
        <v>1.309090909090909</v>
      </c>
      <c r="K5" s="42">
        <f>COUNTIF(Vertices[Betweenness Centrality],"&gt;= "&amp;J5)-COUNTIF(Vertices[Betweenness Centrality],"&gt;="&amp;J6)</f>
        <v>0</v>
      </c>
      <c r="L5" s="41">
        <f t="shared" si="5"/>
        <v>0.040909509090909096</v>
      </c>
      <c r="M5" s="42">
        <f>COUNTIF(Vertices[Closeness Centrality],"&gt;= "&amp;L5)-COUNTIF(Vertices[Closeness Centrality],"&gt;="&amp;L6)</f>
        <v>0</v>
      </c>
      <c r="N5" s="41">
        <f t="shared" si="6"/>
        <v>0.01958767272727273</v>
      </c>
      <c r="O5" s="42">
        <f>COUNTIF(Vertices[Eigenvector Centrality],"&gt;= "&amp;N5)-COUNTIF(Vertices[Eigenvector Centrality],"&gt;="&amp;N6)</f>
        <v>0</v>
      </c>
      <c r="P5" s="41">
        <f t="shared" si="7"/>
        <v>0.5105048545454545</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17</v>
      </c>
      <c r="D6" s="34">
        <f t="shared" si="1"/>
        <v>1.2181818181818178</v>
      </c>
      <c r="E6" s="3">
        <f>COUNTIF(Vertices[Degree],"&gt;= "&amp;D6)-COUNTIF(Vertices[Degree],"&gt;="&amp;D7)</f>
        <v>0</v>
      </c>
      <c r="F6" s="39">
        <f t="shared" si="2"/>
        <v>1.2181818181818178</v>
      </c>
      <c r="G6" s="40">
        <f>COUNTIF(Vertices[In-Degree],"&gt;= "&amp;F6)-COUNTIF(Vertices[In-Degree],"&gt;="&amp;F7)</f>
        <v>0</v>
      </c>
      <c r="H6" s="39">
        <f t="shared" si="3"/>
        <v>1.2181818181818178</v>
      </c>
      <c r="I6" s="40">
        <f>COUNTIF(Vertices[Out-Degree],"&gt;= "&amp;H6)-COUNTIF(Vertices[Out-Degree],"&gt;="&amp;H7)</f>
        <v>0</v>
      </c>
      <c r="J6" s="39">
        <f t="shared" si="4"/>
        <v>1.7454545454545454</v>
      </c>
      <c r="K6" s="40">
        <f>COUNTIF(Vertices[Betweenness Centrality],"&gt;= "&amp;J6)-COUNTIF(Vertices[Betweenness Centrality],"&gt;="&amp;J7)</f>
        <v>0</v>
      </c>
      <c r="L6" s="39">
        <f t="shared" si="5"/>
        <v>0.04172534545454546</v>
      </c>
      <c r="M6" s="40">
        <f>COUNTIF(Vertices[Closeness Centrality],"&gt;= "&amp;L6)-COUNTIF(Vertices[Closeness Centrality],"&gt;="&amp;L7)</f>
        <v>0</v>
      </c>
      <c r="N6" s="39">
        <f t="shared" si="6"/>
        <v>0.023053563636363638</v>
      </c>
      <c r="O6" s="40">
        <f>COUNTIF(Vertices[Eigenvector Centrality],"&gt;= "&amp;N6)-COUNTIF(Vertices[Eigenvector Centrality],"&gt;="&amp;N7)</f>
        <v>0</v>
      </c>
      <c r="P6" s="39">
        <f t="shared" si="7"/>
        <v>0.5304674727272727</v>
      </c>
      <c r="Q6" s="40">
        <f>COUNTIF(Vertices[PageRank],"&gt;= "&amp;P6)-COUNTIF(Vertices[PageRank],"&gt;="&amp;P7)</f>
        <v>1</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11</v>
      </c>
      <c r="D7" s="34">
        <f t="shared" si="1"/>
        <v>1.2727272727272723</v>
      </c>
      <c r="E7" s="3">
        <f>COUNTIF(Vertices[Degree],"&gt;= "&amp;D7)-COUNTIF(Vertices[Degree],"&gt;="&amp;D8)</f>
        <v>0</v>
      </c>
      <c r="F7" s="41">
        <f t="shared" si="2"/>
        <v>1.2727272727272723</v>
      </c>
      <c r="G7" s="42">
        <f>COUNTIF(Vertices[In-Degree],"&gt;= "&amp;F7)-COUNTIF(Vertices[In-Degree],"&gt;="&amp;F8)</f>
        <v>0</v>
      </c>
      <c r="H7" s="41">
        <f t="shared" si="3"/>
        <v>1.2727272727272723</v>
      </c>
      <c r="I7" s="42">
        <f>COUNTIF(Vertices[Out-Degree],"&gt;= "&amp;H7)-COUNTIF(Vertices[Out-Degree],"&gt;="&amp;H8)</f>
        <v>0</v>
      </c>
      <c r="J7" s="41">
        <f t="shared" si="4"/>
        <v>2.1818181818181817</v>
      </c>
      <c r="K7" s="42">
        <f>COUNTIF(Vertices[Betweenness Centrality],"&gt;= "&amp;J7)-COUNTIF(Vertices[Betweenness Centrality],"&gt;="&amp;J8)</f>
        <v>0</v>
      </c>
      <c r="L7" s="41">
        <f t="shared" si="5"/>
        <v>0.042541181818181825</v>
      </c>
      <c r="M7" s="42">
        <f>COUNTIF(Vertices[Closeness Centrality],"&gt;= "&amp;L7)-COUNTIF(Vertices[Closeness Centrality],"&gt;="&amp;L8)</f>
        <v>0</v>
      </c>
      <c r="N7" s="41">
        <f t="shared" si="6"/>
        <v>0.026519454545454547</v>
      </c>
      <c r="O7" s="42">
        <f>COUNTIF(Vertices[Eigenvector Centrality],"&gt;= "&amp;N7)-COUNTIF(Vertices[Eigenvector Centrality],"&gt;="&amp;N8)</f>
        <v>0</v>
      </c>
      <c r="P7" s="41">
        <f t="shared" si="7"/>
        <v>0.5504300909090909</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28</v>
      </c>
      <c r="D8" s="34">
        <f t="shared" si="1"/>
        <v>1.3272727272727267</v>
      </c>
      <c r="E8" s="3">
        <f>COUNTIF(Vertices[Degree],"&gt;= "&amp;D8)-COUNTIF(Vertices[Degree],"&gt;="&amp;D9)</f>
        <v>0</v>
      </c>
      <c r="F8" s="39">
        <f t="shared" si="2"/>
        <v>1.3272727272727267</v>
      </c>
      <c r="G8" s="40">
        <f>COUNTIF(Vertices[In-Degree],"&gt;= "&amp;F8)-COUNTIF(Vertices[In-Degree],"&gt;="&amp;F9)</f>
        <v>0</v>
      </c>
      <c r="H8" s="39">
        <f t="shared" si="3"/>
        <v>1.3272727272727267</v>
      </c>
      <c r="I8" s="40">
        <f>COUNTIF(Vertices[Out-Degree],"&gt;= "&amp;H8)-COUNTIF(Vertices[Out-Degree],"&gt;="&amp;H9)</f>
        <v>0</v>
      </c>
      <c r="J8" s="39">
        <f t="shared" si="4"/>
        <v>2.618181818181818</v>
      </c>
      <c r="K8" s="40">
        <f>COUNTIF(Vertices[Betweenness Centrality],"&gt;= "&amp;J8)-COUNTIF(Vertices[Betweenness Centrality],"&gt;="&amp;J9)</f>
        <v>0</v>
      </c>
      <c r="L8" s="39">
        <f t="shared" si="5"/>
        <v>0.04335701818181819</v>
      </c>
      <c r="M8" s="40">
        <f>COUNTIF(Vertices[Closeness Centrality],"&gt;= "&amp;L8)-COUNTIF(Vertices[Closeness Centrality],"&gt;="&amp;L9)</f>
        <v>1</v>
      </c>
      <c r="N8" s="39">
        <f t="shared" si="6"/>
        <v>0.029985345454545457</v>
      </c>
      <c r="O8" s="40">
        <f>COUNTIF(Vertices[Eigenvector Centrality],"&gt;= "&amp;N8)-COUNTIF(Vertices[Eigenvector Centrality],"&gt;="&amp;N9)</f>
        <v>2</v>
      </c>
      <c r="P8" s="39">
        <f t="shared" si="7"/>
        <v>0.5703927090909091</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06"/>
      <c r="B9" s="106"/>
      <c r="D9" s="34">
        <f t="shared" si="1"/>
        <v>1.3818181818181812</v>
      </c>
      <c r="E9" s="3">
        <f>COUNTIF(Vertices[Degree],"&gt;= "&amp;D9)-COUNTIF(Vertices[Degree],"&gt;="&amp;D10)</f>
        <v>0</v>
      </c>
      <c r="F9" s="41">
        <f t="shared" si="2"/>
        <v>1.3818181818181812</v>
      </c>
      <c r="G9" s="42">
        <f>COUNTIF(Vertices[In-Degree],"&gt;= "&amp;F9)-COUNTIF(Vertices[In-Degree],"&gt;="&amp;F10)</f>
        <v>0</v>
      </c>
      <c r="H9" s="41">
        <f t="shared" si="3"/>
        <v>1.3818181818181812</v>
      </c>
      <c r="I9" s="42">
        <f>COUNTIF(Vertices[Out-Degree],"&gt;= "&amp;H9)-COUNTIF(Vertices[Out-Degree],"&gt;="&amp;H10)</f>
        <v>0</v>
      </c>
      <c r="J9" s="41">
        <f t="shared" si="4"/>
        <v>3.0545454545454547</v>
      </c>
      <c r="K9" s="42">
        <f>COUNTIF(Vertices[Betweenness Centrality],"&gt;= "&amp;J9)-COUNTIF(Vertices[Betweenness Centrality],"&gt;="&amp;J10)</f>
        <v>0</v>
      </c>
      <c r="L9" s="41">
        <f t="shared" si="5"/>
        <v>0.044172854545454554</v>
      </c>
      <c r="M9" s="42">
        <f>COUNTIF(Vertices[Closeness Centrality],"&gt;= "&amp;L9)-COUNTIF(Vertices[Closeness Centrality],"&gt;="&amp;L10)</f>
        <v>0</v>
      </c>
      <c r="N9" s="41">
        <f t="shared" si="6"/>
        <v>0.033451236363636366</v>
      </c>
      <c r="O9" s="42">
        <f>COUNTIF(Vertices[Eigenvector Centrality],"&gt;= "&amp;N9)-COUNTIF(Vertices[Eigenvector Centrality],"&gt;="&amp;N10)</f>
        <v>0</v>
      </c>
      <c r="P9" s="41">
        <f t="shared" si="7"/>
        <v>0.5903553272727273</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1.4363636363636356</v>
      </c>
      <c r="E10" s="3">
        <f>COUNTIF(Vertices[Degree],"&gt;= "&amp;D10)-COUNTIF(Vertices[Degree],"&gt;="&amp;D11)</f>
        <v>0</v>
      </c>
      <c r="F10" s="39">
        <f t="shared" si="2"/>
        <v>1.4363636363636356</v>
      </c>
      <c r="G10" s="40">
        <f>COUNTIF(Vertices[In-Degree],"&gt;= "&amp;F10)-COUNTIF(Vertices[In-Degree],"&gt;="&amp;F11)</f>
        <v>0</v>
      </c>
      <c r="H10" s="39">
        <f t="shared" si="3"/>
        <v>1.4363636363636356</v>
      </c>
      <c r="I10" s="40">
        <f>COUNTIF(Vertices[Out-Degree],"&gt;= "&amp;H10)-COUNTIF(Vertices[Out-Degree],"&gt;="&amp;H11)</f>
        <v>0</v>
      </c>
      <c r="J10" s="39">
        <f t="shared" si="4"/>
        <v>3.490909090909091</v>
      </c>
      <c r="K10" s="40">
        <f>COUNTIF(Vertices[Betweenness Centrality],"&gt;= "&amp;J10)-COUNTIF(Vertices[Betweenness Centrality],"&gt;="&amp;J11)</f>
        <v>0</v>
      </c>
      <c r="L10" s="39">
        <f t="shared" si="5"/>
        <v>0.04498869090909092</v>
      </c>
      <c r="M10" s="40">
        <f>COUNTIF(Vertices[Closeness Centrality],"&gt;= "&amp;L10)-COUNTIF(Vertices[Closeness Centrality],"&gt;="&amp;L11)</f>
        <v>0</v>
      </c>
      <c r="N10" s="39">
        <f t="shared" si="6"/>
        <v>0.03691712727272727</v>
      </c>
      <c r="O10" s="40">
        <f>COUNTIF(Vertices[Eigenvector Centrality],"&gt;= "&amp;N10)-COUNTIF(Vertices[Eigenvector Centrality],"&gt;="&amp;N11)</f>
        <v>0</v>
      </c>
      <c r="P10" s="39">
        <f t="shared" si="7"/>
        <v>0.6103179454545455</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06"/>
      <c r="B11" s="106"/>
      <c r="D11" s="34">
        <f t="shared" si="1"/>
        <v>1.49090909090909</v>
      </c>
      <c r="E11" s="3">
        <f>COUNTIF(Vertices[Degree],"&gt;= "&amp;D11)-COUNTIF(Vertices[Degree],"&gt;="&amp;D12)</f>
        <v>0</v>
      </c>
      <c r="F11" s="41">
        <f t="shared" si="2"/>
        <v>1.49090909090909</v>
      </c>
      <c r="G11" s="42">
        <f>COUNTIF(Vertices[In-Degree],"&gt;= "&amp;F11)-COUNTIF(Vertices[In-Degree],"&gt;="&amp;F12)</f>
        <v>0</v>
      </c>
      <c r="H11" s="41">
        <f t="shared" si="3"/>
        <v>1.49090909090909</v>
      </c>
      <c r="I11" s="42">
        <f>COUNTIF(Vertices[Out-Degree],"&gt;= "&amp;H11)-COUNTIF(Vertices[Out-Degree],"&gt;="&amp;H12)</f>
        <v>0</v>
      </c>
      <c r="J11" s="41">
        <f t="shared" si="4"/>
        <v>3.9272727272727277</v>
      </c>
      <c r="K11" s="42">
        <f>COUNTIF(Vertices[Betweenness Centrality],"&gt;= "&amp;J11)-COUNTIF(Vertices[Betweenness Centrality],"&gt;="&amp;J12)</f>
        <v>1</v>
      </c>
      <c r="L11" s="41">
        <f t="shared" si="5"/>
        <v>0.04580452727272728</v>
      </c>
      <c r="M11" s="42">
        <f>COUNTIF(Vertices[Closeness Centrality],"&gt;= "&amp;L11)-COUNTIF(Vertices[Closeness Centrality],"&gt;="&amp;L12)</f>
        <v>0</v>
      </c>
      <c r="N11" s="41">
        <f t="shared" si="6"/>
        <v>0.04038301818181818</v>
      </c>
      <c r="O11" s="42">
        <f>COUNTIF(Vertices[Eigenvector Centrality],"&gt;= "&amp;N11)-COUNTIF(Vertices[Eigenvector Centrality],"&gt;="&amp;N12)</f>
        <v>0</v>
      </c>
      <c r="P11" s="41">
        <f t="shared" si="7"/>
        <v>0.6302805636363638</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170</v>
      </c>
      <c r="B12" s="36">
        <v>0.6153846153846154</v>
      </c>
      <c r="D12" s="34">
        <f t="shared" si="1"/>
        <v>1.5454545454545445</v>
      </c>
      <c r="E12" s="3">
        <f>COUNTIF(Vertices[Degree],"&gt;= "&amp;D12)-COUNTIF(Vertices[Degree],"&gt;="&amp;D13)</f>
        <v>0</v>
      </c>
      <c r="F12" s="39">
        <f t="shared" si="2"/>
        <v>1.5454545454545445</v>
      </c>
      <c r="G12" s="40">
        <f>COUNTIF(Vertices[In-Degree],"&gt;= "&amp;F12)-COUNTIF(Vertices[In-Degree],"&gt;="&amp;F13)</f>
        <v>0</v>
      </c>
      <c r="H12" s="39">
        <f t="shared" si="3"/>
        <v>1.5454545454545445</v>
      </c>
      <c r="I12" s="40">
        <f>COUNTIF(Vertices[Out-Degree],"&gt;= "&amp;H12)-COUNTIF(Vertices[Out-Degree],"&gt;="&amp;H13)</f>
        <v>0</v>
      </c>
      <c r="J12" s="39">
        <f t="shared" si="4"/>
        <v>4.363636363636364</v>
      </c>
      <c r="K12" s="40">
        <f>COUNTIF(Vertices[Betweenness Centrality],"&gt;= "&amp;J12)-COUNTIF(Vertices[Betweenness Centrality],"&gt;="&amp;J13)</f>
        <v>0</v>
      </c>
      <c r="L12" s="39">
        <f t="shared" si="5"/>
        <v>0.04662036363636365</v>
      </c>
      <c r="M12" s="40">
        <f>COUNTIF(Vertices[Closeness Centrality],"&gt;= "&amp;L12)-COUNTIF(Vertices[Closeness Centrality],"&gt;="&amp;L13)</f>
        <v>0</v>
      </c>
      <c r="N12" s="39">
        <f t="shared" si="6"/>
        <v>0.043848909090909084</v>
      </c>
      <c r="O12" s="40">
        <f>COUNTIF(Vertices[Eigenvector Centrality],"&gt;= "&amp;N12)-COUNTIF(Vertices[Eigenvector Centrality],"&gt;="&amp;N13)</f>
        <v>0</v>
      </c>
      <c r="P12" s="39">
        <f t="shared" si="7"/>
        <v>0.650243181818182</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171</v>
      </c>
      <c r="B13" s="36">
        <v>0.7619047619047619</v>
      </c>
      <c r="D13" s="34">
        <f t="shared" si="1"/>
        <v>1.599999999999999</v>
      </c>
      <c r="E13" s="3">
        <f>COUNTIF(Vertices[Degree],"&gt;= "&amp;D13)-COUNTIF(Vertices[Degree],"&gt;="&amp;D14)</f>
        <v>0</v>
      </c>
      <c r="F13" s="41">
        <f t="shared" si="2"/>
        <v>1.599999999999999</v>
      </c>
      <c r="G13" s="42">
        <f>COUNTIF(Vertices[In-Degree],"&gt;= "&amp;F13)-COUNTIF(Vertices[In-Degree],"&gt;="&amp;F14)</f>
        <v>0</v>
      </c>
      <c r="H13" s="41">
        <f t="shared" si="3"/>
        <v>1.599999999999999</v>
      </c>
      <c r="I13" s="42">
        <f>COUNTIF(Vertices[Out-Degree],"&gt;= "&amp;H13)-COUNTIF(Vertices[Out-Degree],"&gt;="&amp;H14)</f>
        <v>0</v>
      </c>
      <c r="J13" s="41">
        <f t="shared" si="4"/>
        <v>4.800000000000001</v>
      </c>
      <c r="K13" s="42">
        <f>COUNTIF(Vertices[Betweenness Centrality],"&gt;= "&amp;J13)-COUNTIF(Vertices[Betweenness Centrality],"&gt;="&amp;J14)</f>
        <v>0</v>
      </c>
      <c r="L13" s="41">
        <f t="shared" si="5"/>
        <v>0.04743620000000001</v>
      </c>
      <c r="M13" s="42">
        <f>COUNTIF(Vertices[Closeness Centrality],"&gt;= "&amp;L13)-COUNTIF(Vertices[Closeness Centrality],"&gt;="&amp;L14)</f>
        <v>0</v>
      </c>
      <c r="N13" s="41">
        <f t="shared" si="6"/>
        <v>0.04731479999999999</v>
      </c>
      <c r="O13" s="42">
        <f>COUNTIF(Vertices[Eigenvector Centrality],"&gt;= "&amp;N13)-COUNTIF(Vertices[Eigenvector Centrality],"&gt;="&amp;N14)</f>
        <v>0</v>
      </c>
      <c r="P13" s="41">
        <f t="shared" si="7"/>
        <v>0.6702058000000002</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06"/>
      <c r="B14" s="106"/>
      <c r="D14" s="34">
        <f t="shared" si="1"/>
        <v>1.6545454545454534</v>
      </c>
      <c r="E14" s="3">
        <f>COUNTIF(Vertices[Degree],"&gt;= "&amp;D14)-COUNTIF(Vertices[Degree],"&gt;="&amp;D15)</f>
        <v>0</v>
      </c>
      <c r="F14" s="39">
        <f t="shared" si="2"/>
        <v>1.6545454545454534</v>
      </c>
      <c r="G14" s="40">
        <f>COUNTIF(Vertices[In-Degree],"&gt;= "&amp;F14)-COUNTIF(Vertices[In-Degree],"&gt;="&amp;F15)</f>
        <v>0</v>
      </c>
      <c r="H14" s="39">
        <f t="shared" si="3"/>
        <v>1.6545454545454534</v>
      </c>
      <c r="I14" s="40">
        <f>COUNTIF(Vertices[Out-Degree],"&gt;= "&amp;H14)-COUNTIF(Vertices[Out-Degree],"&gt;="&amp;H15)</f>
        <v>0</v>
      </c>
      <c r="J14" s="39">
        <f t="shared" si="4"/>
        <v>5.236363636363637</v>
      </c>
      <c r="K14" s="40">
        <f>COUNTIF(Vertices[Betweenness Centrality],"&gt;= "&amp;J14)-COUNTIF(Vertices[Betweenness Centrality],"&gt;="&amp;J15)</f>
        <v>0</v>
      </c>
      <c r="L14" s="39">
        <f t="shared" si="5"/>
        <v>0.048252036363636376</v>
      </c>
      <c r="M14" s="40">
        <f>COUNTIF(Vertices[Closeness Centrality],"&gt;= "&amp;L14)-COUNTIF(Vertices[Closeness Centrality],"&gt;="&amp;L15)</f>
        <v>0</v>
      </c>
      <c r="N14" s="39">
        <f t="shared" si="6"/>
        <v>0.050780690909090896</v>
      </c>
      <c r="O14" s="40">
        <f>COUNTIF(Vertices[Eigenvector Centrality],"&gt;= "&amp;N14)-COUNTIF(Vertices[Eigenvector Centrality],"&gt;="&amp;N15)</f>
        <v>0</v>
      </c>
      <c r="P14" s="39">
        <f t="shared" si="7"/>
        <v>0.6901684181818184</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1.7090909090909079</v>
      </c>
      <c r="E15" s="3">
        <f>COUNTIF(Vertices[Degree],"&gt;= "&amp;D15)-COUNTIF(Vertices[Degree],"&gt;="&amp;D16)</f>
        <v>0</v>
      </c>
      <c r="F15" s="41">
        <f t="shared" si="2"/>
        <v>1.7090909090909079</v>
      </c>
      <c r="G15" s="42">
        <f>COUNTIF(Vertices[In-Degree],"&gt;= "&amp;F15)-COUNTIF(Vertices[In-Degree],"&gt;="&amp;F16)</f>
        <v>0</v>
      </c>
      <c r="H15" s="41">
        <f t="shared" si="3"/>
        <v>1.7090909090909079</v>
      </c>
      <c r="I15" s="42">
        <f>COUNTIF(Vertices[Out-Degree],"&gt;= "&amp;H15)-COUNTIF(Vertices[Out-Degree],"&gt;="&amp;H16)</f>
        <v>0</v>
      </c>
      <c r="J15" s="41">
        <f t="shared" si="4"/>
        <v>5.672727272727274</v>
      </c>
      <c r="K15" s="42">
        <f>COUNTIF(Vertices[Betweenness Centrality],"&gt;= "&amp;J15)-COUNTIF(Vertices[Betweenness Centrality],"&gt;="&amp;J16)</f>
        <v>1</v>
      </c>
      <c r="L15" s="41">
        <f t="shared" si="5"/>
        <v>0.04906787272727274</v>
      </c>
      <c r="M15" s="42">
        <f>COUNTIF(Vertices[Closeness Centrality],"&gt;= "&amp;L15)-COUNTIF(Vertices[Closeness Centrality],"&gt;="&amp;L16)</f>
        <v>0</v>
      </c>
      <c r="N15" s="41">
        <f t="shared" si="6"/>
        <v>0.0542465818181818</v>
      </c>
      <c r="O15" s="42">
        <f>COUNTIF(Vertices[Eigenvector Centrality],"&gt;= "&amp;N15)-COUNTIF(Vertices[Eigenvector Centrality],"&gt;="&amp;N16)</f>
        <v>0</v>
      </c>
      <c r="P15" s="41">
        <f t="shared" si="7"/>
        <v>0.7101310363636366</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1.7636363636363623</v>
      </c>
      <c r="E16" s="3">
        <f>COUNTIF(Vertices[Degree],"&gt;= "&amp;D16)-COUNTIF(Vertices[Degree],"&gt;="&amp;D17)</f>
        <v>0</v>
      </c>
      <c r="F16" s="39">
        <f t="shared" si="2"/>
        <v>1.7636363636363623</v>
      </c>
      <c r="G16" s="40">
        <f>COUNTIF(Vertices[In-Degree],"&gt;= "&amp;F16)-COUNTIF(Vertices[In-Degree],"&gt;="&amp;F17)</f>
        <v>0</v>
      </c>
      <c r="H16" s="39">
        <f t="shared" si="3"/>
        <v>1.7636363636363623</v>
      </c>
      <c r="I16" s="40">
        <f>COUNTIF(Vertices[Out-Degree],"&gt;= "&amp;H16)-COUNTIF(Vertices[Out-Degree],"&gt;="&amp;H17)</f>
        <v>0</v>
      </c>
      <c r="J16" s="39">
        <f t="shared" si="4"/>
        <v>6.10909090909091</v>
      </c>
      <c r="K16" s="40">
        <f>COUNTIF(Vertices[Betweenness Centrality],"&gt;= "&amp;J16)-COUNTIF(Vertices[Betweenness Centrality],"&gt;="&amp;J17)</f>
        <v>0</v>
      </c>
      <c r="L16" s="39">
        <f t="shared" si="5"/>
        <v>0.049883709090909105</v>
      </c>
      <c r="M16" s="40">
        <f>COUNTIF(Vertices[Closeness Centrality],"&gt;= "&amp;L16)-COUNTIF(Vertices[Closeness Centrality],"&gt;="&amp;L17)</f>
        <v>0</v>
      </c>
      <c r="N16" s="39">
        <f t="shared" si="6"/>
        <v>0.05771247272727271</v>
      </c>
      <c r="O16" s="40">
        <f>COUNTIF(Vertices[Eigenvector Centrality],"&gt;= "&amp;N16)-COUNTIF(Vertices[Eigenvector Centrality],"&gt;="&amp;N17)</f>
        <v>0</v>
      </c>
      <c r="P16" s="39">
        <f t="shared" si="7"/>
        <v>0.7300936545454548</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154</v>
      </c>
      <c r="B17" s="36">
        <v>9</v>
      </c>
      <c r="D17" s="34">
        <f t="shared" si="1"/>
        <v>1.8181818181818168</v>
      </c>
      <c r="E17" s="3">
        <f>COUNTIF(Vertices[Degree],"&gt;= "&amp;D17)-COUNTIF(Vertices[Degree],"&gt;="&amp;D18)</f>
        <v>0</v>
      </c>
      <c r="F17" s="41">
        <f t="shared" si="2"/>
        <v>1.8181818181818168</v>
      </c>
      <c r="G17" s="42">
        <f>COUNTIF(Vertices[In-Degree],"&gt;= "&amp;F17)-COUNTIF(Vertices[In-Degree],"&gt;="&amp;F18)</f>
        <v>0</v>
      </c>
      <c r="H17" s="41">
        <f t="shared" si="3"/>
        <v>1.8181818181818168</v>
      </c>
      <c r="I17" s="42">
        <f>COUNTIF(Vertices[Out-Degree],"&gt;= "&amp;H17)-COUNTIF(Vertices[Out-Degree],"&gt;="&amp;H18)</f>
        <v>0</v>
      </c>
      <c r="J17" s="41">
        <f t="shared" si="4"/>
        <v>6.545454545454547</v>
      </c>
      <c r="K17" s="42">
        <f>COUNTIF(Vertices[Betweenness Centrality],"&gt;= "&amp;J17)-COUNTIF(Vertices[Betweenness Centrality],"&gt;="&amp;J18)</f>
        <v>0</v>
      </c>
      <c r="L17" s="41">
        <f t="shared" si="5"/>
        <v>0.05069954545454547</v>
      </c>
      <c r="M17" s="42">
        <f>COUNTIF(Vertices[Closeness Centrality],"&gt;= "&amp;L17)-COUNTIF(Vertices[Closeness Centrality],"&gt;="&amp;L18)</f>
        <v>0</v>
      </c>
      <c r="N17" s="41">
        <f t="shared" si="6"/>
        <v>0.061178363636363614</v>
      </c>
      <c r="O17" s="42">
        <f>COUNTIF(Vertices[Eigenvector Centrality],"&gt;= "&amp;N17)-COUNTIF(Vertices[Eigenvector Centrality],"&gt;="&amp;N18)</f>
        <v>0</v>
      </c>
      <c r="P17" s="41">
        <f t="shared" si="7"/>
        <v>0.750056272727273</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155</v>
      </c>
      <c r="B18" s="36">
        <v>28</v>
      </c>
      <c r="D18" s="34">
        <f t="shared" si="1"/>
        <v>1.8727272727272712</v>
      </c>
      <c r="E18" s="3">
        <f>COUNTIF(Vertices[Degree],"&gt;= "&amp;D18)-COUNTIF(Vertices[Degree],"&gt;="&amp;D19)</f>
        <v>0</v>
      </c>
      <c r="F18" s="39">
        <f t="shared" si="2"/>
        <v>1.8727272727272712</v>
      </c>
      <c r="G18" s="40">
        <f>COUNTIF(Vertices[In-Degree],"&gt;= "&amp;F18)-COUNTIF(Vertices[In-Degree],"&gt;="&amp;F19)</f>
        <v>0</v>
      </c>
      <c r="H18" s="39">
        <f t="shared" si="3"/>
        <v>1.8727272727272712</v>
      </c>
      <c r="I18" s="40">
        <f>COUNTIF(Vertices[Out-Degree],"&gt;= "&amp;H18)-COUNTIF(Vertices[Out-Degree],"&gt;="&amp;H19)</f>
        <v>0</v>
      </c>
      <c r="J18" s="39">
        <f t="shared" si="4"/>
        <v>6.981818181818183</v>
      </c>
      <c r="K18" s="40">
        <f>COUNTIF(Vertices[Betweenness Centrality],"&gt;= "&amp;J18)-COUNTIF(Vertices[Betweenness Centrality],"&gt;="&amp;J19)</f>
        <v>0</v>
      </c>
      <c r="L18" s="39">
        <f t="shared" si="5"/>
        <v>0.051515381818181834</v>
      </c>
      <c r="M18" s="40">
        <f>COUNTIF(Vertices[Closeness Centrality],"&gt;= "&amp;L18)-COUNTIF(Vertices[Closeness Centrality],"&gt;="&amp;L19)</f>
        <v>0</v>
      </c>
      <c r="N18" s="39">
        <f t="shared" si="6"/>
        <v>0.06464425454545453</v>
      </c>
      <c r="O18" s="40">
        <f>COUNTIF(Vertices[Eigenvector Centrality],"&gt;= "&amp;N18)-COUNTIF(Vertices[Eigenvector Centrality],"&gt;="&amp;N19)</f>
        <v>0</v>
      </c>
      <c r="P18" s="39">
        <f t="shared" si="7"/>
        <v>0.7700188909090913</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06"/>
      <c r="B19" s="106"/>
      <c r="D19" s="34">
        <f t="shared" si="1"/>
        <v>1.9272727272727257</v>
      </c>
      <c r="E19" s="3">
        <f>COUNTIF(Vertices[Degree],"&gt;= "&amp;D19)-COUNTIF(Vertices[Degree],"&gt;="&amp;D20)</f>
        <v>0</v>
      </c>
      <c r="F19" s="41">
        <f t="shared" si="2"/>
        <v>1.9272727272727257</v>
      </c>
      <c r="G19" s="42">
        <f>COUNTIF(Vertices[In-Degree],"&gt;= "&amp;F19)-COUNTIF(Vertices[In-Degree],"&gt;="&amp;F20)</f>
        <v>0</v>
      </c>
      <c r="H19" s="41">
        <f t="shared" si="3"/>
        <v>1.9272727272727257</v>
      </c>
      <c r="I19" s="42">
        <f>COUNTIF(Vertices[Out-Degree],"&gt;= "&amp;H19)-COUNTIF(Vertices[Out-Degree],"&gt;="&amp;H20)</f>
        <v>0</v>
      </c>
      <c r="J19" s="41">
        <f t="shared" si="4"/>
        <v>7.41818181818182</v>
      </c>
      <c r="K19" s="42">
        <f>COUNTIF(Vertices[Betweenness Centrality],"&gt;= "&amp;J19)-COUNTIF(Vertices[Betweenness Centrality],"&gt;="&amp;J20)</f>
        <v>0</v>
      </c>
      <c r="L19" s="41">
        <f t="shared" si="5"/>
        <v>0.0523312181818182</v>
      </c>
      <c r="M19" s="42">
        <f>COUNTIF(Vertices[Closeness Centrality],"&gt;= "&amp;L19)-COUNTIF(Vertices[Closeness Centrality],"&gt;="&amp;L20)</f>
        <v>1</v>
      </c>
      <c r="N19" s="41">
        <f t="shared" si="6"/>
        <v>0.06811014545454544</v>
      </c>
      <c r="O19" s="42">
        <f>COUNTIF(Vertices[Eigenvector Centrality],"&gt;= "&amp;N19)-COUNTIF(Vertices[Eigenvector Centrality],"&gt;="&amp;N20)</f>
        <v>0</v>
      </c>
      <c r="P19" s="41">
        <f t="shared" si="7"/>
        <v>0.7899815090909095</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156</v>
      </c>
      <c r="B20" s="36">
        <v>5</v>
      </c>
      <c r="D20" s="34">
        <f t="shared" si="1"/>
        <v>1.9818181818181801</v>
      </c>
      <c r="E20" s="3">
        <f>COUNTIF(Vertices[Degree],"&gt;= "&amp;D20)-COUNTIF(Vertices[Degree],"&gt;="&amp;D21)</f>
        <v>2</v>
      </c>
      <c r="F20" s="39">
        <f t="shared" si="2"/>
        <v>1.9818181818181801</v>
      </c>
      <c r="G20" s="40">
        <f>COUNTIF(Vertices[In-Degree],"&gt;= "&amp;F20)-COUNTIF(Vertices[In-Degree],"&gt;="&amp;F21)</f>
        <v>3</v>
      </c>
      <c r="H20" s="39">
        <f t="shared" si="3"/>
        <v>1.9818181818181801</v>
      </c>
      <c r="I20" s="40">
        <f>COUNTIF(Vertices[Out-Degree],"&gt;= "&amp;H20)-COUNTIF(Vertices[Out-Degree],"&gt;="&amp;H21)</f>
        <v>2</v>
      </c>
      <c r="J20" s="39">
        <f t="shared" si="4"/>
        <v>7.854545454545456</v>
      </c>
      <c r="K20" s="40">
        <f>COUNTIF(Vertices[Betweenness Centrality],"&gt;= "&amp;J20)-COUNTIF(Vertices[Betweenness Centrality],"&gt;="&amp;J21)</f>
        <v>0</v>
      </c>
      <c r="L20" s="39">
        <f t="shared" si="5"/>
        <v>0.05314705454545456</v>
      </c>
      <c r="M20" s="40">
        <f>COUNTIF(Vertices[Closeness Centrality],"&gt;= "&amp;L20)-COUNTIF(Vertices[Closeness Centrality],"&gt;="&amp;L21)</f>
        <v>0</v>
      </c>
      <c r="N20" s="39">
        <f t="shared" si="6"/>
        <v>0.07157603636363635</v>
      </c>
      <c r="O20" s="40">
        <f>COUNTIF(Vertices[Eigenvector Centrality],"&gt;= "&amp;N20)-COUNTIF(Vertices[Eigenvector Centrality],"&gt;="&amp;N21)</f>
        <v>0</v>
      </c>
      <c r="P20" s="39">
        <f t="shared" si="7"/>
        <v>0.8099441272727277</v>
      </c>
      <c r="Q20" s="40">
        <f>COUNTIF(Vertices[PageRank],"&gt;= "&amp;P20)-COUNTIF(Vertices[PageRank],"&gt;="&amp;P21)</f>
        <v>0</v>
      </c>
      <c r="R20" s="39">
        <f t="shared" si="8"/>
        <v>0.3272727272727273</v>
      </c>
      <c r="S20" s="45">
        <f>COUNTIF(Vertices[Clustering Coefficient],"&gt;= "&amp;R20)-COUNTIF(Vertices[Clustering Coefficient],"&gt;="&amp;R21)</f>
        <v>2</v>
      </c>
      <c r="T20" s="39" t="e">
        <f ca="1" t="shared" si="9"/>
        <v>#REF!</v>
      </c>
      <c r="U20" s="40" t="e">
        <f ca="1" t="shared" si="0"/>
        <v>#REF!</v>
      </c>
    </row>
    <row r="21" spans="1:21" ht="15">
      <c r="A21" s="36" t="s">
        <v>157</v>
      </c>
      <c r="B21" s="36">
        <v>1.925926</v>
      </c>
      <c r="D21" s="34">
        <f t="shared" si="1"/>
        <v>2.036363636363635</v>
      </c>
      <c r="E21" s="3">
        <f>COUNTIF(Vertices[Degree],"&gt;= "&amp;D21)-COUNTIF(Vertices[Degree],"&gt;="&amp;D22)</f>
        <v>0</v>
      </c>
      <c r="F21" s="41">
        <f t="shared" si="2"/>
        <v>2.036363636363635</v>
      </c>
      <c r="G21" s="42">
        <f>COUNTIF(Vertices[In-Degree],"&gt;= "&amp;F21)-COUNTIF(Vertices[In-Degree],"&gt;="&amp;F22)</f>
        <v>0</v>
      </c>
      <c r="H21" s="41">
        <f t="shared" si="3"/>
        <v>2.036363636363635</v>
      </c>
      <c r="I21" s="42">
        <f>COUNTIF(Vertices[Out-Degree],"&gt;= "&amp;H21)-COUNTIF(Vertices[Out-Degree],"&gt;="&amp;H22)</f>
        <v>0</v>
      </c>
      <c r="J21" s="41">
        <f t="shared" si="4"/>
        <v>8.290909090909093</v>
      </c>
      <c r="K21" s="42">
        <f>COUNTIF(Vertices[Betweenness Centrality],"&gt;= "&amp;J21)-COUNTIF(Vertices[Betweenness Centrality],"&gt;="&amp;J22)</f>
        <v>0</v>
      </c>
      <c r="L21" s="41">
        <f t="shared" si="5"/>
        <v>0.05396289090909093</v>
      </c>
      <c r="M21" s="42">
        <f>COUNTIF(Vertices[Closeness Centrality],"&gt;= "&amp;L21)-COUNTIF(Vertices[Closeness Centrality],"&gt;="&amp;L22)</f>
        <v>0</v>
      </c>
      <c r="N21" s="41">
        <f t="shared" si="6"/>
        <v>0.07504192727272727</v>
      </c>
      <c r="O21" s="42">
        <f>COUNTIF(Vertices[Eigenvector Centrality],"&gt;= "&amp;N21)-COUNTIF(Vertices[Eigenvector Centrality],"&gt;="&amp;N22)</f>
        <v>0</v>
      </c>
      <c r="P21" s="41">
        <f t="shared" si="7"/>
        <v>0.8299067454545459</v>
      </c>
      <c r="Q21" s="42">
        <f>COUNTIF(Vertices[PageRank],"&gt;= "&amp;P21)-COUNTIF(Vertices[PageRank],"&gt;="&amp;P22)</f>
        <v>0</v>
      </c>
      <c r="R21" s="41">
        <f t="shared" si="8"/>
        <v>0.3454545454545455</v>
      </c>
      <c r="S21" s="46">
        <f>COUNTIF(Vertices[Clustering Coefficient],"&gt;= "&amp;R21)-COUNTIF(Vertices[Clustering Coefficient],"&gt;="&amp;R22)</f>
        <v>1</v>
      </c>
      <c r="T21" s="41" t="e">
        <f ca="1" t="shared" si="9"/>
        <v>#REF!</v>
      </c>
      <c r="U21" s="42" t="e">
        <f ca="1" t="shared" si="0"/>
        <v>#REF!</v>
      </c>
    </row>
    <row r="22" spans="1:21" ht="15">
      <c r="A22" s="106"/>
      <c r="B22" s="106"/>
      <c r="D22" s="34">
        <f t="shared" si="1"/>
        <v>2.0909090909090895</v>
      </c>
      <c r="E22" s="3">
        <f>COUNTIF(Vertices[Degree],"&gt;= "&amp;D22)-COUNTIF(Vertices[Degree],"&gt;="&amp;D23)</f>
        <v>0</v>
      </c>
      <c r="F22" s="39">
        <f t="shared" si="2"/>
        <v>2.0909090909090895</v>
      </c>
      <c r="G22" s="40">
        <f>COUNTIF(Vertices[In-Degree],"&gt;= "&amp;F22)-COUNTIF(Vertices[In-Degree],"&gt;="&amp;F23)</f>
        <v>0</v>
      </c>
      <c r="H22" s="39">
        <f t="shared" si="3"/>
        <v>2.0909090909090895</v>
      </c>
      <c r="I22" s="40">
        <f>COUNTIF(Vertices[Out-Degree],"&gt;= "&amp;H22)-COUNTIF(Vertices[Out-Degree],"&gt;="&amp;H23)</f>
        <v>0</v>
      </c>
      <c r="J22" s="39">
        <f t="shared" si="4"/>
        <v>8.727272727272728</v>
      </c>
      <c r="K22" s="40">
        <f>COUNTIF(Vertices[Betweenness Centrality],"&gt;= "&amp;J22)-COUNTIF(Vertices[Betweenness Centrality],"&gt;="&amp;J23)</f>
        <v>0</v>
      </c>
      <c r="L22" s="39">
        <f t="shared" si="5"/>
        <v>0.05477872727272729</v>
      </c>
      <c r="M22" s="40">
        <f>COUNTIF(Vertices[Closeness Centrality],"&gt;= "&amp;L22)-COUNTIF(Vertices[Closeness Centrality],"&gt;="&amp;L23)</f>
        <v>0</v>
      </c>
      <c r="N22" s="39">
        <f t="shared" si="6"/>
        <v>0.07850781818181818</v>
      </c>
      <c r="O22" s="40">
        <f>COUNTIF(Vertices[Eigenvector Centrality],"&gt;= "&amp;N22)-COUNTIF(Vertices[Eigenvector Centrality],"&gt;="&amp;N23)</f>
        <v>0</v>
      </c>
      <c r="P22" s="39">
        <f t="shared" si="7"/>
        <v>0.8498693636363641</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158</v>
      </c>
      <c r="B23" s="36">
        <v>0.2916666666666667</v>
      </c>
      <c r="D23" s="34">
        <f t="shared" si="1"/>
        <v>2.145454545454544</v>
      </c>
      <c r="E23" s="3">
        <f>COUNTIF(Vertices[Degree],"&gt;= "&amp;D23)-COUNTIF(Vertices[Degree],"&gt;="&amp;D24)</f>
        <v>0</v>
      </c>
      <c r="F23" s="41">
        <f t="shared" si="2"/>
        <v>2.145454545454544</v>
      </c>
      <c r="G23" s="42">
        <f>COUNTIF(Vertices[In-Degree],"&gt;= "&amp;F23)-COUNTIF(Vertices[In-Degree],"&gt;="&amp;F24)</f>
        <v>0</v>
      </c>
      <c r="H23" s="41">
        <f t="shared" si="3"/>
        <v>2.145454545454544</v>
      </c>
      <c r="I23" s="42">
        <f>COUNTIF(Vertices[Out-Degree],"&gt;= "&amp;H23)-COUNTIF(Vertices[Out-Degree],"&gt;="&amp;H24)</f>
        <v>0</v>
      </c>
      <c r="J23" s="41">
        <f t="shared" si="4"/>
        <v>9.163636363636364</v>
      </c>
      <c r="K23" s="42">
        <f>COUNTIF(Vertices[Betweenness Centrality],"&gt;= "&amp;J23)-COUNTIF(Vertices[Betweenness Centrality],"&gt;="&amp;J24)</f>
        <v>0</v>
      </c>
      <c r="L23" s="41">
        <f t="shared" si="5"/>
        <v>0.055594563636363656</v>
      </c>
      <c r="M23" s="42">
        <f>COUNTIF(Vertices[Closeness Centrality],"&gt;= "&amp;L23)-COUNTIF(Vertices[Closeness Centrality],"&gt;="&amp;L24)</f>
        <v>0</v>
      </c>
      <c r="N23" s="41">
        <f t="shared" si="6"/>
        <v>0.08197370909090909</v>
      </c>
      <c r="O23" s="42">
        <f>COUNTIF(Vertices[Eigenvector Centrality],"&gt;= "&amp;N23)-COUNTIF(Vertices[Eigenvector Centrality],"&gt;="&amp;N24)</f>
        <v>0</v>
      </c>
      <c r="P23" s="41">
        <f t="shared" si="7"/>
        <v>0.8698319818181823</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198</v>
      </c>
      <c r="B24" s="36">
        <v>0.234056</v>
      </c>
      <c r="D24" s="34">
        <f t="shared" si="1"/>
        <v>2.199999999999999</v>
      </c>
      <c r="E24" s="3">
        <f>COUNTIF(Vertices[Degree],"&gt;= "&amp;D24)-COUNTIF(Vertices[Degree],"&gt;="&amp;D25)</f>
        <v>0</v>
      </c>
      <c r="F24" s="39">
        <f t="shared" si="2"/>
        <v>2.199999999999999</v>
      </c>
      <c r="G24" s="40">
        <f>COUNTIF(Vertices[In-Degree],"&gt;= "&amp;F24)-COUNTIF(Vertices[In-Degree],"&gt;="&amp;F25)</f>
        <v>0</v>
      </c>
      <c r="H24" s="39">
        <f t="shared" si="3"/>
        <v>2.199999999999999</v>
      </c>
      <c r="I24" s="40">
        <f>COUNTIF(Vertices[Out-Degree],"&gt;= "&amp;H24)-COUNTIF(Vertices[Out-Degree],"&gt;="&amp;H25)</f>
        <v>0</v>
      </c>
      <c r="J24" s="39">
        <f t="shared" si="4"/>
        <v>9.6</v>
      </c>
      <c r="K24" s="40">
        <f>COUNTIF(Vertices[Betweenness Centrality],"&gt;= "&amp;J24)-COUNTIF(Vertices[Betweenness Centrality],"&gt;="&amp;J25)</f>
        <v>0</v>
      </c>
      <c r="L24" s="39">
        <f t="shared" si="5"/>
        <v>0.05641040000000002</v>
      </c>
      <c r="M24" s="40">
        <f>COUNTIF(Vertices[Closeness Centrality],"&gt;= "&amp;L24)-COUNTIF(Vertices[Closeness Centrality],"&gt;="&amp;L25)</f>
        <v>0</v>
      </c>
      <c r="N24" s="39">
        <f t="shared" si="6"/>
        <v>0.0854396</v>
      </c>
      <c r="O24" s="40">
        <f>COUNTIF(Vertices[Eigenvector Centrality],"&gt;= "&amp;N24)-COUNTIF(Vertices[Eigenvector Centrality],"&gt;="&amp;N25)</f>
        <v>0</v>
      </c>
      <c r="P24" s="39">
        <f t="shared" si="7"/>
        <v>0.8897946000000005</v>
      </c>
      <c r="Q24" s="40">
        <f>COUNTIF(Vertices[PageRank],"&gt;= "&amp;P24)-COUNTIF(Vertices[PageRank],"&gt;="&amp;P25)</f>
        <v>1</v>
      </c>
      <c r="R24" s="39">
        <f t="shared" si="8"/>
        <v>0.4000000000000001</v>
      </c>
      <c r="S24" s="45">
        <f>COUNTIF(Vertices[Clustering Coefficient],"&gt;= "&amp;R24)-COUNTIF(Vertices[Clustering Coefficient],"&gt;="&amp;R25)</f>
        <v>1</v>
      </c>
      <c r="T24" s="39" t="e">
        <f ca="1" t="shared" si="9"/>
        <v>#REF!</v>
      </c>
      <c r="U24" s="40" t="e">
        <f ca="1" t="shared" si="0"/>
        <v>#REF!</v>
      </c>
    </row>
    <row r="25" spans="1:21" ht="15">
      <c r="A25" s="106"/>
      <c r="B25" s="106"/>
      <c r="D25" s="34">
        <f t="shared" si="1"/>
        <v>2.2545454545454535</v>
      </c>
      <c r="E25" s="3">
        <f>COUNTIF(Vertices[Degree],"&gt;= "&amp;D25)-COUNTIF(Vertices[Degree],"&gt;="&amp;D26)</f>
        <v>0</v>
      </c>
      <c r="F25" s="41">
        <f t="shared" si="2"/>
        <v>2.2545454545454535</v>
      </c>
      <c r="G25" s="42">
        <f>COUNTIF(Vertices[In-Degree],"&gt;= "&amp;F25)-COUNTIF(Vertices[In-Degree],"&gt;="&amp;F26)</f>
        <v>0</v>
      </c>
      <c r="H25" s="41">
        <f t="shared" si="3"/>
        <v>2.2545454545454535</v>
      </c>
      <c r="I25" s="42">
        <f>COUNTIF(Vertices[Out-Degree],"&gt;= "&amp;H25)-COUNTIF(Vertices[Out-Degree],"&gt;="&amp;H26)</f>
        <v>0</v>
      </c>
      <c r="J25" s="41">
        <f t="shared" si="4"/>
        <v>10.036363636363635</v>
      </c>
      <c r="K25" s="42">
        <f>COUNTIF(Vertices[Betweenness Centrality],"&gt;= "&amp;J25)-COUNTIF(Vertices[Betweenness Centrality],"&gt;="&amp;J26)</f>
        <v>0</v>
      </c>
      <c r="L25" s="41">
        <f t="shared" si="5"/>
        <v>0.057226236363636385</v>
      </c>
      <c r="M25" s="42">
        <f>COUNTIF(Vertices[Closeness Centrality],"&gt;= "&amp;L25)-COUNTIF(Vertices[Closeness Centrality],"&gt;="&amp;L26)</f>
        <v>0</v>
      </c>
      <c r="N25" s="41">
        <f t="shared" si="6"/>
        <v>0.08890549090909092</v>
      </c>
      <c r="O25" s="42">
        <f>COUNTIF(Vertices[Eigenvector Centrality],"&gt;= "&amp;N25)-COUNTIF(Vertices[Eigenvector Centrality],"&gt;="&amp;N26)</f>
        <v>0</v>
      </c>
      <c r="P25" s="41">
        <f t="shared" si="7"/>
        <v>0.9097572181818188</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199</v>
      </c>
      <c r="B26" s="36" t="s">
        <v>200</v>
      </c>
      <c r="D26" s="34">
        <f t="shared" si="1"/>
        <v>2.309090909090908</v>
      </c>
      <c r="E26" s="3">
        <f>COUNTIF(Vertices[Degree],"&gt;= "&amp;D26)-COUNTIF(Vertices[Degree],"&gt;="&amp;D28)</f>
        <v>0</v>
      </c>
      <c r="F26" s="39">
        <f t="shared" si="2"/>
        <v>2.309090909090908</v>
      </c>
      <c r="G26" s="40">
        <f>COUNTIF(Vertices[In-Degree],"&gt;= "&amp;F26)-COUNTIF(Vertices[In-Degree],"&gt;="&amp;F28)</f>
        <v>0</v>
      </c>
      <c r="H26" s="39">
        <f t="shared" si="3"/>
        <v>2.309090909090908</v>
      </c>
      <c r="I26" s="40">
        <f>COUNTIF(Vertices[Out-Degree],"&gt;= "&amp;H26)-COUNTIF(Vertices[Out-Degree],"&gt;="&amp;H28)</f>
        <v>0</v>
      </c>
      <c r="J26" s="39">
        <f t="shared" si="4"/>
        <v>10.47272727272727</v>
      </c>
      <c r="K26" s="40">
        <f>COUNTIF(Vertices[Betweenness Centrality],"&gt;= "&amp;J26)-COUNTIF(Vertices[Betweenness Centrality],"&gt;="&amp;J28)</f>
        <v>0</v>
      </c>
      <c r="L26" s="39">
        <f t="shared" si="5"/>
        <v>0.05804207272727275</v>
      </c>
      <c r="M26" s="40">
        <f>COUNTIF(Vertices[Closeness Centrality],"&gt;= "&amp;L26)-COUNTIF(Vertices[Closeness Centrality],"&gt;="&amp;L28)</f>
        <v>1</v>
      </c>
      <c r="N26" s="39">
        <f t="shared" si="6"/>
        <v>0.09237138181818183</v>
      </c>
      <c r="O26" s="40">
        <f>COUNTIF(Vertices[Eigenvector Centrality],"&gt;= "&amp;N26)-COUNTIF(Vertices[Eigenvector Centrality],"&gt;="&amp;N28)</f>
        <v>0</v>
      </c>
      <c r="P26" s="39">
        <f t="shared" si="7"/>
        <v>0.929719836363637</v>
      </c>
      <c r="Q26" s="40">
        <f>COUNTIF(Vertices[PageRank],"&gt;= "&amp;P26)-COUNTIF(Vertices[PageRank],"&gt;="&amp;P28)</f>
        <v>1</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-5</v>
      </c>
      <c r="F27" s="78"/>
      <c r="G27" s="79">
        <f>COUNTIF(Vertices[In-Degree],"&gt;= "&amp;F27)-COUNTIF(Vertices[In-Degree],"&gt;="&amp;F28)</f>
        <v>-4</v>
      </c>
      <c r="H27" s="78"/>
      <c r="I27" s="79">
        <f>COUNTIF(Vertices[Out-Degree],"&gt;= "&amp;H27)-COUNTIF(Vertices[Out-Degree],"&gt;="&amp;H28)</f>
        <v>-4</v>
      </c>
      <c r="J27" s="78"/>
      <c r="K27" s="79">
        <f>COUNTIF(Vertices[Betweenness Centrality],"&gt;= "&amp;J27)-COUNTIF(Vertices[Betweenness Centrality],"&gt;="&amp;J28)</f>
        <v>-4</v>
      </c>
      <c r="L27" s="78"/>
      <c r="M27" s="79">
        <f>COUNTIF(Vertices[Closeness Centrality],"&gt;= "&amp;L27)-COUNTIF(Vertices[Closeness Centrality],"&gt;="&amp;L28)</f>
        <v>-5</v>
      </c>
      <c r="N27" s="78"/>
      <c r="O27" s="79">
        <f>COUNTIF(Vertices[Eigenvector Centrality],"&gt;= "&amp;N27)-COUNTIF(Vertices[Eigenvector Centrality],"&gt;="&amp;N28)</f>
        <v>-6</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4:21" ht="15">
      <c r="D28" s="34">
        <f>D26+($D$57-$D$2)/BinDivisor</f>
        <v>2.363636363636363</v>
      </c>
      <c r="E28" s="3">
        <f>COUNTIF(Vertices[Degree],"&gt;= "&amp;D28)-COUNTIF(Vertices[Degree],"&gt;="&amp;D40)</f>
        <v>0</v>
      </c>
      <c r="F28" s="41">
        <f>F26+($F$57-$F$2)/BinDivisor</f>
        <v>2.363636363636363</v>
      </c>
      <c r="G28" s="42">
        <f>COUNTIF(Vertices[In-Degree],"&gt;= "&amp;F28)-COUNTIF(Vertices[In-Degree],"&gt;="&amp;F40)</f>
        <v>0</v>
      </c>
      <c r="H28" s="41">
        <f>H26+($H$57-$H$2)/BinDivisor</f>
        <v>2.363636363636363</v>
      </c>
      <c r="I28" s="42">
        <f>COUNTIF(Vertices[Out-Degree],"&gt;= "&amp;H28)-COUNTIF(Vertices[Out-Degree],"&gt;="&amp;H40)</f>
        <v>0</v>
      </c>
      <c r="J28" s="41">
        <f>J26+($J$57-$J$2)/BinDivisor</f>
        <v>10.909090909090907</v>
      </c>
      <c r="K28" s="42">
        <f>COUNTIF(Vertices[Betweenness Centrality],"&gt;= "&amp;J28)-COUNTIF(Vertices[Betweenness Centrality],"&gt;="&amp;J40)</f>
        <v>0</v>
      </c>
      <c r="L28" s="41">
        <f>L26+($L$57-$L$2)/BinDivisor</f>
        <v>0.058857909090909113</v>
      </c>
      <c r="M28" s="42">
        <f>COUNTIF(Vertices[Closeness Centrality],"&gt;= "&amp;L28)-COUNTIF(Vertices[Closeness Centrality],"&gt;="&amp;L40)</f>
        <v>0</v>
      </c>
      <c r="N28" s="41">
        <f>N26+($N$57-$N$2)/BinDivisor</f>
        <v>0.09583727272727274</v>
      </c>
      <c r="O28" s="42">
        <f>COUNTIF(Vertices[Eigenvector Centrality],"&gt;= "&amp;N28)-COUNTIF(Vertices[Eigenvector Centrality],"&gt;="&amp;N40)</f>
        <v>0</v>
      </c>
      <c r="P28" s="41">
        <f>P26+($P$57-$P$2)/BinDivisor</f>
        <v>0.9496824545454552</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-5</v>
      </c>
      <c r="F38" s="78"/>
      <c r="G38" s="79">
        <f>COUNTIF(Vertices[In-Degree],"&gt;= "&amp;F38)-COUNTIF(Vertices[In-Degree],"&gt;="&amp;F40)</f>
        <v>-4</v>
      </c>
      <c r="H38" s="78"/>
      <c r="I38" s="79">
        <f>COUNTIF(Vertices[Out-Degree],"&gt;= "&amp;H38)-COUNTIF(Vertices[Out-Degree],"&gt;="&amp;H40)</f>
        <v>-4</v>
      </c>
      <c r="J38" s="78"/>
      <c r="K38" s="79">
        <f>COUNTIF(Vertices[Betweenness Centrality],"&gt;= "&amp;J38)-COUNTIF(Vertices[Betweenness Centrality],"&gt;="&amp;J40)</f>
        <v>-4</v>
      </c>
      <c r="L38" s="78"/>
      <c r="M38" s="79">
        <f>COUNTIF(Vertices[Closeness Centrality],"&gt;= "&amp;L38)-COUNTIF(Vertices[Closeness Centrality],"&gt;="&amp;L40)</f>
        <v>-5</v>
      </c>
      <c r="N38" s="78"/>
      <c r="O38" s="79">
        <f>COUNTIF(Vertices[Eigenvector Centrality],"&gt;= "&amp;N38)-COUNTIF(Vertices[Eigenvector Centrality],"&gt;="&amp;N40)</f>
        <v>-6</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-5</v>
      </c>
      <c r="F39" s="78"/>
      <c r="G39" s="79">
        <f>COUNTIF(Vertices[In-Degree],"&gt;= "&amp;F39)-COUNTIF(Vertices[In-Degree],"&gt;="&amp;F40)</f>
        <v>-4</v>
      </c>
      <c r="H39" s="78"/>
      <c r="I39" s="79">
        <f>COUNTIF(Vertices[Out-Degree],"&gt;= "&amp;H39)-COUNTIF(Vertices[Out-Degree],"&gt;="&amp;H40)</f>
        <v>-4</v>
      </c>
      <c r="J39" s="78"/>
      <c r="K39" s="79">
        <f>COUNTIF(Vertices[Betweenness Centrality],"&gt;= "&amp;J39)-COUNTIF(Vertices[Betweenness Centrality],"&gt;="&amp;J40)</f>
        <v>-4</v>
      </c>
      <c r="L39" s="78"/>
      <c r="M39" s="79">
        <f>COUNTIF(Vertices[Closeness Centrality],"&gt;= "&amp;L39)-COUNTIF(Vertices[Closeness Centrality],"&gt;="&amp;L40)</f>
        <v>-5</v>
      </c>
      <c r="N39" s="78"/>
      <c r="O39" s="79">
        <f>COUNTIF(Vertices[Eigenvector Centrality],"&gt;= "&amp;N39)-COUNTIF(Vertices[Eigenvector Centrality],"&gt;="&amp;N40)</f>
        <v>-6</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2.4181818181818175</v>
      </c>
      <c r="E40" s="3">
        <f>COUNTIF(Vertices[Degree],"&gt;= "&amp;D40)-COUNTIF(Vertices[Degree],"&gt;="&amp;D41)</f>
        <v>0</v>
      </c>
      <c r="F40" s="39">
        <f>F28+($F$57-$F$2)/BinDivisor</f>
        <v>2.4181818181818175</v>
      </c>
      <c r="G40" s="40">
        <f>COUNTIF(Vertices[In-Degree],"&gt;= "&amp;F40)-COUNTIF(Vertices[In-Degree],"&gt;="&amp;F41)</f>
        <v>0</v>
      </c>
      <c r="H40" s="39">
        <f>H28+($H$57-$H$2)/BinDivisor</f>
        <v>2.4181818181818175</v>
      </c>
      <c r="I40" s="40">
        <f>COUNTIF(Vertices[Out-Degree],"&gt;= "&amp;H40)-COUNTIF(Vertices[Out-Degree],"&gt;="&amp;H41)</f>
        <v>0</v>
      </c>
      <c r="J40" s="39">
        <f>J28+($J$57-$J$2)/BinDivisor</f>
        <v>11.345454545454542</v>
      </c>
      <c r="K40" s="40">
        <f>COUNTIF(Vertices[Betweenness Centrality],"&gt;= "&amp;J40)-COUNTIF(Vertices[Betweenness Centrality],"&gt;="&amp;J41)</f>
        <v>0</v>
      </c>
      <c r="L40" s="39">
        <f>L28+($L$57-$L$2)/BinDivisor</f>
        <v>0.05967374545454548</v>
      </c>
      <c r="M40" s="40">
        <f>COUNTIF(Vertices[Closeness Centrality],"&gt;= "&amp;L40)-COUNTIF(Vertices[Closeness Centrality],"&gt;="&amp;L41)</f>
        <v>0</v>
      </c>
      <c r="N40" s="39">
        <f>N28+($N$57-$N$2)/BinDivisor</f>
        <v>0.09930316363636366</v>
      </c>
      <c r="O40" s="40">
        <f>COUNTIF(Vertices[Eigenvector Centrality],"&gt;= "&amp;N40)-COUNTIF(Vertices[Eigenvector Centrality],"&gt;="&amp;N41)</f>
        <v>0</v>
      </c>
      <c r="P40" s="39">
        <f>P28+($P$57-$P$2)/BinDivisor</f>
        <v>0.9696450727272734</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2.472727272727272</v>
      </c>
      <c r="E41" s="3">
        <f>COUNTIF(Vertices[Degree],"&gt;= "&amp;D41)-COUNTIF(Vertices[Degree],"&gt;="&amp;D42)</f>
        <v>0</v>
      </c>
      <c r="F41" s="41">
        <f aca="true" t="shared" si="11" ref="F41:F56">F40+($F$57-$F$2)/BinDivisor</f>
        <v>2.472727272727272</v>
      </c>
      <c r="G41" s="42">
        <f>COUNTIF(Vertices[In-Degree],"&gt;= "&amp;F41)-COUNTIF(Vertices[In-Degree],"&gt;="&amp;F42)</f>
        <v>0</v>
      </c>
      <c r="H41" s="41">
        <f aca="true" t="shared" si="12" ref="H41:H56">H40+($H$57-$H$2)/BinDivisor</f>
        <v>2.472727272727272</v>
      </c>
      <c r="I41" s="42">
        <f>COUNTIF(Vertices[Out-Degree],"&gt;= "&amp;H41)-COUNTIF(Vertices[Out-Degree],"&gt;="&amp;H42)</f>
        <v>0</v>
      </c>
      <c r="J41" s="41">
        <f aca="true" t="shared" si="13" ref="J41:J56">J40+($J$57-$J$2)/BinDivisor</f>
        <v>11.781818181818178</v>
      </c>
      <c r="K41" s="42">
        <f>COUNTIF(Vertices[Betweenness Centrality],"&gt;= "&amp;J41)-COUNTIF(Vertices[Betweenness Centrality],"&gt;="&amp;J42)</f>
        <v>0</v>
      </c>
      <c r="L41" s="41">
        <f aca="true" t="shared" si="14" ref="L41:L56">L40+($L$57-$L$2)/BinDivisor</f>
        <v>0.06048958181818184</v>
      </c>
      <c r="M41" s="42">
        <f>COUNTIF(Vertices[Closeness Centrality],"&gt;= "&amp;L41)-COUNTIF(Vertices[Closeness Centrality],"&gt;="&amp;L42)</f>
        <v>0</v>
      </c>
      <c r="N41" s="41">
        <f aca="true" t="shared" si="15" ref="N41:N56">N40+($N$57-$N$2)/BinDivisor</f>
        <v>0.10276905454545457</v>
      </c>
      <c r="O41" s="42">
        <f>COUNTIF(Vertices[Eigenvector Centrality],"&gt;= "&amp;N41)-COUNTIF(Vertices[Eigenvector Centrality],"&gt;="&amp;N42)</f>
        <v>0</v>
      </c>
      <c r="P41" s="41">
        <f aca="true" t="shared" si="16" ref="P41:P56">P40+($P$57-$P$2)/BinDivisor</f>
        <v>0.9896076909090916</v>
      </c>
      <c r="Q41" s="42">
        <f>COUNTIF(Vertices[PageRank],"&gt;= "&amp;P41)-COUNTIF(Vertices[PageRank],"&gt;="&amp;P42)</f>
        <v>0</v>
      </c>
      <c r="R41" s="41">
        <f aca="true" t="shared" si="17" ref="R41:R56">R40+($R$57-$R$2)/BinDivisor</f>
        <v>0.490909090909091</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2.527272727272727</v>
      </c>
      <c r="E42" s="3">
        <f>COUNTIF(Vertices[Degree],"&gt;= "&amp;D42)-COUNTIF(Vertices[Degree],"&gt;="&amp;D43)</f>
        <v>0</v>
      </c>
      <c r="F42" s="39">
        <f t="shared" si="11"/>
        <v>2.527272727272727</v>
      </c>
      <c r="G42" s="40">
        <f>COUNTIF(Vertices[In-Degree],"&gt;= "&amp;F42)-COUNTIF(Vertices[In-Degree],"&gt;="&amp;F43)</f>
        <v>0</v>
      </c>
      <c r="H42" s="39">
        <f t="shared" si="12"/>
        <v>2.527272727272727</v>
      </c>
      <c r="I42" s="40">
        <f>COUNTIF(Vertices[Out-Degree],"&gt;= "&amp;H42)-COUNTIF(Vertices[Out-Degree],"&gt;="&amp;H43)</f>
        <v>0</v>
      </c>
      <c r="J42" s="39">
        <f t="shared" si="13"/>
        <v>12.218181818181813</v>
      </c>
      <c r="K42" s="40">
        <f>COUNTIF(Vertices[Betweenness Centrality],"&gt;= "&amp;J42)-COUNTIF(Vertices[Betweenness Centrality],"&gt;="&amp;J43)</f>
        <v>0</v>
      </c>
      <c r="L42" s="39">
        <f t="shared" si="14"/>
        <v>0.06130541818181821</v>
      </c>
      <c r="M42" s="40">
        <f>COUNTIF(Vertices[Closeness Centrality],"&gt;= "&amp;L42)-COUNTIF(Vertices[Closeness Centrality],"&gt;="&amp;L43)</f>
        <v>0</v>
      </c>
      <c r="N42" s="39">
        <f t="shared" si="15"/>
        <v>0.10623494545454548</v>
      </c>
      <c r="O42" s="40">
        <f>COUNTIF(Vertices[Eigenvector Centrality],"&gt;= "&amp;N42)-COUNTIF(Vertices[Eigenvector Centrality],"&gt;="&amp;N43)</f>
        <v>0</v>
      </c>
      <c r="P42" s="39">
        <f t="shared" si="16"/>
        <v>1.0095703090909098</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2.5818181818181816</v>
      </c>
      <c r="E43" s="3">
        <f>COUNTIF(Vertices[Degree],"&gt;= "&amp;D43)-COUNTIF(Vertices[Degree],"&gt;="&amp;D44)</f>
        <v>0</v>
      </c>
      <c r="F43" s="41">
        <f t="shared" si="11"/>
        <v>2.5818181818181816</v>
      </c>
      <c r="G43" s="42">
        <f>COUNTIF(Vertices[In-Degree],"&gt;= "&amp;F43)-COUNTIF(Vertices[In-Degree],"&gt;="&amp;F44)</f>
        <v>0</v>
      </c>
      <c r="H43" s="41">
        <f t="shared" si="12"/>
        <v>2.5818181818181816</v>
      </c>
      <c r="I43" s="42">
        <f>COUNTIF(Vertices[Out-Degree],"&gt;= "&amp;H43)-COUNTIF(Vertices[Out-Degree],"&gt;="&amp;H44)</f>
        <v>0</v>
      </c>
      <c r="J43" s="41">
        <f t="shared" si="13"/>
        <v>12.654545454545449</v>
      </c>
      <c r="K43" s="42">
        <f>COUNTIF(Vertices[Betweenness Centrality],"&gt;= "&amp;J43)-COUNTIF(Vertices[Betweenness Centrality],"&gt;="&amp;J44)</f>
        <v>0</v>
      </c>
      <c r="L43" s="41">
        <f t="shared" si="14"/>
        <v>0.06212125454545457</v>
      </c>
      <c r="M43" s="42">
        <f>COUNTIF(Vertices[Closeness Centrality],"&gt;= "&amp;L43)-COUNTIF(Vertices[Closeness Centrality],"&gt;="&amp;L44)</f>
        <v>1</v>
      </c>
      <c r="N43" s="41">
        <f t="shared" si="15"/>
        <v>0.1097008363636364</v>
      </c>
      <c r="O43" s="42">
        <f>COUNTIF(Vertices[Eigenvector Centrality],"&gt;= "&amp;N43)-COUNTIF(Vertices[Eigenvector Centrality],"&gt;="&amp;N44)</f>
        <v>2</v>
      </c>
      <c r="P43" s="41">
        <f t="shared" si="16"/>
        <v>1.029532927272728</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2.6363636363636362</v>
      </c>
      <c r="E44" s="3">
        <f>COUNTIF(Vertices[Degree],"&gt;= "&amp;D44)-COUNTIF(Vertices[Degree],"&gt;="&amp;D45)</f>
        <v>0</v>
      </c>
      <c r="F44" s="39">
        <f t="shared" si="11"/>
        <v>2.6363636363636362</v>
      </c>
      <c r="G44" s="40">
        <f>COUNTIF(Vertices[In-Degree],"&gt;= "&amp;F44)-COUNTIF(Vertices[In-Degree],"&gt;="&amp;F45)</f>
        <v>0</v>
      </c>
      <c r="H44" s="39">
        <f t="shared" si="12"/>
        <v>2.6363636363636362</v>
      </c>
      <c r="I44" s="40">
        <f>COUNTIF(Vertices[Out-Degree],"&gt;= "&amp;H44)-COUNTIF(Vertices[Out-Degree],"&gt;="&amp;H45)</f>
        <v>0</v>
      </c>
      <c r="J44" s="39">
        <f t="shared" si="13"/>
        <v>13.090909090909085</v>
      </c>
      <c r="K44" s="40">
        <f>COUNTIF(Vertices[Betweenness Centrality],"&gt;= "&amp;J44)-COUNTIF(Vertices[Betweenness Centrality],"&gt;="&amp;J45)</f>
        <v>0</v>
      </c>
      <c r="L44" s="39">
        <f t="shared" si="14"/>
        <v>0.06293709090909093</v>
      </c>
      <c r="M44" s="40">
        <f>COUNTIF(Vertices[Closeness Centrality],"&gt;= "&amp;L44)-COUNTIF(Vertices[Closeness Centrality],"&gt;="&amp;L45)</f>
        <v>0</v>
      </c>
      <c r="N44" s="39">
        <f t="shared" si="15"/>
        <v>0.11316672727272731</v>
      </c>
      <c r="O44" s="40">
        <f>COUNTIF(Vertices[Eigenvector Centrality],"&gt;= "&amp;N44)-COUNTIF(Vertices[Eigenvector Centrality],"&gt;="&amp;N45)</f>
        <v>0</v>
      </c>
      <c r="P44" s="39">
        <f t="shared" si="16"/>
        <v>1.0494955454545463</v>
      </c>
      <c r="Q44" s="40">
        <f>COUNTIF(Vertices[PageRank],"&gt;= "&amp;P44)-COUNTIF(Vertices[PageRank],"&gt;="&amp;P45)</f>
        <v>2</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2.690909090909091</v>
      </c>
      <c r="E45" s="3">
        <f>COUNTIF(Vertices[Degree],"&gt;= "&amp;D45)-COUNTIF(Vertices[Degree],"&gt;="&amp;D46)</f>
        <v>0</v>
      </c>
      <c r="F45" s="41">
        <f t="shared" si="11"/>
        <v>2.690909090909091</v>
      </c>
      <c r="G45" s="42">
        <f>COUNTIF(Vertices[In-Degree],"&gt;= "&amp;F45)-COUNTIF(Vertices[In-Degree],"&gt;="&amp;F46)</f>
        <v>0</v>
      </c>
      <c r="H45" s="41">
        <f t="shared" si="12"/>
        <v>2.690909090909091</v>
      </c>
      <c r="I45" s="42">
        <f>COUNTIF(Vertices[Out-Degree],"&gt;= "&amp;H45)-COUNTIF(Vertices[Out-Degree],"&gt;="&amp;H46)</f>
        <v>0</v>
      </c>
      <c r="J45" s="41">
        <f t="shared" si="13"/>
        <v>13.52727272727272</v>
      </c>
      <c r="K45" s="42">
        <f>COUNTIF(Vertices[Betweenness Centrality],"&gt;= "&amp;J45)-COUNTIF(Vertices[Betweenness Centrality],"&gt;="&amp;J46)</f>
        <v>0</v>
      </c>
      <c r="L45" s="41">
        <f t="shared" si="14"/>
        <v>0.06375292727272729</v>
      </c>
      <c r="M45" s="42">
        <f>COUNTIF(Vertices[Closeness Centrality],"&gt;= "&amp;L45)-COUNTIF(Vertices[Closeness Centrality],"&gt;="&amp;L46)</f>
        <v>0</v>
      </c>
      <c r="N45" s="41">
        <f t="shared" si="15"/>
        <v>0.11663261818181822</v>
      </c>
      <c r="O45" s="42">
        <f>COUNTIF(Vertices[Eigenvector Centrality],"&gt;= "&amp;N45)-COUNTIF(Vertices[Eigenvector Centrality],"&gt;="&amp;N46)</f>
        <v>0</v>
      </c>
      <c r="P45" s="41">
        <f t="shared" si="16"/>
        <v>1.0694581636363645</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2.7454545454545456</v>
      </c>
      <c r="E46" s="3">
        <f>COUNTIF(Vertices[Degree],"&gt;= "&amp;D46)-COUNTIF(Vertices[Degree],"&gt;="&amp;D47)</f>
        <v>0</v>
      </c>
      <c r="F46" s="39">
        <f t="shared" si="11"/>
        <v>2.7454545454545456</v>
      </c>
      <c r="G46" s="40">
        <f>COUNTIF(Vertices[In-Degree],"&gt;= "&amp;F46)-COUNTIF(Vertices[In-Degree],"&gt;="&amp;F47)</f>
        <v>0</v>
      </c>
      <c r="H46" s="39">
        <f t="shared" si="12"/>
        <v>2.7454545454545456</v>
      </c>
      <c r="I46" s="40">
        <f>COUNTIF(Vertices[Out-Degree],"&gt;= "&amp;H46)-COUNTIF(Vertices[Out-Degree],"&gt;="&amp;H47)</f>
        <v>0</v>
      </c>
      <c r="J46" s="39">
        <f t="shared" si="13"/>
        <v>13.963636363636356</v>
      </c>
      <c r="K46" s="40">
        <f>COUNTIF(Vertices[Betweenness Centrality],"&gt;= "&amp;J46)-COUNTIF(Vertices[Betweenness Centrality],"&gt;="&amp;J47)</f>
        <v>2</v>
      </c>
      <c r="L46" s="39">
        <f t="shared" si="14"/>
        <v>0.06456876363636364</v>
      </c>
      <c r="M46" s="40">
        <f>COUNTIF(Vertices[Closeness Centrality],"&gt;= "&amp;L46)-COUNTIF(Vertices[Closeness Centrality],"&gt;="&amp;L47)</f>
        <v>0</v>
      </c>
      <c r="N46" s="39">
        <f t="shared" si="15"/>
        <v>0.12009850909090913</v>
      </c>
      <c r="O46" s="40">
        <f>COUNTIF(Vertices[Eigenvector Centrality],"&gt;= "&amp;N46)-COUNTIF(Vertices[Eigenvector Centrality],"&gt;="&amp;N47)</f>
        <v>0</v>
      </c>
      <c r="P46" s="39">
        <f t="shared" si="16"/>
        <v>1.0894207818181827</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2.8000000000000003</v>
      </c>
      <c r="E47" s="3">
        <f>COUNTIF(Vertices[Degree],"&gt;= "&amp;D47)-COUNTIF(Vertices[Degree],"&gt;="&amp;D48)</f>
        <v>0</v>
      </c>
      <c r="F47" s="41">
        <f t="shared" si="11"/>
        <v>2.8000000000000003</v>
      </c>
      <c r="G47" s="42">
        <f>COUNTIF(Vertices[In-Degree],"&gt;= "&amp;F47)-COUNTIF(Vertices[In-Degree],"&gt;="&amp;F48)</f>
        <v>0</v>
      </c>
      <c r="H47" s="41">
        <f t="shared" si="12"/>
        <v>2.8000000000000003</v>
      </c>
      <c r="I47" s="42">
        <f>COUNTIF(Vertices[Out-Degree],"&gt;= "&amp;H47)-COUNTIF(Vertices[Out-Degree],"&gt;="&amp;H48)</f>
        <v>0</v>
      </c>
      <c r="J47" s="41">
        <f t="shared" si="13"/>
        <v>14.399999999999991</v>
      </c>
      <c r="K47" s="42">
        <f>COUNTIF(Vertices[Betweenness Centrality],"&gt;= "&amp;J47)-COUNTIF(Vertices[Betweenness Centrality],"&gt;="&amp;J48)</f>
        <v>0</v>
      </c>
      <c r="L47" s="41">
        <f t="shared" si="14"/>
        <v>0.0653846</v>
      </c>
      <c r="M47" s="42">
        <f>COUNTIF(Vertices[Closeness Centrality],"&gt;= "&amp;L47)-COUNTIF(Vertices[Closeness Centrality],"&gt;="&amp;L48)</f>
        <v>0</v>
      </c>
      <c r="N47" s="41">
        <f t="shared" si="15"/>
        <v>0.12356440000000005</v>
      </c>
      <c r="O47" s="42">
        <f>COUNTIF(Vertices[Eigenvector Centrality],"&gt;= "&amp;N47)-COUNTIF(Vertices[Eigenvector Centrality],"&gt;="&amp;N48)</f>
        <v>0</v>
      </c>
      <c r="P47" s="41">
        <f t="shared" si="16"/>
        <v>1.109383400000001</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2.854545454545455</v>
      </c>
      <c r="E48" s="3">
        <f>COUNTIF(Vertices[Degree],"&gt;= "&amp;D48)-COUNTIF(Vertices[Degree],"&gt;="&amp;D49)</f>
        <v>0</v>
      </c>
      <c r="F48" s="39">
        <f t="shared" si="11"/>
        <v>2.854545454545455</v>
      </c>
      <c r="G48" s="40">
        <f>COUNTIF(Vertices[In-Degree],"&gt;= "&amp;F48)-COUNTIF(Vertices[In-Degree],"&gt;="&amp;F49)</f>
        <v>0</v>
      </c>
      <c r="H48" s="39">
        <f t="shared" si="12"/>
        <v>2.854545454545455</v>
      </c>
      <c r="I48" s="40">
        <f>COUNTIF(Vertices[Out-Degree],"&gt;= "&amp;H48)-COUNTIF(Vertices[Out-Degree],"&gt;="&amp;H49)</f>
        <v>0</v>
      </c>
      <c r="J48" s="39">
        <f t="shared" si="13"/>
        <v>14.836363636363627</v>
      </c>
      <c r="K48" s="40">
        <f>COUNTIF(Vertices[Betweenness Centrality],"&gt;= "&amp;J48)-COUNTIF(Vertices[Betweenness Centrality],"&gt;="&amp;J49)</f>
        <v>0</v>
      </c>
      <c r="L48" s="39">
        <f t="shared" si="14"/>
        <v>0.06620043636363636</v>
      </c>
      <c r="M48" s="40">
        <f>COUNTIF(Vertices[Closeness Centrality],"&gt;= "&amp;L48)-COUNTIF(Vertices[Closeness Centrality],"&gt;="&amp;L49)</f>
        <v>1</v>
      </c>
      <c r="N48" s="39">
        <f t="shared" si="15"/>
        <v>0.12703029090909096</v>
      </c>
      <c r="O48" s="40">
        <f>COUNTIF(Vertices[Eigenvector Centrality],"&gt;= "&amp;N48)-COUNTIF(Vertices[Eigenvector Centrality],"&gt;="&amp;N49)</f>
        <v>0</v>
      </c>
      <c r="P48" s="39">
        <f t="shared" si="16"/>
        <v>1.1293460181818191</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2.9090909090909096</v>
      </c>
      <c r="E49" s="3">
        <f>COUNTIF(Vertices[Degree],"&gt;= "&amp;D49)-COUNTIF(Vertices[Degree],"&gt;="&amp;D50)</f>
        <v>0</v>
      </c>
      <c r="F49" s="41">
        <f t="shared" si="11"/>
        <v>2.9090909090909096</v>
      </c>
      <c r="G49" s="42">
        <f>COUNTIF(Vertices[In-Degree],"&gt;= "&amp;F49)-COUNTIF(Vertices[In-Degree],"&gt;="&amp;F50)</f>
        <v>0</v>
      </c>
      <c r="H49" s="41">
        <f t="shared" si="12"/>
        <v>2.9090909090909096</v>
      </c>
      <c r="I49" s="42">
        <f>COUNTIF(Vertices[Out-Degree],"&gt;= "&amp;H49)-COUNTIF(Vertices[Out-Degree],"&gt;="&amp;H50)</f>
        <v>0</v>
      </c>
      <c r="J49" s="41">
        <f t="shared" si="13"/>
        <v>15.272727272727263</v>
      </c>
      <c r="K49" s="42">
        <f>COUNTIF(Vertices[Betweenness Centrality],"&gt;= "&amp;J49)-COUNTIF(Vertices[Betweenness Centrality],"&gt;="&amp;J50)</f>
        <v>0</v>
      </c>
      <c r="L49" s="41">
        <f t="shared" si="14"/>
        <v>0.06701627272727272</v>
      </c>
      <c r="M49" s="42">
        <f>COUNTIF(Vertices[Closeness Centrality],"&gt;= "&amp;L49)-COUNTIF(Vertices[Closeness Centrality],"&gt;="&amp;L50)</f>
        <v>0</v>
      </c>
      <c r="N49" s="41">
        <f t="shared" si="15"/>
        <v>0.13049618181818187</v>
      </c>
      <c r="O49" s="42">
        <f>COUNTIF(Vertices[Eigenvector Centrality],"&gt;= "&amp;N49)-COUNTIF(Vertices[Eigenvector Centrality],"&gt;="&amp;N50)</f>
        <v>0</v>
      </c>
      <c r="P49" s="41">
        <f t="shared" si="16"/>
        <v>1.1493086363636373</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2.9636363636363643</v>
      </c>
      <c r="E50" s="3">
        <f>COUNTIF(Vertices[Degree],"&gt;= "&amp;D50)-COUNTIF(Vertices[Degree],"&gt;="&amp;D51)</f>
        <v>2</v>
      </c>
      <c r="F50" s="39">
        <f t="shared" si="11"/>
        <v>2.9636363636363643</v>
      </c>
      <c r="G50" s="40">
        <f>COUNTIF(Vertices[In-Degree],"&gt;= "&amp;F50)-COUNTIF(Vertices[In-Degree],"&gt;="&amp;F51)</f>
        <v>3</v>
      </c>
      <c r="H50" s="39">
        <f t="shared" si="12"/>
        <v>2.9636363636363643</v>
      </c>
      <c r="I50" s="40">
        <f>COUNTIF(Vertices[Out-Degree],"&gt;= "&amp;H50)-COUNTIF(Vertices[Out-Degree],"&gt;="&amp;H51)</f>
        <v>2</v>
      </c>
      <c r="J50" s="39">
        <f t="shared" si="13"/>
        <v>15.709090909090898</v>
      </c>
      <c r="K50" s="40">
        <f>COUNTIF(Vertices[Betweenness Centrality],"&gt;= "&amp;J50)-COUNTIF(Vertices[Betweenness Centrality],"&gt;="&amp;J51)</f>
        <v>0</v>
      </c>
      <c r="L50" s="39">
        <f t="shared" si="14"/>
        <v>0.06783210909090907</v>
      </c>
      <c r="M50" s="40">
        <f>COUNTIF(Vertices[Closeness Centrality],"&gt;= "&amp;L50)-COUNTIF(Vertices[Closeness Centrality],"&gt;="&amp;L51)</f>
        <v>0</v>
      </c>
      <c r="N50" s="39">
        <f t="shared" si="15"/>
        <v>0.13396207272727279</v>
      </c>
      <c r="O50" s="40">
        <f>COUNTIF(Vertices[Eigenvector Centrality],"&gt;= "&amp;N50)-COUNTIF(Vertices[Eigenvector Centrality],"&gt;="&amp;N51)</f>
        <v>0</v>
      </c>
      <c r="P50" s="39">
        <f t="shared" si="16"/>
        <v>1.1692712545454556</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3.018181818181819</v>
      </c>
      <c r="E51" s="3">
        <f>COUNTIF(Vertices[Degree],"&gt;= "&amp;D51)-COUNTIF(Vertices[Degree],"&gt;="&amp;D52)</f>
        <v>0</v>
      </c>
      <c r="F51" s="41">
        <f t="shared" si="11"/>
        <v>3.018181818181819</v>
      </c>
      <c r="G51" s="42">
        <f>COUNTIF(Vertices[In-Degree],"&gt;= "&amp;F51)-COUNTIF(Vertices[In-Degree],"&gt;="&amp;F52)</f>
        <v>0</v>
      </c>
      <c r="H51" s="41">
        <f t="shared" si="12"/>
        <v>3.018181818181819</v>
      </c>
      <c r="I51" s="42">
        <f>COUNTIF(Vertices[Out-Degree],"&gt;= "&amp;H51)-COUNTIF(Vertices[Out-Degree],"&gt;="&amp;H52)</f>
        <v>0</v>
      </c>
      <c r="J51" s="41">
        <f t="shared" si="13"/>
        <v>16.145454545454534</v>
      </c>
      <c r="K51" s="42">
        <f>COUNTIF(Vertices[Betweenness Centrality],"&gt;= "&amp;J51)-COUNTIF(Vertices[Betweenness Centrality],"&gt;="&amp;J52)</f>
        <v>0</v>
      </c>
      <c r="L51" s="41">
        <f t="shared" si="14"/>
        <v>0.06864794545454543</v>
      </c>
      <c r="M51" s="42">
        <f>COUNTIF(Vertices[Closeness Centrality],"&gt;= "&amp;L51)-COUNTIF(Vertices[Closeness Centrality],"&gt;="&amp;L52)</f>
        <v>0</v>
      </c>
      <c r="N51" s="41">
        <f t="shared" si="15"/>
        <v>0.1374279636363637</v>
      </c>
      <c r="O51" s="42">
        <f>COUNTIF(Vertices[Eigenvector Centrality],"&gt;= "&amp;N51)-COUNTIF(Vertices[Eigenvector Centrality],"&gt;="&amp;N52)</f>
        <v>0</v>
      </c>
      <c r="P51" s="41">
        <f t="shared" si="16"/>
        <v>1.1892338727272738</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3.0727272727272736</v>
      </c>
      <c r="E52" s="3">
        <f>COUNTIF(Vertices[Degree],"&gt;= "&amp;D52)-COUNTIF(Vertices[Degree],"&gt;="&amp;D53)</f>
        <v>0</v>
      </c>
      <c r="F52" s="39">
        <f t="shared" si="11"/>
        <v>3.0727272727272736</v>
      </c>
      <c r="G52" s="40">
        <f>COUNTIF(Vertices[In-Degree],"&gt;= "&amp;F52)-COUNTIF(Vertices[In-Degree],"&gt;="&amp;F53)</f>
        <v>0</v>
      </c>
      <c r="H52" s="39">
        <f t="shared" si="12"/>
        <v>3.0727272727272736</v>
      </c>
      <c r="I52" s="40">
        <f>COUNTIF(Vertices[Out-Degree],"&gt;= "&amp;H52)-COUNTIF(Vertices[Out-Degree],"&gt;="&amp;H53)</f>
        <v>0</v>
      </c>
      <c r="J52" s="39">
        <f t="shared" si="13"/>
        <v>16.58181818181817</v>
      </c>
      <c r="K52" s="40">
        <f>COUNTIF(Vertices[Betweenness Centrality],"&gt;= "&amp;J52)-COUNTIF(Vertices[Betweenness Centrality],"&gt;="&amp;J53)</f>
        <v>0</v>
      </c>
      <c r="L52" s="39">
        <f t="shared" si="14"/>
        <v>0.06946378181818179</v>
      </c>
      <c r="M52" s="40">
        <f>COUNTIF(Vertices[Closeness Centrality],"&gt;= "&amp;L52)-COUNTIF(Vertices[Closeness Centrality],"&gt;="&amp;L53)</f>
        <v>0</v>
      </c>
      <c r="N52" s="39">
        <f t="shared" si="15"/>
        <v>0.1408938545454546</v>
      </c>
      <c r="O52" s="40">
        <f>COUNTIF(Vertices[Eigenvector Centrality],"&gt;= "&amp;N52)-COUNTIF(Vertices[Eigenvector Centrality],"&gt;="&amp;N53)</f>
        <v>0</v>
      </c>
      <c r="P52" s="39">
        <f t="shared" si="16"/>
        <v>1.209196490909092</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3.1272727272727283</v>
      </c>
      <c r="E53" s="3">
        <f>COUNTIF(Vertices[Degree],"&gt;= "&amp;D53)-COUNTIF(Vertices[Degree],"&gt;="&amp;D54)</f>
        <v>0</v>
      </c>
      <c r="F53" s="41">
        <f t="shared" si="11"/>
        <v>3.1272727272727283</v>
      </c>
      <c r="G53" s="42">
        <f>COUNTIF(Vertices[In-Degree],"&gt;= "&amp;F53)-COUNTIF(Vertices[In-Degree],"&gt;="&amp;F54)</f>
        <v>0</v>
      </c>
      <c r="H53" s="41">
        <f t="shared" si="12"/>
        <v>3.1272727272727283</v>
      </c>
      <c r="I53" s="42">
        <f>COUNTIF(Vertices[Out-Degree],"&gt;= "&amp;H53)-COUNTIF(Vertices[Out-Degree],"&gt;="&amp;H54)</f>
        <v>0</v>
      </c>
      <c r="J53" s="41">
        <f t="shared" si="13"/>
        <v>17.01818181818181</v>
      </c>
      <c r="K53" s="42">
        <f>COUNTIF(Vertices[Betweenness Centrality],"&gt;= "&amp;J53)-COUNTIF(Vertices[Betweenness Centrality],"&gt;="&amp;J54)</f>
        <v>0</v>
      </c>
      <c r="L53" s="41">
        <f t="shared" si="14"/>
        <v>0.07027961818181815</v>
      </c>
      <c r="M53" s="42">
        <f>COUNTIF(Vertices[Closeness Centrality],"&gt;= "&amp;L53)-COUNTIF(Vertices[Closeness Centrality],"&gt;="&amp;L54)</f>
        <v>0</v>
      </c>
      <c r="N53" s="41">
        <f t="shared" si="15"/>
        <v>0.14435974545454552</v>
      </c>
      <c r="O53" s="42">
        <f>COUNTIF(Vertices[Eigenvector Centrality],"&gt;= "&amp;N53)-COUNTIF(Vertices[Eigenvector Centrality],"&gt;="&amp;N54)</f>
        <v>0</v>
      </c>
      <c r="P53" s="41">
        <f t="shared" si="16"/>
        <v>1.2291591090909102</v>
      </c>
      <c r="Q53" s="42">
        <f>COUNTIF(Vertices[PageRank],"&gt;= "&amp;P53)-COUNTIF(Vertices[PageRank],"&gt;="&amp;P54)</f>
        <v>2</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3.181818181818183</v>
      </c>
      <c r="E54" s="3">
        <f>COUNTIF(Vertices[Degree],"&gt;= "&amp;D54)-COUNTIF(Vertices[Degree],"&gt;="&amp;D55)</f>
        <v>0</v>
      </c>
      <c r="F54" s="39">
        <f t="shared" si="11"/>
        <v>3.181818181818183</v>
      </c>
      <c r="G54" s="40">
        <f>COUNTIF(Vertices[In-Degree],"&gt;= "&amp;F54)-COUNTIF(Vertices[In-Degree],"&gt;="&amp;F55)</f>
        <v>0</v>
      </c>
      <c r="H54" s="39">
        <f t="shared" si="12"/>
        <v>3.181818181818183</v>
      </c>
      <c r="I54" s="40">
        <f>COUNTIF(Vertices[Out-Degree],"&gt;= "&amp;H54)-COUNTIF(Vertices[Out-Degree],"&gt;="&amp;H55)</f>
        <v>0</v>
      </c>
      <c r="J54" s="39">
        <f t="shared" si="13"/>
        <v>17.454545454545446</v>
      </c>
      <c r="K54" s="40">
        <f>COUNTIF(Vertices[Betweenness Centrality],"&gt;= "&amp;J54)-COUNTIF(Vertices[Betweenness Centrality],"&gt;="&amp;J55)</f>
        <v>0</v>
      </c>
      <c r="L54" s="39">
        <f t="shared" si="14"/>
        <v>0.0710954545454545</v>
      </c>
      <c r="M54" s="40">
        <f>COUNTIF(Vertices[Closeness Centrality],"&gt;= "&amp;L54)-COUNTIF(Vertices[Closeness Centrality],"&gt;="&amp;L55)</f>
        <v>2</v>
      </c>
      <c r="N54" s="39">
        <f t="shared" si="15"/>
        <v>0.14782563636363644</v>
      </c>
      <c r="O54" s="40">
        <f>COUNTIF(Vertices[Eigenvector Centrality],"&gt;= "&amp;N54)-COUNTIF(Vertices[Eigenvector Centrality],"&gt;="&amp;N55)</f>
        <v>0</v>
      </c>
      <c r="P54" s="39">
        <f t="shared" si="16"/>
        <v>1.2491217272727284</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1</v>
      </c>
      <c r="D55" s="34">
        <f t="shared" si="10"/>
        <v>3.2363636363636377</v>
      </c>
      <c r="E55" s="3">
        <f>COUNTIF(Vertices[Degree],"&gt;= "&amp;D55)-COUNTIF(Vertices[Degree],"&gt;="&amp;D56)</f>
        <v>0</v>
      </c>
      <c r="F55" s="41">
        <f t="shared" si="11"/>
        <v>3.2363636363636377</v>
      </c>
      <c r="G55" s="42">
        <f>COUNTIF(Vertices[In-Degree],"&gt;= "&amp;F55)-COUNTIF(Vertices[In-Degree],"&gt;="&amp;F56)</f>
        <v>0</v>
      </c>
      <c r="H55" s="41">
        <f t="shared" si="12"/>
        <v>3.2363636363636377</v>
      </c>
      <c r="I55" s="42">
        <f>COUNTIF(Vertices[Out-Degree],"&gt;= "&amp;H55)-COUNTIF(Vertices[Out-Degree],"&gt;="&amp;H56)</f>
        <v>0</v>
      </c>
      <c r="J55" s="41">
        <f t="shared" si="13"/>
        <v>17.890909090909084</v>
      </c>
      <c r="K55" s="42">
        <f>COUNTIF(Vertices[Betweenness Centrality],"&gt;= "&amp;J55)-COUNTIF(Vertices[Betweenness Centrality],"&gt;="&amp;J56)</f>
        <v>0</v>
      </c>
      <c r="L55" s="41">
        <f t="shared" si="14"/>
        <v>0.07191129090909086</v>
      </c>
      <c r="M55" s="42">
        <f>COUNTIF(Vertices[Closeness Centrality],"&gt;= "&amp;L55)-COUNTIF(Vertices[Closeness Centrality],"&gt;="&amp;L56)</f>
        <v>0</v>
      </c>
      <c r="N55" s="41">
        <f t="shared" si="15"/>
        <v>0.15129152727272735</v>
      </c>
      <c r="O55" s="42">
        <f>COUNTIF(Vertices[Eigenvector Centrality],"&gt;= "&amp;N55)-COUNTIF(Vertices[Eigenvector Centrality],"&gt;="&amp;N56)</f>
        <v>1</v>
      </c>
      <c r="P55" s="41">
        <f t="shared" si="16"/>
        <v>1.2690843454545466</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4</v>
      </c>
      <c r="D56" s="34">
        <f t="shared" si="10"/>
        <v>3.2909090909090923</v>
      </c>
      <c r="E56" s="3">
        <f>COUNTIF(Vertices[Degree],"&gt;= "&amp;D56)-COUNTIF(Vertices[Degree],"&gt;="&amp;D57)</f>
        <v>0</v>
      </c>
      <c r="F56" s="39">
        <f t="shared" si="11"/>
        <v>3.2909090909090923</v>
      </c>
      <c r="G56" s="40">
        <f>COUNTIF(Vertices[In-Degree],"&gt;= "&amp;F56)-COUNTIF(Vertices[In-Degree],"&gt;="&amp;F57)</f>
        <v>0</v>
      </c>
      <c r="H56" s="39">
        <f t="shared" si="12"/>
        <v>3.2909090909090923</v>
      </c>
      <c r="I56" s="40">
        <f>COUNTIF(Vertices[Out-Degree],"&gt;= "&amp;H56)-COUNTIF(Vertices[Out-Degree],"&gt;="&amp;H57)</f>
        <v>0</v>
      </c>
      <c r="J56" s="39">
        <f t="shared" si="13"/>
        <v>18.32727272727272</v>
      </c>
      <c r="K56" s="40">
        <f>COUNTIF(Vertices[Betweenness Centrality],"&gt;= "&amp;J56)-COUNTIF(Vertices[Betweenness Centrality],"&gt;="&amp;J57)</f>
        <v>1</v>
      </c>
      <c r="L56" s="39">
        <f t="shared" si="14"/>
        <v>0.07272712727272722</v>
      </c>
      <c r="M56" s="40">
        <f>COUNTIF(Vertices[Closeness Centrality],"&gt;= "&amp;L56)-COUNTIF(Vertices[Closeness Centrality],"&gt;="&amp;L57)</f>
        <v>0</v>
      </c>
      <c r="N56" s="39">
        <f t="shared" si="15"/>
        <v>0.15475741818181826</v>
      </c>
      <c r="O56" s="40">
        <f>COUNTIF(Vertices[Eigenvector Centrality],"&gt;= "&amp;N56)-COUNTIF(Vertices[Eigenvector Centrality],"&gt;="&amp;N57)</f>
        <v>2</v>
      </c>
      <c r="P56" s="39">
        <f t="shared" si="16"/>
        <v>1.2890469636363648</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f>_xlfn.IFERROR(AVERAGE(Vertices[Degree]),NoMetricMessage)</f>
        <v>2.6666666666666665</v>
      </c>
      <c r="D57" s="34">
        <f>MAX(Vertices[Degree])</f>
        <v>4</v>
      </c>
      <c r="E57" s="3">
        <f>COUNTIF(Vertices[Degree],"&gt;= "&amp;D57)-COUNTIF(Vertices[Degree],"&gt;="&amp;D58)</f>
        <v>3</v>
      </c>
      <c r="F57" s="43">
        <f>MAX(Vertices[In-Degree])</f>
        <v>4</v>
      </c>
      <c r="G57" s="44">
        <f>COUNTIF(Vertices[In-Degree],"&gt;= "&amp;F57)-COUNTIF(Vertices[In-Degree],"&gt;="&amp;F58)</f>
        <v>1</v>
      </c>
      <c r="H57" s="43">
        <f>MAX(Vertices[Out-Degree])</f>
        <v>4</v>
      </c>
      <c r="I57" s="44">
        <f>COUNTIF(Vertices[Out-Degree],"&gt;= "&amp;H57)-COUNTIF(Vertices[Out-Degree],"&gt;="&amp;H58)</f>
        <v>2</v>
      </c>
      <c r="J57" s="43">
        <f>MAX(Vertices[Betweenness Centrality])</f>
        <v>24</v>
      </c>
      <c r="K57" s="44">
        <f>COUNTIF(Vertices[Betweenness Centrality],"&gt;= "&amp;J57)-COUNTIF(Vertices[Betweenness Centrality],"&gt;="&amp;J58)</f>
        <v>1</v>
      </c>
      <c r="L57" s="43">
        <f>MAX(Vertices[Closeness Centrality])</f>
        <v>0.083333</v>
      </c>
      <c r="M57" s="44">
        <f>COUNTIF(Vertices[Closeness Centrality],"&gt;= "&amp;L57)-COUNTIF(Vertices[Closeness Centrality],"&gt;="&amp;L58)</f>
        <v>1</v>
      </c>
      <c r="N57" s="43">
        <f>MAX(Vertices[Eigenvector Centrality])</f>
        <v>0.199814</v>
      </c>
      <c r="O57" s="44">
        <f>COUNTIF(Vertices[Eigenvector Centrality],"&gt;= "&amp;N57)-COUNTIF(Vertices[Eigenvector Centrality],"&gt;="&amp;N58)</f>
        <v>1</v>
      </c>
      <c r="P57" s="43">
        <f>MAX(Vertices[PageRank])</f>
        <v>1.548561</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f>_xlfn.IFERROR(MEDIAN(Vertices[Degree]),NoMetricMessage)</f>
        <v>3</v>
      </c>
    </row>
    <row r="69" spans="1:2" ht="15">
      <c r="A69" s="35" t="s">
        <v>88</v>
      </c>
      <c r="B69" s="48">
        <f>IF(COUNT(Vertices[In-Degree])&gt;0,F2,NoMetricMessage)</f>
        <v>1</v>
      </c>
    </row>
    <row r="70" spans="1:2" ht="15">
      <c r="A70" s="35" t="s">
        <v>89</v>
      </c>
      <c r="B70" s="48">
        <f>IF(COUNT(Vertices[In-Degree])&gt;0,F57,NoMetricMessage)</f>
        <v>4</v>
      </c>
    </row>
    <row r="71" spans="1:2" ht="15">
      <c r="A71" s="35" t="s">
        <v>90</v>
      </c>
      <c r="B71" s="49">
        <f>_xlfn.IFERROR(AVERAGE(Vertices[In-Degree]),NoMetricMessage)</f>
        <v>2.3333333333333335</v>
      </c>
    </row>
    <row r="72" spans="1:2" ht="15">
      <c r="A72" s="35" t="s">
        <v>91</v>
      </c>
      <c r="B72" s="49">
        <f>_xlfn.IFERROR(MEDIAN(Vertices[In-Degree]),NoMetricMessage)</f>
        <v>2</v>
      </c>
    </row>
    <row r="83" spans="1:2" ht="15">
      <c r="A83" s="35" t="s">
        <v>94</v>
      </c>
      <c r="B83" s="48">
        <f>IF(COUNT(Vertices[Out-Degree])&gt;0,H2,NoMetricMessage)</f>
        <v>1</v>
      </c>
    </row>
    <row r="84" spans="1:2" ht="15">
      <c r="A84" s="35" t="s">
        <v>95</v>
      </c>
      <c r="B84" s="48">
        <f>IF(COUNT(Vertices[Out-Degree])&gt;0,H57,NoMetricMessage)</f>
        <v>4</v>
      </c>
    </row>
    <row r="85" spans="1:2" ht="15">
      <c r="A85" s="35" t="s">
        <v>96</v>
      </c>
      <c r="B85" s="49">
        <f>_xlfn.IFERROR(AVERAGE(Vertices[Out-Degree]),NoMetricMessage)</f>
        <v>2.3333333333333335</v>
      </c>
    </row>
    <row r="86" spans="1:2" ht="15">
      <c r="A86" s="35" t="s">
        <v>97</v>
      </c>
      <c r="B86" s="49">
        <f>_xlfn.IFERROR(MEDIAN(Vertices[Out-Degree]),NoMetricMessage)</f>
        <v>2</v>
      </c>
    </row>
    <row r="97" spans="1:2" ht="15">
      <c r="A97" s="35" t="s">
        <v>100</v>
      </c>
      <c r="B97" s="49">
        <f>IF(COUNT(Vertices[Betweenness Centrality])&gt;0,J2,NoMetricMessage)</f>
        <v>0</v>
      </c>
    </row>
    <row r="98" spans="1:2" ht="15">
      <c r="A98" s="35" t="s">
        <v>101</v>
      </c>
      <c r="B98" s="49">
        <f>IF(COUNT(Vertices[Betweenness Centrality])&gt;0,J57,NoMetricMessage)</f>
        <v>24</v>
      </c>
    </row>
    <row r="99" spans="1:2" ht="15">
      <c r="A99" s="35" t="s">
        <v>102</v>
      </c>
      <c r="B99" s="49">
        <f>_xlfn.IFERROR(AVERAGE(Vertices[Betweenness Centrality]),NoMetricMessage)</f>
        <v>9.333333333333334</v>
      </c>
    </row>
    <row r="100" spans="1:2" ht="15">
      <c r="A100" s="35" t="s">
        <v>103</v>
      </c>
      <c r="B100" s="49">
        <f>_xlfn.IFERROR(MEDIAN(Vertices[Betweenness Centrality]),NoMetricMessage)</f>
        <v>6</v>
      </c>
    </row>
    <row r="111" spans="1:2" ht="15">
      <c r="A111" s="35" t="s">
        <v>106</v>
      </c>
      <c r="B111" s="49">
        <f>IF(COUNT(Vertices[Closeness Centrality])&gt;0,L2,NoMetricMessage)</f>
        <v>0.038462</v>
      </c>
    </row>
    <row r="112" spans="1:2" ht="15">
      <c r="A112" s="35" t="s">
        <v>107</v>
      </c>
      <c r="B112" s="49">
        <f>IF(COUNT(Vertices[Closeness Centrality])&gt;0,L57,NoMetricMessage)</f>
        <v>0.083333</v>
      </c>
    </row>
    <row r="113" spans="1:2" ht="15">
      <c r="A113" s="35" t="s">
        <v>108</v>
      </c>
      <c r="B113" s="49">
        <f>_xlfn.IFERROR(AVERAGE(Vertices[Closeness Centrality]),NoMetricMessage)</f>
        <v>0.060972666666666675</v>
      </c>
    </row>
    <row r="114" spans="1:2" ht="15">
      <c r="A114" s="35" t="s">
        <v>109</v>
      </c>
      <c r="B114" s="49">
        <f>_xlfn.IFERROR(MEDIAN(Vertices[Closeness Centrality]),NoMetricMessage)</f>
        <v>0.0625</v>
      </c>
    </row>
    <row r="125" spans="1:2" ht="15">
      <c r="A125" s="35" t="s">
        <v>112</v>
      </c>
      <c r="B125" s="49">
        <f>IF(COUNT(Vertices[Eigenvector Centrality])&gt;0,N2,NoMetricMessage)</f>
        <v>0.00919</v>
      </c>
    </row>
    <row r="126" spans="1:2" ht="15">
      <c r="A126" s="35" t="s">
        <v>113</v>
      </c>
      <c r="B126" s="49">
        <f>IF(COUNT(Vertices[Eigenvector Centrality])&gt;0,N57,NoMetricMessage)</f>
        <v>0.199814</v>
      </c>
    </row>
    <row r="127" spans="1:2" ht="15">
      <c r="A127" s="35" t="s">
        <v>114</v>
      </c>
      <c r="B127" s="49">
        <f>_xlfn.IFERROR(AVERAGE(Vertices[Eigenvector Centrality]),NoMetricMessage)</f>
        <v>0.1111111111111111</v>
      </c>
    </row>
    <row r="128" spans="1:2" ht="15">
      <c r="A128" s="35" t="s">
        <v>115</v>
      </c>
      <c r="B128" s="49">
        <f>_xlfn.IFERROR(MEDIAN(Vertices[Eigenvector Centrality]),NoMetricMessage)</f>
        <v>0.11243</v>
      </c>
    </row>
    <row r="139" spans="1:2" ht="15">
      <c r="A139" s="35" t="s">
        <v>140</v>
      </c>
      <c r="B139" s="49">
        <f>IF(COUNT(Vertices[PageRank])&gt;0,P2,NoMetricMessage)</f>
        <v>0.450617</v>
      </c>
    </row>
    <row r="140" spans="1:2" ht="15">
      <c r="A140" s="35" t="s">
        <v>141</v>
      </c>
      <c r="B140" s="49">
        <f>IF(COUNT(Vertices[PageRank])&gt;0,P57,NoMetricMessage)</f>
        <v>1.548561</v>
      </c>
    </row>
    <row r="141" spans="1:2" ht="15">
      <c r="A141" s="35" t="s">
        <v>142</v>
      </c>
      <c r="B141" s="49">
        <f>_xlfn.IFERROR(AVERAGE(Vertices[PageRank]),NoMetricMessage)</f>
        <v>0.999938888888889</v>
      </c>
    </row>
    <row r="142" spans="1:2" ht="15">
      <c r="A142" s="35" t="s">
        <v>143</v>
      </c>
      <c r="B142" s="49">
        <f>_xlfn.IFERROR(MEDIAN(Vertices[PageRank]),NoMetricMessage)</f>
        <v>1.061014</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0.3259259259259259</v>
      </c>
    </row>
    <row r="156" spans="1:2" ht="15">
      <c r="A156" s="35" t="s">
        <v>121</v>
      </c>
      <c r="B156"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308</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194</v>
      </c>
      <c r="K7" t="s">
        <v>295</v>
      </c>
    </row>
    <row r="8" spans="1:11" ht="15">
      <c r="A8"/>
      <c r="B8">
        <v>2</v>
      </c>
      <c r="C8">
        <v>2</v>
      </c>
      <c r="D8" t="s">
        <v>61</v>
      </c>
      <c r="E8" t="s">
        <v>61</v>
      </c>
      <c r="H8" t="s">
        <v>73</v>
      </c>
      <c r="J8" t="s">
        <v>195</v>
      </c>
      <c r="K8" t="s">
        <v>296</v>
      </c>
    </row>
    <row r="9" spans="1:11" ht="409.5">
      <c r="A9"/>
      <c r="B9">
        <v>3</v>
      </c>
      <c r="C9">
        <v>4</v>
      </c>
      <c r="D9" t="s">
        <v>62</v>
      </c>
      <c r="E9" t="s">
        <v>62</v>
      </c>
      <c r="H9" t="s">
        <v>74</v>
      </c>
      <c r="J9" t="s">
        <v>196</v>
      </c>
      <c r="K9" s="124" t="s">
        <v>309</v>
      </c>
    </row>
    <row r="10" spans="1:11" ht="409.5">
      <c r="A10"/>
      <c r="B10">
        <v>4</v>
      </c>
      <c r="D10" t="s">
        <v>63</v>
      </c>
      <c r="E10" t="s">
        <v>63</v>
      </c>
      <c r="H10" t="s">
        <v>75</v>
      </c>
      <c r="J10" t="s">
        <v>259</v>
      </c>
      <c r="K10" s="13" t="s">
        <v>310</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05" t="s">
        <v>201</v>
      </c>
      <c r="B1" s="105" t="s">
        <v>202</v>
      </c>
      <c r="C1" s="105" t="s">
        <v>263</v>
      </c>
      <c r="D1" s="105" t="s">
        <v>265</v>
      </c>
      <c r="E1" s="105" t="s">
        <v>264</v>
      </c>
      <c r="F1" s="105" t="s">
        <v>267</v>
      </c>
      <c r="G1" s="105" t="s">
        <v>266</v>
      </c>
      <c r="H1" s="105" t="s">
        <v>294</v>
      </c>
    </row>
    <row r="2" spans="1:8" ht="15">
      <c r="A2" s="105"/>
      <c r="B2" s="105"/>
      <c r="C2" s="105"/>
      <c r="D2" s="105"/>
      <c r="E2" s="105"/>
      <c r="F2" s="105"/>
      <c r="G2" s="105"/>
      <c r="H2" s="105"/>
    </row>
    <row r="4" spans="1:8" ht="15" customHeight="1">
      <c r="A4" s="105" t="s">
        <v>204</v>
      </c>
      <c r="B4" s="105" t="s">
        <v>202</v>
      </c>
      <c r="C4" s="105" t="s">
        <v>268</v>
      </c>
      <c r="D4" s="105" t="s">
        <v>265</v>
      </c>
      <c r="E4" s="105" t="s">
        <v>269</v>
      </c>
      <c r="F4" s="105" t="s">
        <v>267</v>
      </c>
      <c r="G4" s="105" t="s">
        <v>270</v>
      </c>
      <c r="H4" s="105" t="s">
        <v>294</v>
      </c>
    </row>
    <row r="5" spans="1:8" ht="15">
      <c r="A5" s="105"/>
      <c r="B5" s="105"/>
      <c r="C5" s="105"/>
      <c r="D5" s="105"/>
      <c r="E5" s="105"/>
      <c r="F5" s="105"/>
      <c r="G5" s="105"/>
      <c r="H5" s="105"/>
    </row>
    <row r="7" spans="1:8" ht="15" customHeight="1">
      <c r="A7" s="105" t="s">
        <v>206</v>
      </c>
      <c r="B7" s="105" t="s">
        <v>202</v>
      </c>
      <c r="C7" s="105" t="s">
        <v>271</v>
      </c>
      <c r="D7" s="105" t="s">
        <v>265</v>
      </c>
      <c r="E7" s="105" t="s">
        <v>272</v>
      </c>
      <c r="F7" s="105" t="s">
        <v>267</v>
      </c>
      <c r="G7" s="105" t="s">
        <v>273</v>
      </c>
      <c r="H7" s="105" t="s">
        <v>294</v>
      </c>
    </row>
    <row r="8" spans="1:8" ht="15">
      <c r="A8" s="105"/>
      <c r="B8" s="105"/>
      <c r="C8" s="105"/>
      <c r="D8" s="105"/>
      <c r="E8" s="105"/>
      <c r="F8" s="105"/>
      <c r="G8" s="105"/>
      <c r="H8" s="105"/>
    </row>
    <row r="10" spans="1:8" ht="15" customHeight="1">
      <c r="A10" s="13" t="s">
        <v>208</v>
      </c>
      <c r="B10" s="13" t="s">
        <v>202</v>
      </c>
      <c r="C10" s="105" t="s">
        <v>274</v>
      </c>
      <c r="D10" s="105" t="s">
        <v>265</v>
      </c>
      <c r="E10" s="105" t="s">
        <v>275</v>
      </c>
      <c r="F10" s="105" t="s">
        <v>267</v>
      </c>
      <c r="G10" s="105" t="s">
        <v>276</v>
      </c>
      <c r="H10" s="105" t="s">
        <v>294</v>
      </c>
    </row>
    <row r="11" spans="1:8" ht="15">
      <c r="A11" s="107" t="s">
        <v>209</v>
      </c>
      <c r="B11" s="107">
        <v>0</v>
      </c>
      <c r="C11" s="107"/>
      <c r="D11" s="107"/>
      <c r="E11" s="107"/>
      <c r="F11" s="107"/>
      <c r="G11" s="107"/>
      <c r="H11" s="107"/>
    </row>
    <row r="12" spans="1:8" ht="15">
      <c r="A12" s="107" t="s">
        <v>210</v>
      </c>
      <c r="B12" s="107">
        <v>0</v>
      </c>
      <c r="C12" s="107"/>
      <c r="D12" s="107"/>
      <c r="E12" s="107"/>
      <c r="F12" s="107"/>
      <c r="G12" s="107"/>
      <c r="H12" s="107"/>
    </row>
    <row r="13" spans="1:8" ht="15">
      <c r="A13" s="107" t="s">
        <v>211</v>
      </c>
      <c r="B13" s="107">
        <v>0</v>
      </c>
      <c r="C13" s="107"/>
      <c r="D13" s="107"/>
      <c r="E13" s="107"/>
      <c r="F13" s="107"/>
      <c r="G13" s="107"/>
      <c r="H13" s="107"/>
    </row>
    <row r="14" spans="1:8" ht="15">
      <c r="A14" s="107" t="s">
        <v>212</v>
      </c>
      <c r="B14" s="107">
        <v>0</v>
      </c>
      <c r="C14" s="107"/>
      <c r="D14" s="107"/>
      <c r="E14" s="107"/>
      <c r="F14" s="107"/>
      <c r="G14" s="107"/>
      <c r="H14" s="107"/>
    </row>
    <row r="15" spans="1:8" ht="15">
      <c r="A15" s="107" t="s">
        <v>213</v>
      </c>
      <c r="B15" s="107">
        <v>0</v>
      </c>
      <c r="C15" s="107"/>
      <c r="D15" s="107"/>
      <c r="E15" s="107"/>
      <c r="F15" s="107"/>
      <c r="G15" s="107"/>
      <c r="H15" s="107"/>
    </row>
    <row r="18" spans="1:8" ht="15" customHeight="1">
      <c r="A18" s="105" t="s">
        <v>215</v>
      </c>
      <c r="B18" s="105" t="s">
        <v>202</v>
      </c>
      <c r="C18" s="105" t="s">
        <v>277</v>
      </c>
      <c r="D18" s="105" t="s">
        <v>265</v>
      </c>
      <c r="E18" s="105" t="s">
        <v>278</v>
      </c>
      <c r="F18" s="105" t="s">
        <v>267</v>
      </c>
      <c r="G18" s="105" t="s">
        <v>279</v>
      </c>
      <c r="H18" s="105" t="s">
        <v>294</v>
      </c>
    </row>
    <row r="19" spans="1:8" ht="15">
      <c r="A19" s="105"/>
      <c r="B19" s="105"/>
      <c r="C19" s="105"/>
      <c r="D19" s="105"/>
      <c r="E19" s="105"/>
      <c r="F19" s="105"/>
      <c r="G19" s="105"/>
      <c r="H19" s="105"/>
    </row>
    <row r="21" spans="1:8" ht="15" customHeight="1">
      <c r="A21" s="105" t="s">
        <v>217</v>
      </c>
      <c r="B21" s="105" t="s">
        <v>202</v>
      </c>
      <c r="C21" s="105" t="s">
        <v>280</v>
      </c>
      <c r="D21" s="105" t="s">
        <v>265</v>
      </c>
      <c r="E21" s="105" t="s">
        <v>281</v>
      </c>
      <c r="F21" s="105" t="s">
        <v>267</v>
      </c>
      <c r="G21" s="105" t="s">
        <v>284</v>
      </c>
      <c r="H21" s="105" t="s">
        <v>294</v>
      </c>
    </row>
    <row r="22" spans="1:8" ht="15">
      <c r="A22" s="105"/>
      <c r="B22" s="105"/>
      <c r="C22" s="105"/>
      <c r="D22" s="105"/>
      <c r="E22" s="105"/>
      <c r="F22" s="105"/>
      <c r="G22" s="105"/>
      <c r="H22" s="105"/>
    </row>
    <row r="24" spans="1:8" ht="15" customHeight="1">
      <c r="A24" s="105" t="s">
        <v>218</v>
      </c>
      <c r="B24" s="105" t="s">
        <v>202</v>
      </c>
      <c r="C24" s="105" t="s">
        <v>282</v>
      </c>
      <c r="D24" s="105" t="s">
        <v>265</v>
      </c>
      <c r="E24" s="105" t="s">
        <v>283</v>
      </c>
      <c r="F24" s="105" t="s">
        <v>267</v>
      </c>
      <c r="G24" s="105" t="s">
        <v>285</v>
      </c>
      <c r="H24" s="105" t="s">
        <v>294</v>
      </c>
    </row>
    <row r="25" spans="1:8" ht="15">
      <c r="A25" s="105"/>
      <c r="B25" s="105"/>
      <c r="C25" s="105"/>
      <c r="D25" s="105"/>
      <c r="E25" s="105"/>
      <c r="F25" s="105"/>
      <c r="G25" s="105"/>
      <c r="H25" s="105"/>
    </row>
    <row r="27" spans="1:8" ht="15" customHeight="1">
      <c r="A27" s="105" t="s">
        <v>221</v>
      </c>
      <c r="B27" s="105" t="s">
        <v>202</v>
      </c>
      <c r="C27" s="105" t="s">
        <v>286</v>
      </c>
      <c r="D27" s="105" t="s">
        <v>265</v>
      </c>
      <c r="E27" s="105" t="s">
        <v>287</v>
      </c>
      <c r="F27" s="105" t="s">
        <v>267</v>
      </c>
      <c r="G27" s="105" t="s">
        <v>288</v>
      </c>
      <c r="H27" s="105" t="s">
        <v>294</v>
      </c>
    </row>
    <row r="28" spans="1:8" ht="15">
      <c r="A28" s="108"/>
      <c r="B28" s="105"/>
      <c r="C28" s="108"/>
      <c r="D28" s="105"/>
      <c r="E28" s="108"/>
      <c r="F28" s="105"/>
      <c r="G28" s="108"/>
      <c r="H28" s="105"/>
    </row>
  </sheetData>
  <printOptions/>
  <pageMargins left="0.7" right="0.7" top="0.75" bottom="0.75" header="0.3" footer="0.3"/>
  <pageSetup orientation="portrait" paperSize="9"/>
  <tableParts>
    <tablePart r:id="rId1"/>
    <tablePart r:id="rId3"/>
    <tablePart r:id="rId6"/>
    <tablePart r:id="rId4"/>
    <tablePart r:id="rId7"/>
    <tablePart r:id="rId5"/>
    <tablePart r:id="rId8"/>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4728A60-00EC-48C5-B62C-4055320611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2019-02-27T17:51:58Z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