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Group Edge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<sst xmlns="http://schemas.openxmlformats.org/spreadsheetml/2006/main" count="995" uniqueCount="316">
  <si>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</si>
  <si>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</si>
  <si>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</si>
  <si>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</si>
  <si>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</si>
  <si>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</si>
  <si>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</si>
  <si>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</si>
  <si>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</si>
  <si>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</si>
  <si>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</si>
  <si>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</si>
  <si>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</si>
  <si>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</si>
  <si>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</si>
  <si>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</si>
  <si>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</si>
  <si>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</si>
  <si>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</si>
  <si>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</si>
  <si>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</si>
  <si>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</si>
  <si>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</si>
  <si>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</si>
  <si>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</si>
  <si>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</si>
  <si>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</si>
  <si>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</si>
  <si>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</si>
  <si>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</si>
  <si>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</si>
  <si>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</si>
  <si>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</si>
  <si>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</si>
  <si>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</si>
  <si>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</si>
  <si>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</si>
  <si>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</si>
  <si>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</si>
  <si>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</si>
  <si>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</si>
  <si>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</si>
  <si>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</si>
  <si>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</si>
  <si>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</si>
  <si>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</si>
  <si>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</si>
  <si>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</si>
  <si>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</si>
  <si>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</si>
  <si>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</si>
  <si>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</si>
  <si>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</si>
  <si>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</si>
  <si>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</si>
  <si>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</si>
  <si>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</si>
  <si>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</si>
  <si>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</si>
  <si>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</si>
  <si>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</si>
  <si>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</si>
  <si>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</si>
  <si>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</si>
  <si>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</si>
  <si>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</si>
  <si>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</si>
  <si>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</si>
  <si>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</si>
  <si>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</si>
  <si>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</si>
  <si>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</si>
  <si>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</si>
  <si>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</si>
  <si>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</si>
  <si>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</si>
  <si>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</si>
  <si>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</si>
  <si>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</si>
  <si>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</si>
  <si>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</si>
  <si>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</si>
  <si>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</si>
  <si>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</si>
  <si>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</si>
  <si>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</si>
  <si>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</si>
  <si>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</si>
  <si>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</si>
  <si>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</si>
  <si>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</si>
  <si>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</si>
  <si>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</si>
  <si>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</si>
  <si>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</si>
  <si>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</si>
  <si>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</si>
  <si>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</si>
  <si>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</si>
  <si>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</si>
  <si>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</si>
  <si>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</si>
  <si>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</si>
  <si>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</si>
  <si>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</si>
  <si>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</si>
  <si>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</si>
  <si>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</si>
  <si>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</si>
  <si>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</si>
  <si>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</si>
  <si>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</si>
  <si>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</si>
  <si>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</si>
  <si>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</si>
  <si>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</si>
  <si>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</si>
  <si>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</si>
  <si>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</si>
  <si>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</si>
  <si>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</si>
  <si>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</si>
  <si>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</si>
  <si>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</si>
  <si>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</si>
  <si>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</si>
  <si>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</si>
  <si>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</si>
  <si>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</si>
  <si>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</si>
  <si>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</si>
  <si>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</si>
  <si>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</si>
  <si>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</si>
  <si>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</si>
  <si>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</si>
  <si>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</si>
  <si>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</si>
  <si>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</si>
  <si>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</si>
  <si>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</si>
  <si>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</si>
  <si>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</si>
  <si>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</si>
  <si>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</si>
  <si>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</si>
  <si>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</si>
  <si>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</si>
  <si>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</si>
  <si>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</si>
  <si>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</si>
  <si>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</si>
  <si>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</si>
  <si>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</si>
  <si>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</si>
  <si>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</si>
  <si>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</si>
  <si>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</si>
  <si>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</si>
  <si>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</si>
  <si>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</si>
  <si>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</si>
  <si>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</si>
  <si>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</si>
  <si>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</si>
  <si>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</si>
  <si>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</si>
  <si>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</si>
  <si>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</si>
  <si>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</si>
  <si>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</si>
  <si>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</si>
  <si>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</si>
  <si>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</si>
  <si>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Cleo</t>
  </si>
  <si>
    <t>Devineaux</t>
  </si>
  <si>
    <t>Zack</t>
  </si>
  <si>
    <t>Ivy</t>
  </si>
  <si>
    <t>Carmen</t>
  </si>
  <si>
    <t>Cleaner 1</t>
  </si>
  <si>
    <t>Guest 1</t>
  </si>
  <si>
    <t>Guest 2</t>
  </si>
  <si>
    <t>Guest 3</t>
  </si>
  <si>
    <t>Guest 4</t>
  </si>
  <si>
    <t>Guest 5</t>
  </si>
  <si>
    <t>Cleaner 2</t>
  </si>
  <si>
    <t>Julia</t>
  </si>
  <si>
    <t>Player</t>
  </si>
  <si>
    <t>Guest 6</t>
  </si>
  <si>
    <t>Chief</t>
  </si>
  <si>
    <t>Graph History</t>
  </si>
  <si>
    <t>Type of interaction</t>
  </si>
  <si>
    <t>talked to</t>
  </si>
  <si>
    <t>taught</t>
  </si>
  <si>
    <t>visited</t>
  </si>
  <si>
    <t>yelled at</t>
  </si>
  <si>
    <t>Frequency</t>
  </si>
  <si>
    <t>called</t>
  </si>
  <si>
    <t>chased</t>
  </si>
  <si>
    <t>cleaned</t>
  </si>
  <si>
    <t>had dinner with</t>
  </si>
  <si>
    <t>stole from</t>
  </si>
  <si>
    <t>Autofill Workbook Results</t>
  </si>
  <si>
    <t>Workbook Settings 2</t>
  </si>
  <si>
    <t>Graph Type</t>
  </si>
  <si>
    <t>Modularity</t>
  </si>
  <si>
    <t>NodeXL Version</t>
  </si>
  <si>
    <t>1.0.1.409</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</si>
  <si>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</si>
  <si>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</si>
  <si>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</si>
  <si>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</si>
  <si>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</si>
  <si>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</si>
  <si>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</si>
  <si>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</si>
  <si>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</si>
  <si>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</si>
  <si>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</si>
  <si>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</si>
  <si>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</si>
  <si>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</si>
  <si>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</si>
  <si>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</si>
  <si>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</si>
  <si>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</si>
  <si>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</si>
  <si>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</si>
  <si>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</si>
  <si>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</si>
  <si>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</si>
  <si>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</si>
  <si>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</si>
  <si>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</si>
  <si>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</si>
  <si>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</si>
  <si>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</si>
  <si>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
  </si>
  <si>
    <t>Top Words in Tweet by Salience</t>
  </si>
  <si>
    <t>Top Word Pairs in Tweet by Count</t>
  </si>
  <si>
    <t>Top Word Pairs in Tweet by Salience</t>
  </si>
  <si>
    <t>G1</t>
  </si>
  <si>
    <t>G2</t>
  </si>
  <si>
    <t>G3</t>
  </si>
  <si>
    <t>0, 12, 96</t>
  </si>
  <si>
    <t>0, 136, 227</t>
  </si>
  <si>
    <t>0, 100, 50</t>
  </si>
  <si>
    <t>Vertex Group</t>
  </si>
  <si>
    <t>Vertex 1 Group</t>
  </si>
  <si>
    <t>Vertex 2 Group</t>
  </si>
  <si>
    <t>G4</t>
  </si>
  <si>
    <t>0, 176, 22</t>
  </si>
  <si>
    <t>Name</t>
  </si>
  <si>
    <t>Dinner Party</t>
  </si>
  <si>
    <t>Team Red</t>
  </si>
  <si>
    <t>ACME</t>
  </si>
  <si>
    <t>VILE</t>
  </si>
  <si>
    <t>Directed</t>
  </si>
  <si>
    <t>Workbook Settings 3</t>
  </si>
  <si>
    <t>LayoutAlgorithm░The graph was laid out using the Fruchterman-Reingold layout algorithm.▓GraphDirectedness░The graph is directed.▓GroupingDescription░The graph's vertices were grouped by cluster using the Wakita-Tsurumi cluster algorithm.</t>
  </si>
  <si>
    <t>black</t>
  </si>
  <si>
    <t>red</t>
  </si>
  <si>
    <t>green</t>
  </si>
  <si>
    <t>blue</t>
  </si>
  <si>
    <t>Group 1</t>
  </si>
  <si>
    <t>Group 2</t>
  </si>
  <si>
    <t>Edges</t>
  </si>
  <si>
    <t>Top URLs in Tweet in G1</t>
  </si>
  <si>
    <t>Top URLs in Tweet in G2</t>
  </si>
  <si>
    <t>G1 Count</t>
  </si>
  <si>
    <t>Top URLs in Tweet in G3</t>
  </si>
  <si>
    <t>G2 Count</t>
  </si>
  <si>
    <t>Top URLs in Tweet in G4</t>
  </si>
  <si>
    <t>G3 Count</t>
  </si>
  <si>
    <t>G4 Count</t>
  </si>
  <si>
    <t>Top Domains in Tweet in G1</t>
  </si>
  <si>
    <t>Top Domains in Tweet in G2</t>
  </si>
  <si>
    <t>Top Domains in Tweet in G3</t>
  </si>
  <si>
    <t>Top Domains in Tweet in G4</t>
  </si>
  <si>
    <t>Top Hashtags in Tweet in G1</t>
  </si>
  <si>
    <t>Top Hashtags in Tweet in G2</t>
  </si>
  <si>
    <t>Top Hashtags in Tweet in G3</t>
  </si>
  <si>
    <t>Top Hashtags in Tweet in G4</t>
  </si>
  <si>
    <t>Top Words in Tweet in G1</t>
  </si>
  <si>
    <t>Top Words in Tweet in G2</t>
  </si>
  <si>
    <t>Top Words in Tweet in G3</t>
  </si>
  <si>
    <t>Top Words in Tweet in G4</t>
  </si>
  <si>
    <t>Top Word Pairs in Tweet in G1</t>
  </si>
  <si>
    <t>Top Word Pairs in Tweet in G2</t>
  </si>
  <si>
    <t>Top Word Pairs in Tweet in G3</t>
  </si>
  <si>
    <t>Top Word Pairs in Tweet in G4</t>
  </si>
  <si>
    <t>Top Replied-To in G1</t>
  </si>
  <si>
    <t>Top Replied-To in G2</t>
  </si>
  <si>
    <t>Top Mentioned in G1</t>
  </si>
  <si>
    <t>Top Mentioned in G2</t>
  </si>
  <si>
    <t>Top Replied-To in G3</t>
  </si>
  <si>
    <t>Top Mentioned in G3</t>
  </si>
  <si>
    <t>Top Replied-To in G4</t>
  </si>
  <si>
    <t>Top Mentioned in G4</t>
  </si>
  <si>
    <t>Top Tweeters in G1</t>
  </si>
  <si>
    <t>Top Tweeters in G2</t>
  </si>
  <si>
    <t>Top Tweeters in G3</t>
  </si>
  <si>
    <t>Top Tweeters in G4</t>
  </si>
  <si>
    <t>▓0▓0▓0▓True▓Black▓Black▓▓Frequency▓1▓10▓2▓1▓6▓False▓▓0▓0▓0▓0▓0▓False▓▓0▓0▓0▓True▓Black▓Black▓▓Eigenvector Centrality▓0.013071▓0.100892▓3▓1.5▓18▓True▓Degree▓2▓16▓0▓55▓100▓False▓▓0▓0▓0▓0▓0▓False▓▓0▓0▓0▓0▓0▓False</t>
  </si>
  <si>
    <t>purple</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</si>
  <si>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&lt;GraphZoomAndScaleUserSettings&gt;
      &lt;setting name="GraphScale" serializeAs="String"&gt;
        &lt;value&gt;0.92&lt;/value&gt;
      &lt;/setting&gt;
    &lt;/GraphZoomAndScaleUserSettings&gt;
    &lt;GeneralUserSettings4&gt;
      &lt;setting name="NewWorkbookGraphDirectedness" serializeAs="String"&gt;
        &lt;value&gt;Directed&lt;/value&gt;
      &lt;/setting&gt;
      &lt;setting name="VertexRadius" serializeAs="String"&gt;
        &lt;value&gt;1.5&lt;/value&gt;
      &lt;/setting&gt;
      &lt;setting name="SelectedEdgeColor" serializeAs="String"&gt;
        &lt;value&gt;Red&lt;/value&gt;
      &lt;/setting&gt;
      &lt;setting name="VertexRelativeOuterGlowSize" serializeAs="String"&gt;
        &lt;value&gt;3&lt;/value&gt;
      &lt;/setting&gt;
      &lt;setting name="LabelUserSettings" serializeAs="String"&gt;
        &lt;value&gt;Microsoft Sans Serif, 8.25pt White BottomCenter 2147483647 2147483647 Black True 200 Blue 86 TopLeft Microsoft Sans Serif, 8.25pt Microsoft Sans Serif, 14.25pt&lt;/value&gt;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&lt;setting name="ShowGraphLegend" serializeAs="String"&gt;
        &lt;value&gt;True&lt;/value&gt;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t>
  </si>
  <si>
    <t>/setting&gt;
    &lt;/GeneralUserSettings4&gt;
    &lt;LayoutUserSettings&gt;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&lt;setting name="Layout" serializeAs="String"&gt;
        &lt;value&gt;Null&lt;/value&gt;
      &lt;/setting&gt;
    &lt;/LayoutUserSettings&gt;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&lt;ClusterUserSettings&gt;
      &lt;setting name="ClusterAlgorithm" serializeAs="String"&gt;
        &lt;value&gt;WakitaTsurumi&lt;/value&gt;
      &lt;/setting&gt;
      &lt;setting name="PutNeighborlessVerticesInOneCluster" serializeAs="String"&gt;
        &lt;value&gt;False&lt;/value&gt;
      &lt;/setting&gt;
    &lt;/ClusterUserSettings&gt;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name="GroupCollapsedSourceColumnName" serializeAs="String"&gt;
        &lt;value /&gt;
      &lt;/setting&gt;
      &lt;setting name="EdgeWidthSourceColumnName" serializeAs="String"&gt;
        &lt;value&gt;Frequency&lt;/value&gt;
      &lt;/setting&gt;
      &lt;setting name="VertexColorSourceColumnName" serializeAs="String"&gt;
        &lt;value /&gt;
      &lt;/setting&gt;
      &lt;setting name="VertexRadiusSourceColumnName" serializeAs="String"&gt;
        &lt;value&gt;Eigenvector Centrality&lt;/value&gt;
      &lt;/setting&gt;
      &lt;setting name="VertexRadiusDetails" serializeAs="String"&gt;
        &lt;value&gt;False False 0 0 1.5 18 False True&lt;/value&gt;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Solid Dash&lt;/value&gt;
      &lt;/setting&gt;
      &lt;setting name="VertexShapeSourceColumnName" serializeAs="String"&gt;
        &lt;value /&gt;
      &lt;/setting&gt;
      &lt;setting name="VertexAlphaSourceColumnName" serializeAs="String"&gt;
        &lt;value&gt;Degree&lt;/value&gt;
      &lt;/setting&gt;
      &lt;setting name="VertexLayoutOrderSourceColumnName" serializeAs="String"&gt;
        &lt;value /&gt;
      &lt;/setting&gt;
      &lt;setting name="EdgeVisibilityDetails" serializeAs="String"&gt;
        &lt;value&gt;GreaterThan 0 Show Skip&lt;/value&gt;
      &lt;/setting&gt;
      &lt;setting name="VertexVisibilitySourceColumnName" serializeAs="String"&gt;
        &lt;value /&gt;
      &lt;/setting&gt;
      &lt;setting name="GroupLabelSourceColumnName" serializeAs="String"&gt;
        &lt;value&gt;Name&lt;/value&gt;
      &lt;/setting&gt;
      &lt;setting name="EdgeColorSourceColumnName" serializeAs="String"&gt;
        &lt;value /&gt;
      &lt;/setting&gt;
      &lt;setting name="VertexLabelSourceColumnName" serializeAs="String"&gt;
        &lt;value&gt;Vertex&lt;/value&gt;
      &lt;/setting&gt;
      &lt;setting name="VertexLabelFillColorSourceColumnName" serializeAs="String"&gt;
        &lt;value /&gt;
      &lt;/setting&gt;
      &lt;setting name="VertexColorDetails" serializeAs="String"&gt;
        &lt;value&gt;False False 0 10 241, 137, 4 46, 7, 195 False False True&lt;/value&gt;
      &lt;/setting&gt;
      &lt;setting name="VertexPolarAngleSourceColumnName" serializeAs="String"&gt;
        &lt;value /&gt;
      &lt;/setting&gt;
      &lt;setting name="VertexPolarRDetails" serializeAs="String"&gt;
        &lt;value&gt;False False 0 0 0 1 False False&lt;/value&gt;
      &lt;/setting&gt;
      &lt;setting na</t>
  </si>
  <si>
    <t>0.050</t>
  </si>
  <si>
    <t>0.034</t>
  </si>
  <si>
    <t>0.059</t>
  </si>
  <si>
    <t>0.032</t>
  </si>
  <si>
    <t>0.056</t>
  </si>
  <si>
    <t>0.036</t>
  </si>
  <si>
    <t>0.037</t>
  </si>
  <si>
    <t>0.042</t>
  </si>
  <si>
    <t>me="VertexToolTipSourceColumnName" serializeAs="String"&gt;
        &lt;value&gt;Closeness Centrality&lt;/value&gt;
      &lt;/setting&gt;
      &lt;setting name="EdgeAlphaSourceColumnName" serializeAs="String"&gt;
        &lt;value /&gt;
      &lt;/setting&gt;
      &lt;setting name="VertexLabelPositionSourceColumnName" serializeAs="String"&gt;
        &lt;value /&gt;
      &lt;/setting&gt;
      &lt;setting name="VertexShapeDetails" serializeAs="String"&gt;
        &lt;value&gt;GreaterThan 0 Solid Square Disk&lt;/value&gt;
      &lt;/setting&gt;
      &lt;setting name="EdgeStyleSourceColumnName" serializeAs="String"&gt;
        &lt;value /&gt;
      &lt;/setting&gt;
      &lt;setting name="VertexLabelFillColorDetails" serializeAs="String"&gt;
        &lt;value&gt;False False 0 10 241, 137, 4 46, 7, 195 False False True&lt;/value&gt;
      &lt;/setting&gt;
      &lt;setting name="VertexYSourceColumnName" serializeAs="String"&gt;
        &lt;value /&gt;
      &lt;/setting&gt;
      &lt;setting name="VertexAlphaDetails" serializeAs="String"&gt;
        &lt;value&gt;False False 0 0 55 100 False False&lt;/value&gt;
      &lt;/setting&gt;
      &lt;setting name="EdgeVisibilitySourceColumnName" serializeAs="String"&gt;
        &lt;value /&gt;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0 0 1 6 False False&lt;/value&gt;
      &lt;/setting&gt;
      &lt;setting name="VertexXSourceColumnName" serializeAs="String"&gt;
        &lt;value /&gt;
      &lt;/setting&gt;
      &lt;setting name="EdgeColorDetails" serializeAs="String"&gt;
        &lt;value&gt;False False 0 10 241, 137, 4 46, 7, 195 False False True&lt;/value&gt;
      &lt;/setting&gt;
      &lt;setting name="GroupLabelDetails" serializeAs="String"&gt;
        &lt;value&gt;False&lt;/value&gt;
      &lt;/setting&gt;
    &lt;/AutoFillUserSettings3&gt;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</si>
</sst>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
    <numFmt numFmtId="167" formatCode="0.000"/>
    <numFmt numFmtId="177" formatCode="0"/>
    <numFmt numFmtId="178" formatCode="General"/>
    <numFmt numFmtId="179" formatCode="@"/>
    <numFmt numFmtId="180" formatCode="0.00"/>
    <numFmt numFmtId="181"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Border="1" applyAlignment="1">
      <alignment wrapText="1"/>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0" fontId="0" fillId="2" borderId="11" xfId="20" applyNumberFormat="1" applyFont="1" applyBorder="1"/>
    <xf numFmtId="0" fontId="0" fillId="0" borderId="0" xfId="21" applyNumberFormat="1" applyFont="1" applyBorder="1"/>
    <xf numFmtId="2" fontId="0" fillId="0" borderId="0" xfId="0" applyNumberFormat="1" applyAlignment="1">
      <alignment wrapText="1"/>
    </xf>
    <xf numFmtId="0" fontId="0" fillId="0" borderId="0" xfId="0" applyBorder="1" applyAlignment="1">
      <alignment wrapText="1"/>
    </xf>
    <xf numFmtId="2" fontId="0" fillId="0" borderId="0" xfId="0" applyNumberFormat="1" applyBorder="1" applyAlignment="1">
      <alignment wrapText="1"/>
    </xf>
    <xf numFmtId="2" fontId="0" fillId="0" borderId="0" xfId="0" applyNumberFormat="1" applyFill="1" applyAlignment="1">
      <alignment vertical="center" wrapText="1"/>
    </xf>
    <xf numFmtId="0" fontId="0" fillId="0" borderId="0" xfId="0" applyAlignment="1">
      <alignment/>
    </xf>
    <xf numFmtId="0" fontId="0" fillId="3" borderId="1" xfId="27" applyNumberFormat="1" applyAlignment="1">
      <alignment/>
    </xf>
    <xf numFmtId="0" fontId="0" fillId="0" borderId="0" xfId="0" applyFill="1" applyAlignment="1">
      <alignment/>
    </xf>
    <xf numFmtId="0" fontId="0" fillId="0" borderId="0" xfId="0" applyAlignment="1" quotePrefix="1">
      <alignment/>
    </xf>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0" borderId="0" xfId="0" applyFill="1" applyBorder="1" applyAlignment="1">
      <alignment/>
    </xf>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49" fontId="0" fillId="0" borderId="7" xfId="22" applyNumberFormat="1" applyFont="1" applyBorder="1" applyAlignment="1">
      <alignment/>
    </xf>
    <xf numFmtId="0" fontId="0" fillId="0" borderId="0" xfId="22" applyFont="1" applyAlignment="1">
      <alignment/>
    </xf>
    <xf numFmtId="0" fontId="0" fillId="0" borderId="0" xfId="22" applyFont="1" applyAlignment="1">
      <alignment wrapText="1"/>
    </xf>
    <xf numFmtId="0" fontId="0" fillId="0" borderId="0" xfId="0" applyAlignment="1" quotePrefix="1">
      <alignment wrapText="1"/>
    </xf>
    <xf numFmtId="0" fontId="0" fillId="4" borderId="1" xfId="24" applyNumberFormat="1" applyFon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80" formatCode="0.00"/>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66" formatCode="#,##0.000"/>
      <border>
        <right style="thin">
          <color theme="0"/>
        </right>
      </border>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1"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9"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0626423"/>
        <c:axId val="52984624"/>
      </c:barChart>
      <c:catAx>
        <c:axId val="506264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984624"/>
        <c:crosses val="autoZero"/>
        <c:auto val="1"/>
        <c:lblOffset val="100"/>
        <c:noMultiLvlLbl val="0"/>
      </c:catAx>
      <c:valAx>
        <c:axId val="52984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26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7099569"/>
        <c:axId val="63896122"/>
      </c:barChart>
      <c:catAx>
        <c:axId val="70995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896122"/>
        <c:crosses val="autoZero"/>
        <c:auto val="1"/>
        <c:lblOffset val="100"/>
        <c:noMultiLvlLbl val="0"/>
      </c:catAx>
      <c:valAx>
        <c:axId val="63896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99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8194187"/>
        <c:axId val="8203364"/>
      </c:barChart>
      <c:catAx>
        <c:axId val="381941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203364"/>
        <c:crosses val="autoZero"/>
        <c:auto val="1"/>
        <c:lblOffset val="100"/>
        <c:noMultiLvlLbl val="0"/>
      </c:catAx>
      <c:valAx>
        <c:axId val="82033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94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721413"/>
        <c:axId val="60492718"/>
      </c:barChart>
      <c:catAx>
        <c:axId val="67214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492718"/>
        <c:crosses val="autoZero"/>
        <c:auto val="1"/>
        <c:lblOffset val="100"/>
        <c:noMultiLvlLbl val="0"/>
      </c:catAx>
      <c:valAx>
        <c:axId val="60492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21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7563551"/>
        <c:axId val="963096"/>
      </c:barChart>
      <c:catAx>
        <c:axId val="75635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63096"/>
        <c:crosses val="autoZero"/>
        <c:auto val="1"/>
        <c:lblOffset val="100"/>
        <c:noMultiLvlLbl val="0"/>
      </c:catAx>
      <c:valAx>
        <c:axId val="963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63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8667865"/>
        <c:axId val="10901922"/>
      </c:barChart>
      <c:catAx>
        <c:axId val="86678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901922"/>
        <c:crosses val="autoZero"/>
        <c:auto val="1"/>
        <c:lblOffset val="100"/>
        <c:noMultiLvlLbl val="0"/>
      </c:catAx>
      <c:valAx>
        <c:axId val="10901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67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008435"/>
        <c:axId val="10640460"/>
      </c:barChart>
      <c:catAx>
        <c:axId val="310084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640460"/>
        <c:crosses val="autoZero"/>
        <c:auto val="1"/>
        <c:lblOffset val="100"/>
        <c:noMultiLvlLbl val="0"/>
      </c:catAx>
      <c:valAx>
        <c:axId val="10640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08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8655277"/>
        <c:axId val="56570902"/>
      </c:barChart>
      <c:catAx>
        <c:axId val="286552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570902"/>
        <c:crosses val="autoZero"/>
        <c:auto val="1"/>
        <c:lblOffset val="100"/>
        <c:noMultiLvlLbl val="0"/>
      </c:catAx>
      <c:valAx>
        <c:axId val="56570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55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9376071"/>
        <c:axId val="18840320"/>
      </c:barChart>
      <c:catAx>
        <c:axId val="39376071"/>
        <c:scaling>
          <c:orientation val="minMax"/>
        </c:scaling>
        <c:axPos val="b"/>
        <c:delete val="1"/>
        <c:majorTickMark val="out"/>
        <c:minorTickMark val="none"/>
        <c:tickLblPos val="none"/>
        <c:crossAx val="18840320"/>
        <c:crosses val="autoZero"/>
        <c:auto val="1"/>
        <c:lblOffset val="100"/>
        <c:noMultiLvlLbl val="0"/>
      </c:catAx>
      <c:valAx>
        <c:axId val="18840320"/>
        <c:scaling>
          <c:orientation val="minMax"/>
        </c:scaling>
        <c:axPos val="l"/>
        <c:delete val="1"/>
        <c:majorTickMark val="out"/>
        <c:minorTickMark val="none"/>
        <c:tickLblPos val="none"/>
        <c:crossAx val="393760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R101" totalsRowShown="0" headerRowDxfId="220" dataDxfId="219">
  <autoFilter ref="A2:R101"/>
  <tableColumns count="18">
    <tableColumn id="1" name="Vertex 1" dataDxfId="162"/>
    <tableColumn id="2" name="Vertex 2" dataDxfId="161"/>
    <tableColumn id="3" name="Color" dataDxfId="218"/>
    <tableColumn id="4" name="Width" dataDxfId="217"/>
    <tableColumn id="11" name="Style" dataDxfId="216"/>
    <tableColumn id="5" name="Opacity" dataDxfId="215"/>
    <tableColumn id="6" name="Visibility" dataDxfId="214"/>
    <tableColumn id="10" name="Label" dataDxfId="213"/>
    <tableColumn id="12" name="Label Text Color" dataDxfId="212"/>
    <tableColumn id="13" name="Label Font Size" dataDxfId="211"/>
    <tableColumn id="14" name="Reciprocated?" dataDxfId="25"/>
    <tableColumn id="7" name="ID" dataDxfId="210"/>
    <tableColumn id="9" name="Dynamic Filter" dataDxfId="209"/>
    <tableColumn id="8" name="Add Your Own Columns Here" dataDxfId="208"/>
    <tableColumn id="15" name="Type of interaction" dataDxfId="160"/>
    <tableColumn id="16" name="Frequency" dataDxfId="151"/>
    <tableColumn id="17" name="Vertex 1 Group" dataDxfId="150">
      <calculatedColumnFormula>REPLACE(INDEX(GroupVertices[Group], MATCH(Edges[[#This Row],[Vertex 1]],GroupVertices[Vertex],0)),1,1,"")</calculatedColumnFormula>
    </tableColumn>
    <tableColumn id="18" name="Vertex 2 Group" dataDxfId="149">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6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0" name="TwitterSearchNetworkTopItems_1" displayName="TwitterSearchNetworkTopItems_1" ref="A1:J2" totalsRowShown="0" headerRowDxfId="141" dataDxfId="140">
  <autoFilter ref="A1:J2"/>
  <tableColumns count="10">
    <tableColumn id="1" name="Top URLs in Tweet in Entire Graph" dataDxfId="139"/>
    <tableColumn id="2" name="Entire Graph Count" dataDxfId="138"/>
    <tableColumn id="3" name="Top URLs in Tweet in G1" dataDxfId="137"/>
    <tableColumn id="4" name="G1 Count" dataDxfId="136"/>
    <tableColumn id="5" name="Top URLs in Tweet in G2" dataDxfId="135"/>
    <tableColumn id="6" name="G2 Count" dataDxfId="134"/>
    <tableColumn id="7" name="Top URLs in Tweet in G3" dataDxfId="133"/>
    <tableColumn id="8" name="G3 Count" dataDxfId="132"/>
    <tableColumn id="9" name="Top URLs in Tweet in G4" dataDxfId="131"/>
    <tableColumn id="10" name="G4 Count" dataDxfId="130"/>
  </tableColumns>
  <tableStyleInfo name="NodeXL Table" showFirstColumn="0" showLastColumn="0" showRowStripes="1" showColumnStripes="0"/>
</table>
</file>

<file path=xl/tables/table12.xml><?xml version="1.0" encoding="utf-8"?>
<table xmlns="http://schemas.openxmlformats.org/spreadsheetml/2006/main" id="21" name="TwitterSearchNetworkTopItems_2" displayName="TwitterSearchNetworkTopItems_2" ref="A4:J5" totalsRowShown="0" headerRowDxfId="129" dataDxfId="128">
  <autoFilter ref="A4:J5"/>
  <tableColumns count="10">
    <tableColumn id="1" name="Top Domains in Tweet in Entire Graph" dataDxfId="127"/>
    <tableColumn id="2" name="Entire Graph Count" dataDxfId="126"/>
    <tableColumn id="3" name="Top Domains in Tweet in G1" dataDxfId="125"/>
    <tableColumn id="4" name="G1 Count" dataDxfId="124"/>
    <tableColumn id="5" name="Top Domains in Tweet in G2" dataDxfId="123"/>
    <tableColumn id="6" name="G2 Count" dataDxfId="122"/>
    <tableColumn id="7" name="Top Domains in Tweet in G3" dataDxfId="121"/>
    <tableColumn id="8" name="G3 Count" dataDxfId="120"/>
    <tableColumn id="9" name="Top Domains in Tweet in G4" dataDxfId="119"/>
    <tableColumn id="10" name="G4 Count" dataDxfId="118"/>
  </tableColumns>
  <tableStyleInfo name="NodeXL Table" showFirstColumn="0" showLastColumn="0" showRowStripes="1" showColumnStripes="0"/>
</table>
</file>

<file path=xl/tables/table13.xml><?xml version="1.0" encoding="utf-8"?>
<table xmlns="http://schemas.openxmlformats.org/spreadsheetml/2006/main" id="22" name="TwitterSearchNetworkTopItems_3" displayName="TwitterSearchNetworkTopItems_3" ref="A7:J8" totalsRowShown="0" headerRowDxfId="117" dataDxfId="116">
  <autoFilter ref="A7:J8"/>
  <tableColumns count="10">
    <tableColumn id="1" name="Top Hashtags in Tweet in Entire Graph" dataDxfId="115"/>
    <tableColumn id="2" name="Entire Graph Count" dataDxfId="114"/>
    <tableColumn id="3" name="Top Hashtags in Tweet in G1" dataDxfId="113"/>
    <tableColumn id="4" name="G1 Count" dataDxfId="112"/>
    <tableColumn id="5" name="Top Hashtags in Tweet in G2" dataDxfId="111"/>
    <tableColumn id="6" name="G2 Count" dataDxfId="110"/>
    <tableColumn id="7" name="Top Hashtags in Tweet in G3" dataDxfId="109"/>
    <tableColumn id="8" name="G3 Count" dataDxfId="108"/>
    <tableColumn id="9" name="Top Hashtags in Tweet in G4" dataDxfId="107"/>
    <tableColumn id="10" name="G4 Count" dataDxfId="106"/>
  </tableColumns>
  <tableStyleInfo name="NodeXL Table" showFirstColumn="0" showLastColumn="0" showRowStripes="1" showColumnStripes="0"/>
</table>
</file>

<file path=xl/tables/table14.xml><?xml version="1.0" encoding="utf-8"?>
<table xmlns="http://schemas.openxmlformats.org/spreadsheetml/2006/main" id="23" name="TwitterSearchNetworkTopItems_4" displayName="TwitterSearchNetworkTopItems_4" ref="A10:J15" totalsRowShown="0" headerRowDxfId="104" dataDxfId="103">
  <autoFilter ref="A10:J15"/>
  <tableColumns count="10">
    <tableColumn id="1" name="Top Words in Tweet in Entire Graph" dataDxfId="102"/>
    <tableColumn id="2" name="Entire Graph Count" dataDxfId="101"/>
    <tableColumn id="3" name="Top Words in Tweet in G1" dataDxfId="100"/>
    <tableColumn id="4" name="G1 Count" dataDxfId="99"/>
    <tableColumn id="5" name="Top Words in Tweet in G2" dataDxfId="98"/>
    <tableColumn id="6" name="G2 Count" dataDxfId="97"/>
    <tableColumn id="7" name="Top Words in Tweet in G3" dataDxfId="96"/>
    <tableColumn id="8" name="G3 Count" dataDxfId="95"/>
    <tableColumn id="9" name="Top Words in Tweet in G4" dataDxfId="94"/>
    <tableColumn id="10" name="G4 Count" dataDxfId="93"/>
  </tableColumns>
  <tableStyleInfo name="NodeXL Table" showFirstColumn="0" showLastColumn="0" showRowStripes="1" showColumnStripes="0"/>
</table>
</file>

<file path=xl/tables/table15.xml><?xml version="1.0" encoding="utf-8"?>
<table xmlns="http://schemas.openxmlformats.org/spreadsheetml/2006/main" id="24" name="TwitterSearchNetworkTopItems_5" displayName="TwitterSearchNetworkTopItems_5" ref="A18:J19" totalsRowShown="0" headerRowDxfId="91" dataDxfId="90">
  <autoFilter ref="A18:J19"/>
  <tableColumns count="10">
    <tableColumn id="1" name="Top Word Pairs in Tweet in Entire Graph" dataDxfId="89"/>
    <tableColumn id="2" name="Entire Graph Count" dataDxfId="88"/>
    <tableColumn id="3" name="Top Word Pairs in Tweet in G1" dataDxfId="87"/>
    <tableColumn id="4" name="G1 Count" dataDxfId="86"/>
    <tableColumn id="5" name="Top Word Pairs in Tweet in G2" dataDxfId="85"/>
    <tableColumn id="6" name="G2 Count" dataDxfId="84"/>
    <tableColumn id="7" name="Top Word Pairs in Tweet in G3" dataDxfId="83"/>
    <tableColumn id="8" name="G3 Count" dataDxfId="82"/>
    <tableColumn id="9" name="Top Word Pairs in Tweet in G4" dataDxfId="81"/>
    <tableColumn id="10" name="G4 Count" dataDxfId="80"/>
  </tableColumns>
  <tableStyleInfo name="NodeXL Table" showFirstColumn="0" showLastColumn="0" showRowStripes="1" showColumnStripes="0"/>
</table>
</file>

<file path=xl/tables/table16.xml><?xml version="1.0" encoding="utf-8"?>
<table xmlns="http://schemas.openxmlformats.org/spreadsheetml/2006/main" id="25" name="TwitterSearchNetworkTopItems_6" displayName="TwitterSearchNetworkTopItems_6" ref="A21:J22" totalsRowShown="0" headerRowDxfId="78" dataDxfId="77">
  <autoFilter ref="A21:J22"/>
  <tableColumns count="10">
    <tableColumn id="1" name="Top Replied-To in Entire Graph" dataDxfId="76"/>
    <tableColumn id="2" name="Entire Graph Count" dataDxfId="72"/>
    <tableColumn id="3" name="Top Replied-To in G1" dataDxfId="71"/>
    <tableColumn id="4" name="G1 Count" dataDxfId="68"/>
    <tableColumn id="5" name="Top Replied-To in G2" dataDxfId="67"/>
    <tableColumn id="6" name="G2 Count" dataDxfId="64"/>
    <tableColumn id="7" name="Top Replied-To in G3" dataDxfId="63"/>
    <tableColumn id="8" name="G3 Count" dataDxfId="60"/>
    <tableColumn id="9" name="Top Replied-To in G4" dataDxfId="59"/>
    <tableColumn id="10" name="G4 Count" dataDxfId="58"/>
  </tableColumns>
  <tableStyleInfo name="NodeXL Table" showFirstColumn="0" showLastColumn="0" showRowStripes="1" showColumnStripes="0"/>
</table>
</file>

<file path=xl/tables/table17.xml><?xml version="1.0" encoding="utf-8"?>
<table xmlns="http://schemas.openxmlformats.org/spreadsheetml/2006/main" id="26" name="TwitterSearchNetworkTopItems_7" displayName="TwitterSearchNetworkTopItems_7" ref="A24:J25" totalsRowShown="0" headerRowDxfId="75" dataDxfId="74">
  <autoFilter ref="A24:J25"/>
  <tableColumns count="10">
    <tableColumn id="1" name="Top Mentioned in Entire Graph" dataDxfId="73"/>
    <tableColumn id="2" name="Entire Graph Count" dataDxfId="70"/>
    <tableColumn id="3" name="Top Mentioned in G1" dataDxfId="69"/>
    <tableColumn id="4" name="G1 Count" dataDxfId="66"/>
    <tableColumn id="5" name="Top Mentioned in G2" dataDxfId="65"/>
    <tableColumn id="6" name="G2 Count" dataDxfId="62"/>
    <tableColumn id="7" name="Top Mentioned in G3" dataDxfId="61"/>
    <tableColumn id="8" name="G3 Count" dataDxfId="57"/>
    <tableColumn id="9" name="Top Mentioned in G4" dataDxfId="56"/>
    <tableColumn id="10" name="G4 Count" dataDxfId="55"/>
  </tableColumns>
  <tableStyleInfo name="NodeXL Table" showFirstColumn="0" showLastColumn="0" showRowStripes="1" showColumnStripes="0"/>
</table>
</file>

<file path=xl/tables/table18.xml><?xml version="1.0" encoding="utf-8"?>
<table xmlns="http://schemas.openxmlformats.org/spreadsheetml/2006/main" id="27" name="TwitterSearchNetworkTopItems_8" displayName="TwitterSearchNetworkTopItems_8" ref="A27:J28" totalsRowShown="0" headerRowDxfId="52" dataDxfId="51">
  <autoFilter ref="A27:J28"/>
  <tableColumns count="10">
    <tableColumn id="1" name="Top Tweeters in Entire Graph" dataDxfId="50"/>
    <tableColumn id="2" name="Entire Graph Count" dataDxfId="49"/>
    <tableColumn id="3" name="Top Tweeters in G1" dataDxfId="48"/>
    <tableColumn id="4" name="G1 Count" dataDxfId="47"/>
    <tableColumn id="5" name="Top Tweeters in G2" dataDxfId="46"/>
    <tableColumn id="6" name="G2 Count" dataDxfId="45"/>
    <tableColumn id="7" name="Top Tweeters in G3" dataDxfId="44"/>
    <tableColumn id="8" name="G3 Count" dataDxfId="43"/>
    <tableColumn id="9" name="Top Tweeters in G4" dataDxfId="42"/>
    <tableColumn id="10" name="G4 Count" dataDxfId="41"/>
  </tableColumns>
  <tableStyleInfo name="NodeXL Table" showFirstColumn="0" showLastColumn="0" showRowStripes="1" showColumnStripes="0"/>
</table>
</file>

<file path=xl/tables/table19.xml><?xml version="1.0" encoding="utf-8"?>
<table xmlns="http://schemas.openxmlformats.org/spreadsheetml/2006/main" id="19" name="GroupEdges" displayName="GroupEdges" ref="A2:C15" totalsRowShown="0" headerRowDxfId="148" dataDxfId="147">
  <autoFilter ref="A2:C15"/>
  <tableColumns count="3">
    <tableColumn id="1" name="Group 1" dataDxfId="146"/>
    <tableColumn id="2" name="Group 2" dataDxfId="145"/>
    <tableColumn id="3" name="Edges" dataDxfId="14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N19" totalsRowShown="0" headerRowDxfId="207" dataDxfId="206">
  <autoFilter ref="A2:AN19"/>
  <tableColumns count="40">
    <tableColumn id="1" name="Vertex" dataDxfId="205"/>
    <tableColumn id="2" name="Color" dataDxfId="204"/>
    <tableColumn id="5" name="Shape" dataDxfId="203"/>
    <tableColumn id="6" name="Size" dataDxfId="202"/>
    <tableColumn id="4" name="Opacity" dataDxfId="201"/>
    <tableColumn id="7" name="Image File" dataDxfId="200"/>
    <tableColumn id="3" name="Visibility" dataDxfId="199"/>
    <tableColumn id="10" name="Label" dataDxfId="198"/>
    <tableColumn id="16" name="Label Fill Color" dataDxfId="197"/>
    <tableColumn id="9" name="Label Position" dataDxfId="196"/>
    <tableColumn id="8" name="Tooltip" dataDxfId="195"/>
    <tableColumn id="18" name="Layout Order" dataDxfId="194"/>
    <tableColumn id="13" name="X" dataDxfId="193"/>
    <tableColumn id="14" name="Y" dataDxfId="192"/>
    <tableColumn id="12" name="Locked?" dataDxfId="191"/>
    <tableColumn id="19" name="Polar R" dataDxfId="190"/>
    <tableColumn id="20" name="Polar Angle" dataDxfId="159"/>
    <tableColumn id="21" name="Degree" dataDxfId="0">
      <calculatedColumnFormula>S3+T3</calculatedColumnFormula>
    </tableColumn>
    <tableColumn id="22" name="In-Degree" dataDxfId="8"/>
    <tableColumn id="23" name="Out-Degree" dataDxfId="5"/>
    <tableColumn id="24" name="Betweenness Centrality" dataDxfId="4"/>
    <tableColumn id="25" name="Closeness Centrality" dataDxfId="3"/>
    <tableColumn id="26" name="Eigenvector Centrality" dataDxfId="1"/>
    <tableColumn id="15" name="PageRank" dataDxfId="2"/>
    <tableColumn id="27" name="Clustering Coefficient" dataDxfId="6"/>
    <tableColumn id="29" name="Reciprocated Vertex Pair Ratio" dataDxfId="7"/>
    <tableColumn id="11" name="ID" dataDxfId="189"/>
    <tableColumn id="28" name="Dynamic Filter" dataDxfId="188"/>
    <tableColumn id="17" name="Add Your Own Columns Here" dataDxfId="37"/>
    <tableColumn id="30" name="Top URLs in Tweet by Count" dataDxfId="36"/>
    <tableColumn id="31" name="Top URLs in Tweet by Salience" dataDxfId="35"/>
    <tableColumn id="32" name="Top Domains in Tweet by Count" dataDxfId="34"/>
    <tableColumn id="33" name="Top Domains in Tweet by Salience" dataDxfId="33"/>
    <tableColumn id="34" name="Top Hashtags in Tweet by Count" dataDxfId="32"/>
    <tableColumn id="35" name="Top Hashtags in Tweet by Salience" dataDxfId="31"/>
    <tableColumn id="36" name="Top Words in Tweet by Count" dataDxfId="30"/>
    <tableColumn id="37" name="Top Words in Tweet by Salience" dataDxfId="29"/>
    <tableColumn id="38" name="Top Word Pairs in Tweet by Count" dataDxfId="28"/>
    <tableColumn id="39" name="Top Word Pairs in Tweet by Salience" dataDxfId="26"/>
    <tableColumn id="40" name="Vertex Group" dataDxfId="2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AG6" totalsRowShown="0" headerRowDxfId="187">
  <autoFilter ref="A2:AG6"/>
  <tableColumns count="33">
    <tableColumn id="1" name="Group" dataDxfId="158"/>
    <tableColumn id="2" name="Vertex Color" dataDxfId="157"/>
    <tableColumn id="3" name="Vertex Shape" dataDxfId="155"/>
    <tableColumn id="22" name="Visibility" dataDxfId="156"/>
    <tableColumn id="4" name="Collapsed?"/>
    <tableColumn id="18" name="Label" dataDxfId="186"/>
    <tableColumn id="20" name="Collapsed X"/>
    <tableColumn id="21" name="Collapsed Y"/>
    <tableColumn id="6" name="ID" dataDxfId="185"/>
    <tableColumn id="19" name="Collapsed Properties" dataDxfId="24"/>
    <tableColumn id="5" name="Vertices" dataDxfId="23"/>
    <tableColumn id="7" name="Unique Edges" dataDxfId="22"/>
    <tableColumn id="8" name="Edges With Duplicates" dataDxfId="21"/>
    <tableColumn id="9" name="Total Edges" dataDxfId="20"/>
    <tableColumn id="10" name="Self-Loops" dataDxfId="19"/>
    <tableColumn id="24" name="Reciprocated Vertex Pair Ratio" dataDxfId="18"/>
    <tableColumn id="25" name="Reciprocated Edge Ratio" dataDxfId="17"/>
    <tableColumn id="11" name="Connected Components" dataDxfId="16"/>
    <tableColumn id="12" name="Single-Vertex Connected Components" dataDxfId="15"/>
    <tableColumn id="13" name="Maximum Vertices in a Connected Component" dataDxfId="14"/>
    <tableColumn id="14" name="Maximum Edges in a Connected Component" dataDxfId="13"/>
    <tableColumn id="15" name="Maximum Geodesic Distance (Diameter)" dataDxfId="12"/>
    <tableColumn id="16" name="Average Geodesic Distance" dataDxfId="11"/>
    <tableColumn id="17" name="Graph Density" dataDxfId="9"/>
    <tableColumn id="23" name="Top URLs in Tweet" dataDxfId="10"/>
    <tableColumn id="26" name="Top Domains in Tweet" dataDxfId="105"/>
    <tableColumn id="27" name="Top Hashtags in Tweet" dataDxfId="92"/>
    <tableColumn id="28" name="Top Words in Tweet" dataDxfId="79"/>
    <tableColumn id="29" name="Top Word Pairs in Tweet" dataDxfId="54"/>
    <tableColumn id="30" name="Top Replied-To in Tweet" dataDxfId="53"/>
    <tableColumn id="31" name="Top Mentioned in Tweet" dataDxfId="40"/>
    <tableColumn id="32" name="Top Tweeters" dataDxfId="38"/>
    <tableColumn id="33" name="Name" dataDxfId="3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184" dataDxfId="183">
  <autoFilter ref="A1:C18"/>
  <tableColumns count="3">
    <tableColumn id="1" name="Group" dataDxfId="154"/>
    <tableColumn id="2" name="Vertex" dataDxfId="153"/>
    <tableColumn id="3" name="Vertex ID" dataDxfId="1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43"/>
    <tableColumn id="2" name="Value" dataDxfId="14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82"/>
    <tableColumn id="2" name="Degree Frequency" dataDxfId="181">
      <calculatedColumnFormula>COUNTIF(Vertices[Degree], "&gt;= " &amp; D2) - COUNTIF(Vertices[Degree], "&gt;=" &amp; D3)</calculatedColumnFormula>
    </tableColumn>
    <tableColumn id="3" name="In-Degree Bin" dataDxfId="180"/>
    <tableColumn id="4" name="In-Degree Frequency" dataDxfId="179">
      <calculatedColumnFormula>COUNTIF(Vertices[In-Degree], "&gt;= " &amp; F2) - COUNTIF(Vertices[In-Degree], "&gt;=" &amp; F3)</calculatedColumnFormula>
    </tableColumn>
    <tableColumn id="5" name="Out-Degree Bin" dataDxfId="178"/>
    <tableColumn id="6" name="Out-Degree Frequency" dataDxfId="177">
      <calculatedColumnFormula>COUNTIF(Vertices[Out-Degree], "&gt;= " &amp; H2) - COUNTIF(Vertices[Out-Degree], "&gt;=" &amp; H3)</calculatedColumnFormula>
    </tableColumn>
    <tableColumn id="7" name="Betweenness Centrality Bin" dataDxfId="176"/>
    <tableColumn id="8" name="Betweenness Centrality Frequency" dataDxfId="175">
      <calculatedColumnFormula>COUNTIF(Vertices[Betweenness Centrality], "&gt;= " &amp; J2) - COUNTIF(Vertices[Betweenness Centrality], "&gt;=" &amp; J3)</calculatedColumnFormula>
    </tableColumn>
    <tableColumn id="9" name="Closeness Centrality Bin" dataDxfId="174"/>
    <tableColumn id="10" name="Closeness Centrality Frequency" dataDxfId="173">
      <calculatedColumnFormula>COUNTIF(Vertices[Closeness Centrality], "&gt;= " &amp; L2) - COUNTIF(Vertices[Closeness Centrality], "&gt;=" &amp; L3)</calculatedColumnFormula>
    </tableColumn>
    <tableColumn id="11" name="Eigenvector Centrality Bin" dataDxfId="172"/>
    <tableColumn id="12" name="Eigenvector Centrality Frequency" dataDxfId="171">
      <calculatedColumnFormula>COUNTIF(Vertices[Eigenvector Centrality], "&gt;= " &amp; N2) - COUNTIF(Vertices[Eigenvector Centrality], "&gt;=" &amp; N3)</calculatedColumnFormula>
    </tableColumn>
    <tableColumn id="18" name="PageRank Bin" dataDxfId="170"/>
    <tableColumn id="17" name="PageRank Frequency" dataDxfId="169">
      <calculatedColumnFormula>COUNTIF(Vertices[Eigenvector Centrality], "&gt;= " &amp; P2) - COUNTIF(Vertices[Eigenvector Centrality], "&gt;=" &amp; P3)</calculatedColumnFormula>
    </tableColumn>
    <tableColumn id="13" name="Clustering Coefficient Bin" dataDxfId="168"/>
    <tableColumn id="14" name="Clustering Coefficient Frequency" dataDxfId="167">
      <calculatedColumnFormula>COUNTIF(Vertices[Clustering Coefficient], "&gt;= " &amp; R2) - COUNTIF(Vertices[Clustering Coefficient], "&gt;=" &amp; R3)</calculatedColumnFormula>
    </tableColumn>
    <tableColumn id="15" name="Dynamic Filter Bin" dataDxfId="166"/>
    <tableColumn id="16" name="Dynamic Filter Frequency" dataDxfId="16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64">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1"/>
  <sheetViews>
    <sheetView workbookViewId="0" topLeftCell="A1">
      <pane xSplit="2" ySplit="2" topLeftCell="C74" activePane="bottomRight" state="frozen"/>
      <selection pane="topRight" activeCell="C1" sqref="C1"/>
      <selection pane="bottomLeft" activeCell="A3" sqref="A3"/>
      <selection pane="bottomRight" activeCell="A2" sqref="A2:R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7" max="18" width="10.7109375" style="0" bestFit="1" customWidth="1"/>
  </cols>
  <sheetData>
    <row r="1" spans="3:14" ht="15">
      <c r="C1" s="18" t="s">
        <v>39</v>
      </c>
      <c r="D1" s="19"/>
      <c r="E1" s="19"/>
      <c r="F1" s="19"/>
      <c r="G1" s="18"/>
      <c r="H1" s="16" t="s">
        <v>43</v>
      </c>
      <c r="I1" s="64"/>
      <c r="J1" s="64"/>
      <c r="K1" s="35" t="s">
        <v>42</v>
      </c>
      <c r="L1" s="20" t="s">
        <v>40</v>
      </c>
      <c r="M1" s="20"/>
      <c r="N1" s="17" t="s">
        <v>41</v>
      </c>
    </row>
    <row r="2" spans="1:18"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191</v>
      </c>
      <c r="P2" s="13" t="s">
        <v>196</v>
      </c>
      <c r="Q2" s="13" t="s">
        <v>248</v>
      </c>
      <c r="R2" s="13" t="s">
        <v>249</v>
      </c>
    </row>
    <row r="3" spans="1:18" ht="15" customHeight="1">
      <c r="A3" s="50" t="s">
        <v>174</v>
      </c>
      <c r="B3" s="50" t="s">
        <v>133</v>
      </c>
      <c r="C3" s="53"/>
      <c r="D3" s="54">
        <v>1</v>
      </c>
      <c r="E3" s="65" t="s">
        <v>133</v>
      </c>
      <c r="F3" s="55"/>
      <c r="G3" s="53"/>
      <c r="H3" s="57"/>
      <c r="I3" s="56"/>
      <c r="J3" s="56"/>
      <c r="K3" s="36" t="s">
        <v>65</v>
      </c>
      <c r="L3" s="62">
        <v>3</v>
      </c>
      <c r="M3" s="62"/>
      <c r="N3" s="63"/>
      <c r="O3" s="13" t="s">
        <v>197</v>
      </c>
      <c r="P3" s="102">
        <v>1</v>
      </c>
      <c r="Q3" s="106" t="str">
        <f>REPLACE(INDEX(GroupVertices[Group],MATCH(Edges[[#This Row],[Vertex 1]],GroupVertices[Vertex],0)),1,1,"")</f>
        <v>4</v>
      </c>
      <c r="R3" s="106" t="str">
        <f>REPLACE(INDEX(GroupVertices[Group],MATCH(Edges[[#This Row],[Vertex 2]],GroupVertices[Vertex],0)),1,1,"")</f>
        <v>3</v>
      </c>
    </row>
    <row r="4" spans="1:18" ht="15" customHeight="1">
      <c r="A4" s="50" t="s">
        <v>175</v>
      </c>
      <c r="B4" s="50" t="s">
        <v>186</v>
      </c>
      <c r="C4" s="53"/>
      <c r="D4" s="54">
        <v>1.5555555555555556</v>
      </c>
      <c r="E4" s="65" t="s">
        <v>133</v>
      </c>
      <c r="F4" s="55"/>
      <c r="G4" s="53"/>
      <c r="H4" s="57"/>
      <c r="I4" s="56"/>
      <c r="J4" s="56"/>
      <c r="K4" s="36" t="s">
        <v>65</v>
      </c>
      <c r="L4" s="84">
        <v>4</v>
      </c>
      <c r="M4" s="84"/>
      <c r="N4" s="63"/>
      <c r="O4" s="13" t="s">
        <v>197</v>
      </c>
      <c r="P4" s="102">
        <v>2</v>
      </c>
      <c r="Q4" s="106" t="str">
        <f>REPLACE(INDEX(GroupVertices[Group],MATCH(Edges[[#This Row],[Vertex 1]],GroupVertices[Vertex],0)),1,1,"")</f>
        <v>3</v>
      </c>
      <c r="R4" s="106" t="str">
        <f>REPLACE(INDEX(GroupVertices[Group],MATCH(Edges[[#This Row],[Vertex 2]],GroupVertices[Vertex],0)),1,1,"")</f>
        <v>3</v>
      </c>
    </row>
    <row r="5" spans="1:18" ht="15">
      <c r="A5" s="50" t="s">
        <v>176</v>
      </c>
      <c r="B5" s="50" t="s">
        <v>187</v>
      </c>
      <c r="C5" s="53"/>
      <c r="D5" s="54">
        <v>1.5555555555555556</v>
      </c>
      <c r="E5" s="65" t="s">
        <v>133</v>
      </c>
      <c r="F5" s="55"/>
      <c r="G5" s="53"/>
      <c r="H5" s="57"/>
      <c r="I5" s="56"/>
      <c r="J5" s="56"/>
      <c r="K5" s="36" t="s">
        <v>65</v>
      </c>
      <c r="L5" s="84">
        <v>5</v>
      </c>
      <c r="M5" s="84"/>
      <c r="N5" s="63"/>
      <c r="O5" s="13" t="s">
        <v>197</v>
      </c>
      <c r="P5" s="102">
        <v>2</v>
      </c>
      <c r="Q5" s="106" t="str">
        <f>REPLACE(INDEX(GroupVertices[Group],MATCH(Edges[[#This Row],[Vertex 1]],GroupVertices[Vertex],0)),1,1,"")</f>
        <v>2</v>
      </c>
      <c r="R5" s="106" t="str">
        <f>REPLACE(INDEX(GroupVertices[Group],MATCH(Edges[[#This Row],[Vertex 2]],GroupVertices[Vertex],0)),1,1,"")</f>
        <v>2</v>
      </c>
    </row>
    <row r="6" spans="1:18" ht="15">
      <c r="A6" s="50" t="s">
        <v>177</v>
      </c>
      <c r="B6" s="50" t="s">
        <v>187</v>
      </c>
      <c r="C6" s="53"/>
      <c r="D6" s="54">
        <v>3.2222222222222223</v>
      </c>
      <c r="E6" s="65" t="s">
        <v>133</v>
      </c>
      <c r="F6" s="55"/>
      <c r="G6" s="53"/>
      <c r="H6" s="57"/>
      <c r="I6" s="56"/>
      <c r="J6" s="56"/>
      <c r="K6" s="36" t="s">
        <v>65</v>
      </c>
      <c r="L6" s="84">
        <v>6</v>
      </c>
      <c r="M6" s="84"/>
      <c r="N6" s="63"/>
      <c r="O6" s="13" t="s">
        <v>197</v>
      </c>
      <c r="P6" s="102">
        <v>5</v>
      </c>
      <c r="Q6" s="106" t="str">
        <f>REPLACE(INDEX(GroupVertices[Group],MATCH(Edges[[#This Row],[Vertex 1]],GroupVertices[Vertex],0)),1,1,"")</f>
        <v>2</v>
      </c>
      <c r="R6" s="106" t="str">
        <f>REPLACE(INDEX(GroupVertices[Group],MATCH(Edges[[#This Row],[Vertex 2]],GroupVertices[Vertex],0)),1,1,"")</f>
        <v>2</v>
      </c>
    </row>
    <row r="7" spans="1:18" ht="15">
      <c r="A7" s="50" t="s">
        <v>178</v>
      </c>
      <c r="B7" s="50" t="s">
        <v>187</v>
      </c>
      <c r="C7" s="53"/>
      <c r="D7" s="54">
        <v>4.888888888888889</v>
      </c>
      <c r="E7" s="65" t="s">
        <v>133</v>
      </c>
      <c r="F7" s="55"/>
      <c r="G7" s="53"/>
      <c r="H7" s="57"/>
      <c r="I7" s="56"/>
      <c r="J7" s="56"/>
      <c r="K7" s="128" t="s">
        <v>66</v>
      </c>
      <c r="L7" s="84">
        <v>7</v>
      </c>
      <c r="M7" s="84"/>
      <c r="N7" s="63"/>
      <c r="O7" s="13" t="s">
        <v>197</v>
      </c>
      <c r="P7" s="102">
        <v>8</v>
      </c>
      <c r="Q7" s="106" t="str">
        <f>REPLACE(INDEX(GroupVertices[Group],MATCH(Edges[[#This Row],[Vertex 1]],GroupVertices[Vertex],0)),1,1,"")</f>
        <v>2</v>
      </c>
      <c r="R7" s="106" t="str">
        <f>REPLACE(INDEX(GroupVertices[Group],MATCH(Edges[[#This Row],[Vertex 2]],GroupVertices[Vertex],0)),1,1,"")</f>
        <v>2</v>
      </c>
    </row>
    <row r="8" spans="1:18" ht="15">
      <c r="A8" s="81" t="s">
        <v>175</v>
      </c>
      <c r="B8" s="81" t="s">
        <v>178</v>
      </c>
      <c r="C8" s="53"/>
      <c r="D8" s="54">
        <v>1</v>
      </c>
      <c r="E8" s="65"/>
      <c r="F8" s="55"/>
      <c r="G8" s="53"/>
      <c r="H8" s="57"/>
      <c r="I8" s="56"/>
      <c r="J8" s="56"/>
      <c r="K8" s="36" t="s">
        <v>65</v>
      </c>
      <c r="L8" s="84">
        <v>8</v>
      </c>
      <c r="M8" s="84"/>
      <c r="N8" s="63"/>
      <c r="O8" s="103" t="s">
        <v>198</v>
      </c>
      <c r="P8" s="104">
        <v>1</v>
      </c>
      <c r="Q8" s="106" t="str">
        <f>REPLACE(INDEX(GroupVertices[Group],MATCH(Edges[[#This Row],[Vertex 1]],GroupVertices[Vertex],0)),1,1,"")</f>
        <v>3</v>
      </c>
      <c r="R8" s="106" t="str">
        <f>REPLACE(INDEX(GroupVertices[Group],MATCH(Edges[[#This Row],[Vertex 2]],GroupVertices[Vertex],0)),1,1,"")</f>
        <v>2</v>
      </c>
    </row>
    <row r="9" spans="1:18" ht="15">
      <c r="A9" s="50" t="s">
        <v>175</v>
      </c>
      <c r="B9" s="50" t="s">
        <v>177</v>
      </c>
      <c r="C9" s="53"/>
      <c r="D9" s="54">
        <v>1.5555555555555556</v>
      </c>
      <c r="E9" s="65"/>
      <c r="F9" s="55"/>
      <c r="G9" s="53"/>
      <c r="H9" s="57"/>
      <c r="I9" s="56"/>
      <c r="J9" s="56"/>
      <c r="K9" s="36" t="s">
        <v>66</v>
      </c>
      <c r="L9" s="84">
        <v>9</v>
      </c>
      <c r="M9" s="84"/>
      <c r="N9" s="63"/>
      <c r="O9" s="13" t="s">
        <v>198</v>
      </c>
      <c r="P9" s="102">
        <v>2</v>
      </c>
      <c r="Q9" s="106" t="str">
        <f>REPLACE(INDEX(GroupVertices[Group],MATCH(Edges[[#This Row],[Vertex 1]],GroupVertices[Vertex],0)),1,1,"")</f>
        <v>3</v>
      </c>
      <c r="R9" s="106" t="str">
        <f>REPLACE(INDEX(GroupVertices[Group],MATCH(Edges[[#This Row],[Vertex 2]],GroupVertices[Vertex],0)),1,1,"")</f>
        <v>2</v>
      </c>
    </row>
    <row r="10" spans="1:18" ht="15">
      <c r="A10" s="50" t="s">
        <v>179</v>
      </c>
      <c r="B10" s="50" t="s">
        <v>185</v>
      </c>
      <c r="C10" s="53" t="s">
        <v>262</v>
      </c>
      <c r="D10" s="54">
        <v>1</v>
      </c>
      <c r="E10" s="65"/>
      <c r="F10" s="55"/>
      <c r="G10" s="53"/>
      <c r="H10" s="57"/>
      <c r="I10" s="56"/>
      <c r="J10" s="56"/>
      <c r="K10" s="128" t="s">
        <v>66</v>
      </c>
      <c r="L10" s="84">
        <v>10</v>
      </c>
      <c r="M10" s="84"/>
      <c r="N10" s="63"/>
      <c r="O10" s="13" t="s">
        <v>199</v>
      </c>
      <c r="P10" s="102">
        <v>1</v>
      </c>
      <c r="Q10" s="106" t="str">
        <f>REPLACE(INDEX(GroupVertices[Group],MATCH(Edges[[#This Row],[Vertex 1]],GroupVertices[Vertex],0)),1,1,"")</f>
        <v>4</v>
      </c>
      <c r="R10" s="106" t="str">
        <f>REPLACE(INDEX(GroupVertices[Group],MATCH(Edges[[#This Row],[Vertex 2]],GroupVertices[Vertex],0)),1,1,"")</f>
        <v>4</v>
      </c>
    </row>
    <row r="11" spans="1:18" ht="15">
      <c r="A11" s="50" t="s">
        <v>174</v>
      </c>
      <c r="B11" s="50" t="s">
        <v>179</v>
      </c>
      <c r="C11" s="53" t="s">
        <v>262</v>
      </c>
      <c r="D11" s="54">
        <v>1</v>
      </c>
      <c r="E11" s="65"/>
      <c r="F11" s="55"/>
      <c r="G11" s="53"/>
      <c r="H11" s="57"/>
      <c r="I11" s="56"/>
      <c r="J11" s="56"/>
      <c r="K11" s="36" t="s">
        <v>65</v>
      </c>
      <c r="L11" s="84">
        <v>11</v>
      </c>
      <c r="M11" s="84"/>
      <c r="N11" s="63"/>
      <c r="O11" s="13" t="s">
        <v>199</v>
      </c>
      <c r="P11" s="102">
        <v>1</v>
      </c>
      <c r="Q11" s="106" t="str">
        <f>REPLACE(INDEX(GroupVertices[Group],MATCH(Edges[[#This Row],[Vertex 1]],GroupVertices[Vertex],0)),1,1,"")</f>
        <v>4</v>
      </c>
      <c r="R11" s="106" t="str">
        <f>REPLACE(INDEX(GroupVertices[Group],MATCH(Edges[[#This Row],[Vertex 2]],GroupVertices[Vertex],0)),1,1,"")</f>
        <v>4</v>
      </c>
    </row>
    <row r="12" spans="1:18" ht="15">
      <c r="A12" s="50" t="s">
        <v>174</v>
      </c>
      <c r="B12" s="50" t="s">
        <v>185</v>
      </c>
      <c r="C12" s="53" t="s">
        <v>262</v>
      </c>
      <c r="D12" s="54">
        <v>1</v>
      </c>
      <c r="E12" s="65"/>
      <c r="F12" s="55"/>
      <c r="G12" s="53"/>
      <c r="H12" s="57"/>
      <c r="I12" s="56"/>
      <c r="J12" s="56"/>
      <c r="K12" s="36" t="s">
        <v>65</v>
      </c>
      <c r="L12" s="84">
        <v>12</v>
      </c>
      <c r="M12" s="84"/>
      <c r="N12" s="63"/>
      <c r="O12" s="13" t="s">
        <v>199</v>
      </c>
      <c r="P12" s="102">
        <v>1</v>
      </c>
      <c r="Q12" s="106" t="str">
        <f>REPLACE(INDEX(GroupVertices[Group],MATCH(Edges[[#This Row],[Vertex 1]],GroupVertices[Vertex],0)),1,1,"")</f>
        <v>4</v>
      </c>
      <c r="R12" s="106" t="str">
        <f>REPLACE(INDEX(GroupVertices[Group],MATCH(Edges[[#This Row],[Vertex 2]],GroupVertices[Vertex],0)),1,1,"")</f>
        <v>4</v>
      </c>
    </row>
    <row r="13" spans="1:18" ht="45">
      <c r="A13" s="50" t="s">
        <v>174</v>
      </c>
      <c r="B13" s="50" t="s">
        <v>176</v>
      </c>
      <c r="C13" s="53" t="s">
        <v>260</v>
      </c>
      <c r="D13" s="54">
        <v>1</v>
      </c>
      <c r="E13" s="65"/>
      <c r="F13" s="55"/>
      <c r="G13" s="53"/>
      <c r="H13" s="57"/>
      <c r="I13" s="56"/>
      <c r="J13" s="56"/>
      <c r="K13" s="128" t="s">
        <v>66</v>
      </c>
      <c r="L13" s="84">
        <v>13</v>
      </c>
      <c r="M13" s="84"/>
      <c r="N13" s="63"/>
      <c r="O13" s="13" t="s">
        <v>200</v>
      </c>
      <c r="P13" s="102">
        <v>1</v>
      </c>
      <c r="Q13" s="106" t="str">
        <f>REPLACE(INDEX(GroupVertices[Group],MATCH(Edges[[#This Row],[Vertex 1]],GroupVertices[Vertex],0)),1,1,"")</f>
        <v>4</v>
      </c>
      <c r="R13" s="106" t="str">
        <f>REPLACE(INDEX(GroupVertices[Group],MATCH(Edges[[#This Row],[Vertex 2]],GroupVertices[Vertex],0)),1,1,"")</f>
        <v>2</v>
      </c>
    </row>
    <row r="14" spans="1:18" ht="45">
      <c r="A14" s="50" t="s">
        <v>174</v>
      </c>
      <c r="B14" s="50" t="s">
        <v>133</v>
      </c>
      <c r="C14" s="53" t="s">
        <v>260</v>
      </c>
      <c r="D14" s="54">
        <v>1</v>
      </c>
      <c r="E14" s="65"/>
      <c r="F14" s="55"/>
      <c r="G14" s="53"/>
      <c r="H14" s="57"/>
      <c r="I14" s="56"/>
      <c r="J14" s="56"/>
      <c r="K14" s="128" t="s">
        <v>66</v>
      </c>
      <c r="L14" s="84">
        <v>14</v>
      </c>
      <c r="M14" s="84"/>
      <c r="N14" s="63"/>
      <c r="O14" s="13" t="s">
        <v>200</v>
      </c>
      <c r="P14" s="102">
        <v>1</v>
      </c>
      <c r="Q14" s="106" t="str">
        <f>REPLACE(INDEX(GroupVertices[Group],MATCH(Edges[[#This Row],[Vertex 1]],GroupVertices[Vertex],0)),1,1,"")</f>
        <v>4</v>
      </c>
      <c r="R14" s="106" t="str">
        <f>REPLACE(INDEX(GroupVertices[Group],MATCH(Edges[[#This Row],[Vertex 2]],GroupVertices[Vertex],0)),1,1,"")</f>
        <v>3</v>
      </c>
    </row>
    <row r="15" spans="1:18" ht="45">
      <c r="A15" s="50" t="s">
        <v>174</v>
      </c>
      <c r="B15" s="50" t="s">
        <v>180</v>
      </c>
      <c r="C15" s="53" t="s">
        <v>260</v>
      </c>
      <c r="D15" s="54">
        <v>1</v>
      </c>
      <c r="E15" s="65"/>
      <c r="F15" s="55"/>
      <c r="G15" s="53"/>
      <c r="H15" s="57"/>
      <c r="I15" s="56"/>
      <c r="J15" s="56"/>
      <c r="K15" s="128" t="s">
        <v>66</v>
      </c>
      <c r="L15" s="84">
        <v>15</v>
      </c>
      <c r="M15" s="84"/>
      <c r="N15" s="63"/>
      <c r="O15" s="13" t="s">
        <v>200</v>
      </c>
      <c r="P15" s="102">
        <v>1</v>
      </c>
      <c r="Q15" s="106" t="str">
        <f>REPLACE(INDEX(GroupVertices[Group],MATCH(Edges[[#This Row],[Vertex 1]],GroupVertices[Vertex],0)),1,1,"")</f>
        <v>4</v>
      </c>
      <c r="R15" s="106" t="str">
        <f>REPLACE(INDEX(GroupVertices[Group],MATCH(Edges[[#This Row],[Vertex 2]],GroupVertices[Vertex],0)),1,1,"")</f>
        <v>1</v>
      </c>
    </row>
    <row r="16" spans="1:18" ht="45">
      <c r="A16" s="50" t="s">
        <v>174</v>
      </c>
      <c r="B16" s="50" t="s">
        <v>181</v>
      </c>
      <c r="C16" s="53" t="s">
        <v>260</v>
      </c>
      <c r="D16" s="54">
        <v>1</v>
      </c>
      <c r="E16" s="65"/>
      <c r="F16" s="55"/>
      <c r="G16" s="53"/>
      <c r="H16" s="57"/>
      <c r="I16" s="56"/>
      <c r="J16" s="56"/>
      <c r="K16" s="128" t="s">
        <v>66</v>
      </c>
      <c r="L16" s="84">
        <v>16</v>
      </c>
      <c r="M16" s="84"/>
      <c r="N16" s="63"/>
      <c r="O16" s="13" t="s">
        <v>200</v>
      </c>
      <c r="P16" s="102">
        <v>1</v>
      </c>
      <c r="Q16" s="106" t="str">
        <f>REPLACE(INDEX(GroupVertices[Group],MATCH(Edges[[#This Row],[Vertex 1]],GroupVertices[Vertex],0)),1,1,"")</f>
        <v>4</v>
      </c>
      <c r="R16" s="106" t="str">
        <f>REPLACE(INDEX(GroupVertices[Group],MATCH(Edges[[#This Row],[Vertex 2]],GroupVertices[Vertex],0)),1,1,"")</f>
        <v>1</v>
      </c>
    </row>
    <row r="17" spans="1:18" ht="45">
      <c r="A17" s="50" t="s">
        <v>174</v>
      </c>
      <c r="B17" s="50" t="s">
        <v>182</v>
      </c>
      <c r="C17" s="53" t="s">
        <v>260</v>
      </c>
      <c r="D17" s="54">
        <v>1</v>
      </c>
      <c r="E17" s="65"/>
      <c r="F17" s="55"/>
      <c r="G17" s="53"/>
      <c r="H17" s="57"/>
      <c r="I17" s="56"/>
      <c r="J17" s="56"/>
      <c r="K17" s="128" t="s">
        <v>66</v>
      </c>
      <c r="L17" s="84">
        <v>17</v>
      </c>
      <c r="M17" s="84"/>
      <c r="N17" s="63"/>
      <c r="O17" s="13" t="s">
        <v>200</v>
      </c>
      <c r="P17" s="102">
        <v>1</v>
      </c>
      <c r="Q17" s="106" t="str">
        <f>REPLACE(INDEX(GroupVertices[Group],MATCH(Edges[[#This Row],[Vertex 1]],GroupVertices[Vertex],0)),1,1,"")</f>
        <v>4</v>
      </c>
      <c r="R17" s="106" t="str">
        <f>REPLACE(INDEX(GroupVertices[Group],MATCH(Edges[[#This Row],[Vertex 2]],GroupVertices[Vertex],0)),1,1,"")</f>
        <v>1</v>
      </c>
    </row>
    <row r="18" spans="1:18" ht="45">
      <c r="A18" s="50" t="s">
        <v>174</v>
      </c>
      <c r="B18" s="50" t="s">
        <v>183</v>
      </c>
      <c r="C18" s="53" t="s">
        <v>260</v>
      </c>
      <c r="D18" s="54">
        <v>1</v>
      </c>
      <c r="E18" s="65"/>
      <c r="F18" s="55"/>
      <c r="G18" s="53"/>
      <c r="H18" s="57"/>
      <c r="I18" s="56"/>
      <c r="J18" s="56"/>
      <c r="K18" s="128" t="s">
        <v>66</v>
      </c>
      <c r="L18" s="84">
        <v>18</v>
      </c>
      <c r="M18" s="84"/>
      <c r="N18" s="63"/>
      <c r="O18" s="13" t="s">
        <v>200</v>
      </c>
      <c r="P18" s="102">
        <v>1</v>
      </c>
      <c r="Q18" s="106" t="str">
        <f>REPLACE(INDEX(GroupVertices[Group],MATCH(Edges[[#This Row],[Vertex 1]],GroupVertices[Vertex],0)),1,1,"")</f>
        <v>4</v>
      </c>
      <c r="R18" s="106" t="str">
        <f>REPLACE(INDEX(GroupVertices[Group],MATCH(Edges[[#This Row],[Vertex 2]],GroupVertices[Vertex],0)),1,1,"")</f>
        <v>1</v>
      </c>
    </row>
    <row r="19" spans="1:18" ht="45">
      <c r="A19" s="50" t="s">
        <v>174</v>
      </c>
      <c r="B19" s="50" t="s">
        <v>184</v>
      </c>
      <c r="C19" s="53" t="s">
        <v>260</v>
      </c>
      <c r="D19" s="54">
        <v>1</v>
      </c>
      <c r="E19" s="65"/>
      <c r="F19" s="55"/>
      <c r="G19" s="53"/>
      <c r="H19" s="57"/>
      <c r="I19" s="56"/>
      <c r="J19" s="56"/>
      <c r="K19" s="128" t="s">
        <v>66</v>
      </c>
      <c r="L19" s="84">
        <v>19</v>
      </c>
      <c r="M19" s="84"/>
      <c r="N19" s="63"/>
      <c r="O19" s="13" t="s">
        <v>200</v>
      </c>
      <c r="P19" s="102">
        <v>1</v>
      </c>
      <c r="Q19" s="106" t="str">
        <f>REPLACE(INDEX(GroupVertices[Group],MATCH(Edges[[#This Row],[Vertex 1]],GroupVertices[Vertex],0)),1,1,"")</f>
        <v>4</v>
      </c>
      <c r="R19" s="106" t="str">
        <f>REPLACE(INDEX(GroupVertices[Group],MATCH(Edges[[#This Row],[Vertex 2]],GroupVertices[Vertex],0)),1,1,"")</f>
        <v>1</v>
      </c>
    </row>
    <row r="20" spans="1:18" ht="45">
      <c r="A20" s="50" t="s">
        <v>174</v>
      </c>
      <c r="B20" s="50" t="s">
        <v>188</v>
      </c>
      <c r="C20" s="53" t="s">
        <v>260</v>
      </c>
      <c r="D20" s="54">
        <v>1</v>
      </c>
      <c r="E20" s="65"/>
      <c r="F20" s="55"/>
      <c r="G20" s="53"/>
      <c r="H20" s="57"/>
      <c r="I20" s="56"/>
      <c r="J20" s="56"/>
      <c r="K20" s="128" t="s">
        <v>66</v>
      </c>
      <c r="L20" s="84">
        <v>20</v>
      </c>
      <c r="M20" s="84"/>
      <c r="N20" s="63"/>
      <c r="O20" s="13" t="s">
        <v>200</v>
      </c>
      <c r="P20" s="102">
        <v>1</v>
      </c>
      <c r="Q20" s="106" t="str">
        <f>REPLACE(INDEX(GroupVertices[Group],MATCH(Edges[[#This Row],[Vertex 1]],GroupVertices[Vertex],0)),1,1,"")</f>
        <v>4</v>
      </c>
      <c r="R20" s="106" t="str">
        <f>REPLACE(INDEX(GroupVertices[Group],MATCH(Edges[[#This Row],[Vertex 2]],GroupVertices[Vertex],0)),1,1,"")</f>
        <v>1</v>
      </c>
    </row>
    <row r="21" spans="1:18" ht="45">
      <c r="A21" s="50" t="s">
        <v>176</v>
      </c>
      <c r="B21" s="50" t="s">
        <v>133</v>
      </c>
      <c r="C21" s="53" t="s">
        <v>260</v>
      </c>
      <c r="D21" s="54">
        <v>1</v>
      </c>
      <c r="E21" s="65"/>
      <c r="F21" s="55"/>
      <c r="G21" s="53"/>
      <c r="H21" s="57"/>
      <c r="I21" s="56"/>
      <c r="J21" s="56"/>
      <c r="K21" s="128" t="s">
        <v>66</v>
      </c>
      <c r="L21" s="84">
        <v>21</v>
      </c>
      <c r="M21" s="84"/>
      <c r="N21" s="63"/>
      <c r="O21" s="13" t="s">
        <v>200</v>
      </c>
      <c r="P21" s="102">
        <v>1</v>
      </c>
      <c r="Q21" s="106" t="str">
        <f>REPLACE(INDEX(GroupVertices[Group],MATCH(Edges[[#This Row],[Vertex 1]],GroupVertices[Vertex],0)),1,1,"")</f>
        <v>2</v>
      </c>
      <c r="R21" s="106" t="str">
        <f>REPLACE(INDEX(GroupVertices[Group],MATCH(Edges[[#This Row],[Vertex 2]],GroupVertices[Vertex],0)),1,1,"")</f>
        <v>3</v>
      </c>
    </row>
    <row r="22" spans="1:18" ht="45">
      <c r="A22" s="50" t="s">
        <v>176</v>
      </c>
      <c r="B22" s="50" t="s">
        <v>180</v>
      </c>
      <c r="C22" s="53" t="s">
        <v>260</v>
      </c>
      <c r="D22" s="54">
        <v>1</v>
      </c>
      <c r="E22" s="65"/>
      <c r="F22" s="55"/>
      <c r="G22" s="53"/>
      <c r="H22" s="57"/>
      <c r="I22" s="56"/>
      <c r="J22" s="56"/>
      <c r="K22" s="128" t="s">
        <v>66</v>
      </c>
      <c r="L22" s="84">
        <v>22</v>
      </c>
      <c r="M22" s="84"/>
      <c r="N22" s="63"/>
      <c r="O22" s="13" t="s">
        <v>200</v>
      </c>
      <c r="P22" s="102">
        <v>1</v>
      </c>
      <c r="Q22" s="106" t="str">
        <f>REPLACE(INDEX(GroupVertices[Group],MATCH(Edges[[#This Row],[Vertex 1]],GroupVertices[Vertex],0)),1,1,"")</f>
        <v>2</v>
      </c>
      <c r="R22" s="106" t="str">
        <f>REPLACE(INDEX(GroupVertices[Group],MATCH(Edges[[#This Row],[Vertex 2]],GroupVertices[Vertex],0)),1,1,"")</f>
        <v>1</v>
      </c>
    </row>
    <row r="23" spans="1:18" ht="45">
      <c r="A23" s="50" t="s">
        <v>176</v>
      </c>
      <c r="B23" s="50" t="s">
        <v>181</v>
      </c>
      <c r="C23" s="53" t="s">
        <v>260</v>
      </c>
      <c r="D23" s="54">
        <v>1</v>
      </c>
      <c r="E23" s="65"/>
      <c r="F23" s="55"/>
      <c r="G23" s="53"/>
      <c r="H23" s="57"/>
      <c r="I23" s="56"/>
      <c r="J23" s="56"/>
      <c r="K23" s="128" t="s">
        <v>66</v>
      </c>
      <c r="L23" s="84">
        <v>23</v>
      </c>
      <c r="M23" s="84"/>
      <c r="N23" s="63"/>
      <c r="O23" s="13" t="s">
        <v>200</v>
      </c>
      <c r="P23" s="102">
        <v>1</v>
      </c>
      <c r="Q23" s="106" t="str">
        <f>REPLACE(INDEX(GroupVertices[Group],MATCH(Edges[[#This Row],[Vertex 1]],GroupVertices[Vertex],0)),1,1,"")</f>
        <v>2</v>
      </c>
      <c r="R23" s="106" t="str">
        <f>REPLACE(INDEX(GroupVertices[Group],MATCH(Edges[[#This Row],[Vertex 2]],GroupVertices[Vertex],0)),1,1,"")</f>
        <v>1</v>
      </c>
    </row>
    <row r="24" spans="1:18" ht="45">
      <c r="A24" s="50" t="s">
        <v>176</v>
      </c>
      <c r="B24" s="50" t="s">
        <v>182</v>
      </c>
      <c r="C24" s="53" t="s">
        <v>260</v>
      </c>
      <c r="D24" s="54">
        <v>1</v>
      </c>
      <c r="E24" s="65"/>
      <c r="F24" s="55"/>
      <c r="G24" s="53"/>
      <c r="H24" s="57"/>
      <c r="I24" s="56"/>
      <c r="J24" s="56"/>
      <c r="K24" s="128" t="s">
        <v>66</v>
      </c>
      <c r="L24" s="84">
        <v>24</v>
      </c>
      <c r="M24" s="84"/>
      <c r="N24" s="63"/>
      <c r="O24" s="13" t="s">
        <v>200</v>
      </c>
      <c r="P24" s="102">
        <v>1</v>
      </c>
      <c r="Q24" s="106" t="str">
        <f>REPLACE(INDEX(GroupVertices[Group],MATCH(Edges[[#This Row],[Vertex 1]],GroupVertices[Vertex],0)),1,1,"")</f>
        <v>2</v>
      </c>
      <c r="R24" s="106" t="str">
        <f>REPLACE(INDEX(GroupVertices[Group],MATCH(Edges[[#This Row],[Vertex 2]],GroupVertices[Vertex],0)),1,1,"")</f>
        <v>1</v>
      </c>
    </row>
    <row r="25" spans="1:18" ht="45">
      <c r="A25" s="50" t="s">
        <v>176</v>
      </c>
      <c r="B25" s="50" t="s">
        <v>183</v>
      </c>
      <c r="C25" s="53" t="s">
        <v>260</v>
      </c>
      <c r="D25" s="54">
        <v>1</v>
      </c>
      <c r="E25" s="65"/>
      <c r="F25" s="55"/>
      <c r="G25" s="53"/>
      <c r="H25" s="57"/>
      <c r="I25" s="56"/>
      <c r="J25" s="56"/>
      <c r="K25" s="128" t="s">
        <v>66</v>
      </c>
      <c r="L25" s="84">
        <v>25</v>
      </c>
      <c r="M25" s="84"/>
      <c r="N25" s="63"/>
      <c r="O25" s="13" t="s">
        <v>200</v>
      </c>
      <c r="P25" s="102">
        <v>1</v>
      </c>
      <c r="Q25" s="106" t="str">
        <f>REPLACE(INDEX(GroupVertices[Group],MATCH(Edges[[#This Row],[Vertex 1]],GroupVertices[Vertex],0)),1,1,"")</f>
        <v>2</v>
      </c>
      <c r="R25" s="106" t="str">
        <f>REPLACE(INDEX(GroupVertices[Group],MATCH(Edges[[#This Row],[Vertex 2]],GroupVertices[Vertex],0)),1,1,"")</f>
        <v>1</v>
      </c>
    </row>
    <row r="26" spans="1:18" ht="45">
      <c r="A26" s="50" t="s">
        <v>176</v>
      </c>
      <c r="B26" s="50" t="s">
        <v>184</v>
      </c>
      <c r="C26" s="53" t="s">
        <v>260</v>
      </c>
      <c r="D26" s="54">
        <v>1</v>
      </c>
      <c r="E26" s="65"/>
      <c r="F26" s="55"/>
      <c r="G26" s="53"/>
      <c r="H26" s="57"/>
      <c r="I26" s="56"/>
      <c r="J26" s="56"/>
      <c r="K26" s="128" t="s">
        <v>66</v>
      </c>
      <c r="L26" s="84">
        <v>26</v>
      </c>
      <c r="M26" s="84"/>
      <c r="N26" s="63"/>
      <c r="O26" s="13" t="s">
        <v>200</v>
      </c>
      <c r="P26" s="102">
        <v>1</v>
      </c>
      <c r="Q26" s="106" t="str">
        <f>REPLACE(INDEX(GroupVertices[Group],MATCH(Edges[[#This Row],[Vertex 1]],GroupVertices[Vertex],0)),1,1,"")</f>
        <v>2</v>
      </c>
      <c r="R26" s="106" t="str">
        <f>REPLACE(INDEX(GroupVertices[Group],MATCH(Edges[[#This Row],[Vertex 2]],GroupVertices[Vertex],0)),1,1,"")</f>
        <v>1</v>
      </c>
    </row>
    <row r="27" spans="1:18" ht="45">
      <c r="A27" s="50" t="s">
        <v>176</v>
      </c>
      <c r="B27" s="50" t="s">
        <v>188</v>
      </c>
      <c r="C27" s="53" t="s">
        <v>260</v>
      </c>
      <c r="D27" s="54">
        <v>1</v>
      </c>
      <c r="E27" s="65"/>
      <c r="F27" s="55"/>
      <c r="G27" s="53"/>
      <c r="H27" s="57"/>
      <c r="I27" s="56"/>
      <c r="J27" s="56"/>
      <c r="K27" s="128" t="s">
        <v>66</v>
      </c>
      <c r="L27" s="84">
        <v>27</v>
      </c>
      <c r="M27" s="84"/>
      <c r="N27" s="63"/>
      <c r="O27" s="13" t="s">
        <v>200</v>
      </c>
      <c r="P27" s="102">
        <v>1</v>
      </c>
      <c r="Q27" s="106" t="str">
        <f>REPLACE(INDEX(GroupVertices[Group],MATCH(Edges[[#This Row],[Vertex 1]],GroupVertices[Vertex],0)),1,1,"")</f>
        <v>2</v>
      </c>
      <c r="R27" s="106" t="str">
        <f>REPLACE(INDEX(GroupVertices[Group],MATCH(Edges[[#This Row],[Vertex 2]],GroupVertices[Vertex],0)),1,1,"")</f>
        <v>1</v>
      </c>
    </row>
    <row r="28" spans="1:18" ht="45">
      <c r="A28" s="50" t="s">
        <v>180</v>
      </c>
      <c r="B28" s="50" t="s">
        <v>181</v>
      </c>
      <c r="C28" s="53" t="s">
        <v>260</v>
      </c>
      <c r="D28" s="54">
        <v>1</v>
      </c>
      <c r="E28" s="65"/>
      <c r="F28" s="55"/>
      <c r="G28" s="53"/>
      <c r="H28" s="57"/>
      <c r="I28" s="56"/>
      <c r="J28" s="56"/>
      <c r="K28" s="128" t="s">
        <v>66</v>
      </c>
      <c r="L28" s="84">
        <v>28</v>
      </c>
      <c r="M28" s="84"/>
      <c r="N28" s="63"/>
      <c r="O28" s="13" t="s">
        <v>200</v>
      </c>
      <c r="P28" s="102">
        <v>1</v>
      </c>
      <c r="Q28" s="106" t="str">
        <f>REPLACE(INDEX(GroupVertices[Group],MATCH(Edges[[#This Row],[Vertex 1]],GroupVertices[Vertex],0)),1,1,"")</f>
        <v>1</v>
      </c>
      <c r="R28" s="106" t="str">
        <f>REPLACE(INDEX(GroupVertices[Group],MATCH(Edges[[#This Row],[Vertex 2]],GroupVertices[Vertex],0)),1,1,"")</f>
        <v>1</v>
      </c>
    </row>
    <row r="29" spans="1:18" ht="45">
      <c r="A29" s="50" t="s">
        <v>180</v>
      </c>
      <c r="B29" s="50" t="s">
        <v>182</v>
      </c>
      <c r="C29" s="53" t="s">
        <v>260</v>
      </c>
      <c r="D29" s="54">
        <v>1</v>
      </c>
      <c r="E29" s="65"/>
      <c r="F29" s="55"/>
      <c r="G29" s="53"/>
      <c r="H29" s="57"/>
      <c r="I29" s="56"/>
      <c r="J29" s="56"/>
      <c r="K29" s="128" t="s">
        <v>66</v>
      </c>
      <c r="L29" s="84">
        <v>29</v>
      </c>
      <c r="M29" s="84"/>
      <c r="N29" s="63"/>
      <c r="O29" s="13" t="s">
        <v>200</v>
      </c>
      <c r="P29" s="102">
        <v>1</v>
      </c>
      <c r="Q29" s="106" t="str">
        <f>REPLACE(INDEX(GroupVertices[Group],MATCH(Edges[[#This Row],[Vertex 1]],GroupVertices[Vertex],0)),1,1,"")</f>
        <v>1</v>
      </c>
      <c r="R29" s="106" t="str">
        <f>REPLACE(INDEX(GroupVertices[Group],MATCH(Edges[[#This Row],[Vertex 2]],GroupVertices[Vertex],0)),1,1,"")</f>
        <v>1</v>
      </c>
    </row>
    <row r="30" spans="1:18" ht="45">
      <c r="A30" s="50" t="s">
        <v>180</v>
      </c>
      <c r="B30" s="50" t="s">
        <v>183</v>
      </c>
      <c r="C30" s="53" t="s">
        <v>260</v>
      </c>
      <c r="D30" s="54">
        <v>1</v>
      </c>
      <c r="E30" s="65"/>
      <c r="F30" s="55"/>
      <c r="G30" s="53"/>
      <c r="H30" s="57"/>
      <c r="I30" s="56"/>
      <c r="J30" s="56"/>
      <c r="K30" s="128" t="s">
        <v>66</v>
      </c>
      <c r="L30" s="84">
        <v>30</v>
      </c>
      <c r="M30" s="84"/>
      <c r="N30" s="63"/>
      <c r="O30" s="13" t="s">
        <v>200</v>
      </c>
      <c r="P30" s="102">
        <v>1</v>
      </c>
      <c r="Q30" s="106" t="str">
        <f>REPLACE(INDEX(GroupVertices[Group],MATCH(Edges[[#This Row],[Vertex 1]],GroupVertices[Vertex],0)),1,1,"")</f>
        <v>1</v>
      </c>
      <c r="R30" s="106" t="str">
        <f>REPLACE(INDEX(GroupVertices[Group],MATCH(Edges[[#This Row],[Vertex 2]],GroupVertices[Vertex],0)),1,1,"")</f>
        <v>1</v>
      </c>
    </row>
    <row r="31" spans="1:18" ht="45">
      <c r="A31" s="50" t="s">
        <v>180</v>
      </c>
      <c r="B31" s="50" t="s">
        <v>184</v>
      </c>
      <c r="C31" s="53" t="s">
        <v>260</v>
      </c>
      <c r="D31" s="54">
        <v>1</v>
      </c>
      <c r="E31" s="65"/>
      <c r="F31" s="55"/>
      <c r="G31" s="53"/>
      <c r="H31" s="57"/>
      <c r="I31" s="56"/>
      <c r="J31" s="56"/>
      <c r="K31" s="128" t="s">
        <v>66</v>
      </c>
      <c r="L31" s="84">
        <v>31</v>
      </c>
      <c r="M31" s="84"/>
      <c r="N31" s="63"/>
      <c r="O31" s="13" t="s">
        <v>200</v>
      </c>
      <c r="P31" s="102">
        <v>1</v>
      </c>
      <c r="Q31" s="106" t="str">
        <f>REPLACE(INDEX(GroupVertices[Group],MATCH(Edges[[#This Row],[Vertex 1]],GroupVertices[Vertex],0)),1,1,"")</f>
        <v>1</v>
      </c>
      <c r="R31" s="106" t="str">
        <f>REPLACE(INDEX(GroupVertices[Group],MATCH(Edges[[#This Row],[Vertex 2]],GroupVertices[Vertex],0)),1,1,"")</f>
        <v>1</v>
      </c>
    </row>
    <row r="32" spans="1:18" ht="45">
      <c r="A32" s="50" t="s">
        <v>180</v>
      </c>
      <c r="B32" s="50" t="s">
        <v>188</v>
      </c>
      <c r="C32" s="53" t="s">
        <v>260</v>
      </c>
      <c r="D32" s="54">
        <v>1</v>
      </c>
      <c r="E32" s="65"/>
      <c r="F32" s="55"/>
      <c r="G32" s="53"/>
      <c r="H32" s="57"/>
      <c r="I32" s="56"/>
      <c r="J32" s="56"/>
      <c r="K32" s="128" t="s">
        <v>66</v>
      </c>
      <c r="L32" s="84">
        <v>32</v>
      </c>
      <c r="M32" s="84"/>
      <c r="N32" s="63"/>
      <c r="O32" s="13" t="s">
        <v>200</v>
      </c>
      <c r="P32" s="102">
        <v>1</v>
      </c>
      <c r="Q32" s="106" t="str">
        <f>REPLACE(INDEX(GroupVertices[Group],MATCH(Edges[[#This Row],[Vertex 1]],GroupVertices[Vertex],0)),1,1,"")</f>
        <v>1</v>
      </c>
      <c r="R32" s="106" t="str">
        <f>REPLACE(INDEX(GroupVertices[Group],MATCH(Edges[[#This Row],[Vertex 2]],GroupVertices[Vertex],0)),1,1,"")</f>
        <v>1</v>
      </c>
    </row>
    <row r="33" spans="1:18" ht="45">
      <c r="A33" s="50" t="s">
        <v>181</v>
      </c>
      <c r="B33" s="50" t="s">
        <v>182</v>
      </c>
      <c r="C33" s="53" t="s">
        <v>260</v>
      </c>
      <c r="D33" s="54">
        <v>1</v>
      </c>
      <c r="E33" s="65"/>
      <c r="F33" s="55"/>
      <c r="G33" s="53"/>
      <c r="H33" s="57"/>
      <c r="I33" s="56"/>
      <c r="J33" s="56"/>
      <c r="K33" s="128" t="s">
        <v>66</v>
      </c>
      <c r="L33" s="84">
        <v>33</v>
      </c>
      <c r="M33" s="84"/>
      <c r="N33" s="63"/>
      <c r="O33" s="13" t="s">
        <v>200</v>
      </c>
      <c r="P33" s="102">
        <v>1</v>
      </c>
      <c r="Q33" s="106" t="str">
        <f>REPLACE(INDEX(GroupVertices[Group],MATCH(Edges[[#This Row],[Vertex 1]],GroupVertices[Vertex],0)),1,1,"")</f>
        <v>1</v>
      </c>
      <c r="R33" s="106" t="str">
        <f>REPLACE(INDEX(GroupVertices[Group],MATCH(Edges[[#This Row],[Vertex 2]],GroupVertices[Vertex],0)),1,1,"")</f>
        <v>1</v>
      </c>
    </row>
    <row r="34" spans="1:18" ht="45">
      <c r="A34" s="50" t="s">
        <v>181</v>
      </c>
      <c r="B34" s="50" t="s">
        <v>183</v>
      </c>
      <c r="C34" s="53" t="s">
        <v>260</v>
      </c>
      <c r="D34" s="54">
        <v>1</v>
      </c>
      <c r="E34" s="65"/>
      <c r="F34" s="55"/>
      <c r="G34" s="53"/>
      <c r="H34" s="57"/>
      <c r="I34" s="56"/>
      <c r="J34" s="56"/>
      <c r="K34" s="128" t="s">
        <v>66</v>
      </c>
      <c r="L34" s="84">
        <v>34</v>
      </c>
      <c r="M34" s="84"/>
      <c r="N34" s="63"/>
      <c r="O34" s="13" t="s">
        <v>200</v>
      </c>
      <c r="P34" s="102">
        <v>1</v>
      </c>
      <c r="Q34" s="106" t="str">
        <f>REPLACE(INDEX(GroupVertices[Group],MATCH(Edges[[#This Row],[Vertex 1]],GroupVertices[Vertex],0)),1,1,"")</f>
        <v>1</v>
      </c>
      <c r="R34" s="106" t="str">
        <f>REPLACE(INDEX(GroupVertices[Group],MATCH(Edges[[#This Row],[Vertex 2]],GroupVertices[Vertex],0)),1,1,"")</f>
        <v>1</v>
      </c>
    </row>
    <row r="35" spans="1:18" ht="45">
      <c r="A35" s="50" t="s">
        <v>181</v>
      </c>
      <c r="B35" s="50" t="s">
        <v>184</v>
      </c>
      <c r="C35" s="53" t="s">
        <v>260</v>
      </c>
      <c r="D35" s="54">
        <v>1</v>
      </c>
      <c r="E35" s="65"/>
      <c r="F35" s="55"/>
      <c r="G35" s="53"/>
      <c r="H35" s="57"/>
      <c r="I35" s="56"/>
      <c r="J35" s="56"/>
      <c r="K35" s="128" t="s">
        <v>66</v>
      </c>
      <c r="L35" s="84">
        <v>35</v>
      </c>
      <c r="M35" s="84"/>
      <c r="N35" s="63"/>
      <c r="O35" s="13" t="s">
        <v>200</v>
      </c>
      <c r="P35" s="102">
        <v>1</v>
      </c>
      <c r="Q35" s="106" t="str">
        <f>REPLACE(INDEX(GroupVertices[Group],MATCH(Edges[[#This Row],[Vertex 1]],GroupVertices[Vertex],0)),1,1,"")</f>
        <v>1</v>
      </c>
      <c r="R35" s="106" t="str">
        <f>REPLACE(INDEX(GroupVertices[Group],MATCH(Edges[[#This Row],[Vertex 2]],GroupVertices[Vertex],0)),1,1,"")</f>
        <v>1</v>
      </c>
    </row>
    <row r="36" spans="1:18" ht="45">
      <c r="A36" s="50" t="s">
        <v>181</v>
      </c>
      <c r="B36" s="50" t="s">
        <v>188</v>
      </c>
      <c r="C36" s="53" t="s">
        <v>260</v>
      </c>
      <c r="D36" s="54">
        <v>1</v>
      </c>
      <c r="E36" s="65"/>
      <c r="F36" s="55"/>
      <c r="G36" s="53"/>
      <c r="H36" s="57"/>
      <c r="I36" s="56"/>
      <c r="J36" s="56"/>
      <c r="K36" s="128" t="s">
        <v>66</v>
      </c>
      <c r="L36" s="84">
        <v>36</v>
      </c>
      <c r="M36" s="84"/>
      <c r="N36" s="63"/>
      <c r="O36" s="13" t="s">
        <v>200</v>
      </c>
      <c r="P36" s="102">
        <v>1</v>
      </c>
      <c r="Q36" s="106" t="str">
        <f>REPLACE(INDEX(GroupVertices[Group],MATCH(Edges[[#This Row],[Vertex 1]],GroupVertices[Vertex],0)),1,1,"")</f>
        <v>1</v>
      </c>
      <c r="R36" s="106" t="str">
        <f>REPLACE(INDEX(GroupVertices[Group],MATCH(Edges[[#This Row],[Vertex 2]],GroupVertices[Vertex],0)),1,1,"")</f>
        <v>1</v>
      </c>
    </row>
    <row r="37" spans="1:18" ht="45">
      <c r="A37" s="50" t="s">
        <v>182</v>
      </c>
      <c r="B37" s="50" t="s">
        <v>183</v>
      </c>
      <c r="C37" s="53" t="s">
        <v>260</v>
      </c>
      <c r="D37" s="54">
        <v>1</v>
      </c>
      <c r="E37" s="65"/>
      <c r="F37" s="55"/>
      <c r="G37" s="53"/>
      <c r="H37" s="57"/>
      <c r="I37" s="56"/>
      <c r="J37" s="56"/>
      <c r="K37" s="128" t="s">
        <v>66</v>
      </c>
      <c r="L37" s="84">
        <v>37</v>
      </c>
      <c r="M37" s="84"/>
      <c r="N37" s="63"/>
      <c r="O37" s="13" t="s">
        <v>200</v>
      </c>
      <c r="P37" s="102">
        <v>1</v>
      </c>
      <c r="Q37" s="106" t="str">
        <f>REPLACE(INDEX(GroupVertices[Group],MATCH(Edges[[#This Row],[Vertex 1]],GroupVertices[Vertex],0)),1,1,"")</f>
        <v>1</v>
      </c>
      <c r="R37" s="106" t="str">
        <f>REPLACE(INDEX(GroupVertices[Group],MATCH(Edges[[#This Row],[Vertex 2]],GroupVertices[Vertex],0)),1,1,"")</f>
        <v>1</v>
      </c>
    </row>
    <row r="38" spans="1:18" ht="45">
      <c r="A38" s="50" t="s">
        <v>182</v>
      </c>
      <c r="B38" s="50" t="s">
        <v>184</v>
      </c>
      <c r="C38" s="53" t="s">
        <v>260</v>
      </c>
      <c r="D38" s="54">
        <v>1</v>
      </c>
      <c r="E38" s="65"/>
      <c r="F38" s="55"/>
      <c r="G38" s="53"/>
      <c r="H38" s="57"/>
      <c r="I38" s="56"/>
      <c r="J38" s="56"/>
      <c r="K38" s="128" t="s">
        <v>66</v>
      </c>
      <c r="L38" s="84">
        <v>38</v>
      </c>
      <c r="M38" s="84"/>
      <c r="N38" s="63"/>
      <c r="O38" s="13" t="s">
        <v>200</v>
      </c>
      <c r="P38" s="102">
        <v>1</v>
      </c>
      <c r="Q38" s="106" t="str">
        <f>REPLACE(INDEX(GroupVertices[Group],MATCH(Edges[[#This Row],[Vertex 1]],GroupVertices[Vertex],0)),1,1,"")</f>
        <v>1</v>
      </c>
      <c r="R38" s="106" t="str">
        <f>REPLACE(INDEX(GroupVertices[Group],MATCH(Edges[[#This Row],[Vertex 2]],GroupVertices[Vertex],0)),1,1,"")</f>
        <v>1</v>
      </c>
    </row>
    <row r="39" spans="1:18" ht="45">
      <c r="A39" s="50" t="s">
        <v>182</v>
      </c>
      <c r="B39" s="50" t="s">
        <v>188</v>
      </c>
      <c r="C39" s="53" t="s">
        <v>260</v>
      </c>
      <c r="D39" s="54">
        <v>1</v>
      </c>
      <c r="E39" s="65"/>
      <c r="F39" s="55"/>
      <c r="G39" s="53"/>
      <c r="H39" s="57"/>
      <c r="I39" s="56"/>
      <c r="J39" s="56"/>
      <c r="K39" s="128" t="s">
        <v>66</v>
      </c>
      <c r="L39" s="84">
        <v>39</v>
      </c>
      <c r="M39" s="84"/>
      <c r="N39" s="63"/>
      <c r="O39" s="13" t="s">
        <v>200</v>
      </c>
      <c r="P39" s="102">
        <v>1</v>
      </c>
      <c r="Q39" s="106" t="str">
        <f>REPLACE(INDEX(GroupVertices[Group],MATCH(Edges[[#This Row],[Vertex 1]],GroupVertices[Vertex],0)),1,1,"")</f>
        <v>1</v>
      </c>
      <c r="R39" s="106" t="str">
        <f>REPLACE(INDEX(GroupVertices[Group],MATCH(Edges[[#This Row],[Vertex 2]],GroupVertices[Vertex],0)),1,1,"")</f>
        <v>1</v>
      </c>
    </row>
    <row r="40" spans="1:18" ht="45">
      <c r="A40" s="50" t="s">
        <v>183</v>
      </c>
      <c r="B40" s="50" t="s">
        <v>184</v>
      </c>
      <c r="C40" s="53" t="s">
        <v>260</v>
      </c>
      <c r="D40" s="54">
        <v>1</v>
      </c>
      <c r="E40" s="65"/>
      <c r="F40" s="55"/>
      <c r="G40" s="53"/>
      <c r="H40" s="57"/>
      <c r="I40" s="56"/>
      <c r="J40" s="56"/>
      <c r="K40" s="128" t="s">
        <v>66</v>
      </c>
      <c r="L40" s="84">
        <v>40</v>
      </c>
      <c r="M40" s="84"/>
      <c r="N40" s="63"/>
      <c r="O40" s="13" t="s">
        <v>200</v>
      </c>
      <c r="P40" s="102">
        <v>1</v>
      </c>
      <c r="Q40" s="106" t="str">
        <f>REPLACE(INDEX(GroupVertices[Group],MATCH(Edges[[#This Row],[Vertex 1]],GroupVertices[Vertex],0)),1,1,"")</f>
        <v>1</v>
      </c>
      <c r="R40" s="106" t="str">
        <f>REPLACE(INDEX(GroupVertices[Group],MATCH(Edges[[#This Row],[Vertex 2]],GroupVertices[Vertex],0)),1,1,"")</f>
        <v>1</v>
      </c>
    </row>
    <row r="41" spans="1:18" ht="45">
      <c r="A41" s="50" t="s">
        <v>183</v>
      </c>
      <c r="B41" s="50" t="s">
        <v>188</v>
      </c>
      <c r="C41" s="53" t="s">
        <v>260</v>
      </c>
      <c r="D41" s="54">
        <v>1</v>
      </c>
      <c r="E41" s="65"/>
      <c r="F41" s="55"/>
      <c r="G41" s="53"/>
      <c r="H41" s="57"/>
      <c r="I41" s="56"/>
      <c r="J41" s="56"/>
      <c r="K41" s="128" t="s">
        <v>66</v>
      </c>
      <c r="L41" s="84">
        <v>41</v>
      </c>
      <c r="M41" s="84"/>
      <c r="N41" s="63"/>
      <c r="O41" s="13" t="s">
        <v>200</v>
      </c>
      <c r="P41" s="102">
        <v>1</v>
      </c>
      <c r="Q41" s="106" t="str">
        <f>REPLACE(INDEX(GroupVertices[Group],MATCH(Edges[[#This Row],[Vertex 1]],GroupVertices[Vertex],0)),1,1,"")</f>
        <v>1</v>
      </c>
      <c r="R41" s="106" t="str">
        <f>REPLACE(INDEX(GroupVertices[Group],MATCH(Edges[[#This Row],[Vertex 2]],GroupVertices[Vertex],0)),1,1,"")</f>
        <v>1</v>
      </c>
    </row>
    <row r="42" spans="1:18" ht="45">
      <c r="A42" s="50" t="s">
        <v>184</v>
      </c>
      <c r="B42" s="50" t="s">
        <v>188</v>
      </c>
      <c r="C42" s="53" t="s">
        <v>260</v>
      </c>
      <c r="D42" s="54">
        <v>1</v>
      </c>
      <c r="E42" s="65"/>
      <c r="F42" s="55"/>
      <c r="G42" s="53"/>
      <c r="H42" s="57"/>
      <c r="I42" s="56"/>
      <c r="J42" s="56"/>
      <c r="K42" s="128" t="s">
        <v>66</v>
      </c>
      <c r="L42" s="84">
        <v>42</v>
      </c>
      <c r="M42" s="84"/>
      <c r="N42" s="63"/>
      <c r="O42" s="13" t="s">
        <v>200</v>
      </c>
      <c r="P42" s="102">
        <v>1</v>
      </c>
      <c r="Q42" s="106" t="str">
        <f>REPLACE(INDEX(GroupVertices[Group],MATCH(Edges[[#This Row],[Vertex 1]],GroupVertices[Vertex],0)),1,1,"")</f>
        <v>1</v>
      </c>
      <c r="R42" s="106" t="str">
        <f>REPLACE(INDEX(GroupVertices[Group],MATCH(Edges[[#This Row],[Vertex 2]],GroupVertices[Vertex],0)),1,1,"")</f>
        <v>1</v>
      </c>
    </row>
    <row r="43" spans="1:18" ht="30">
      <c r="A43" s="50" t="s">
        <v>178</v>
      </c>
      <c r="B43" s="50" t="s">
        <v>174</v>
      </c>
      <c r="C43" s="53" t="s">
        <v>261</v>
      </c>
      <c r="D43" s="54">
        <v>1</v>
      </c>
      <c r="E43" s="65"/>
      <c r="F43" s="55"/>
      <c r="G43" s="53"/>
      <c r="H43" s="57"/>
      <c r="I43" s="56"/>
      <c r="J43" s="56"/>
      <c r="K43" s="128" t="s">
        <v>65</v>
      </c>
      <c r="L43" s="84">
        <v>43</v>
      </c>
      <c r="M43" s="84"/>
      <c r="N43" s="63"/>
      <c r="O43" s="13" t="s">
        <v>201</v>
      </c>
      <c r="P43" s="102">
        <v>1</v>
      </c>
      <c r="Q43" s="106" t="str">
        <f>REPLACE(INDEX(GroupVertices[Group],MATCH(Edges[[#This Row],[Vertex 1]],GroupVertices[Vertex],0)),1,1,"")</f>
        <v>2</v>
      </c>
      <c r="R43" s="106" t="str">
        <f>REPLACE(INDEX(GroupVertices[Group],MATCH(Edges[[#This Row],[Vertex 2]],GroupVertices[Vertex],0)),1,1,"")</f>
        <v>4</v>
      </c>
    </row>
    <row r="44" spans="1:18" ht="15">
      <c r="A44" s="50" t="s">
        <v>179</v>
      </c>
      <c r="B44" s="50" t="s">
        <v>176</v>
      </c>
      <c r="C44" s="53"/>
      <c r="D44" s="54">
        <v>1</v>
      </c>
      <c r="E44" s="65"/>
      <c r="F44" s="55"/>
      <c r="G44" s="53"/>
      <c r="H44" s="57"/>
      <c r="I44" s="56"/>
      <c r="J44" s="56"/>
      <c r="K44" s="36" t="s">
        <v>65</v>
      </c>
      <c r="L44" s="84">
        <v>44</v>
      </c>
      <c r="M44" s="84"/>
      <c r="N44" s="63"/>
      <c r="O44" s="13" t="s">
        <v>192</v>
      </c>
      <c r="P44" s="102">
        <v>1</v>
      </c>
      <c r="Q44" s="106" t="str">
        <f>REPLACE(INDEX(GroupVertices[Group],MATCH(Edges[[#This Row],[Vertex 1]],GroupVertices[Vertex],0)),1,1,"")</f>
        <v>4</v>
      </c>
      <c r="R44" s="106" t="str">
        <f>REPLACE(INDEX(GroupVertices[Group],MATCH(Edges[[#This Row],[Vertex 2]],GroupVertices[Vertex],0)),1,1,"")</f>
        <v>2</v>
      </c>
    </row>
    <row r="45" spans="1:18" ht="15">
      <c r="A45" s="50" t="s">
        <v>185</v>
      </c>
      <c r="B45" s="50" t="s">
        <v>176</v>
      </c>
      <c r="C45" s="53"/>
      <c r="D45" s="54">
        <v>1</v>
      </c>
      <c r="E45" s="65"/>
      <c r="F45" s="55"/>
      <c r="G45" s="53"/>
      <c r="H45" s="57"/>
      <c r="I45" s="56"/>
      <c r="J45" s="56"/>
      <c r="K45" s="36" t="s">
        <v>65</v>
      </c>
      <c r="L45" s="84">
        <v>45</v>
      </c>
      <c r="M45" s="84"/>
      <c r="N45" s="63"/>
      <c r="O45" s="13" t="s">
        <v>192</v>
      </c>
      <c r="P45" s="102">
        <v>1</v>
      </c>
      <c r="Q45" s="106" t="str">
        <f>REPLACE(INDEX(GroupVertices[Group],MATCH(Edges[[#This Row],[Vertex 1]],GroupVertices[Vertex],0)),1,1,"")</f>
        <v>4</v>
      </c>
      <c r="R45" s="106" t="str">
        <f>REPLACE(INDEX(GroupVertices[Group],MATCH(Edges[[#This Row],[Vertex 2]],GroupVertices[Vertex],0)),1,1,"")</f>
        <v>2</v>
      </c>
    </row>
    <row r="46" spans="1:18" ht="15">
      <c r="A46" s="50" t="s">
        <v>175</v>
      </c>
      <c r="B46" s="50" t="s">
        <v>176</v>
      </c>
      <c r="C46" s="53"/>
      <c r="D46" s="54">
        <v>1</v>
      </c>
      <c r="E46" s="65"/>
      <c r="F46" s="55"/>
      <c r="G46" s="53"/>
      <c r="H46" s="57"/>
      <c r="I46" s="56"/>
      <c r="J46" s="56"/>
      <c r="K46" s="36" t="s">
        <v>65</v>
      </c>
      <c r="L46" s="84">
        <v>46</v>
      </c>
      <c r="M46" s="84"/>
      <c r="N46" s="63"/>
      <c r="O46" s="13" t="s">
        <v>192</v>
      </c>
      <c r="P46" s="102">
        <v>1</v>
      </c>
      <c r="Q46" s="106" t="str">
        <f>REPLACE(INDEX(GroupVertices[Group],MATCH(Edges[[#This Row],[Vertex 1]],GroupVertices[Vertex],0)),1,1,"")</f>
        <v>3</v>
      </c>
      <c r="R46" s="106" t="str">
        <f>REPLACE(INDEX(GroupVertices[Group],MATCH(Edges[[#This Row],[Vertex 2]],GroupVertices[Vertex],0)),1,1,"")</f>
        <v>2</v>
      </c>
    </row>
    <row r="47" spans="1:18" ht="15">
      <c r="A47" s="50" t="s">
        <v>175</v>
      </c>
      <c r="B47" s="50" t="s">
        <v>174</v>
      </c>
      <c r="C47" s="53"/>
      <c r="D47" s="54">
        <v>1</v>
      </c>
      <c r="E47" s="65"/>
      <c r="F47" s="55"/>
      <c r="G47" s="53"/>
      <c r="H47" s="57"/>
      <c r="I47" s="56"/>
      <c r="J47" s="56"/>
      <c r="K47" s="128" t="s">
        <v>66</v>
      </c>
      <c r="L47" s="84">
        <v>47</v>
      </c>
      <c r="M47" s="84"/>
      <c r="N47" s="63"/>
      <c r="O47" s="13" t="s">
        <v>192</v>
      </c>
      <c r="P47" s="102">
        <v>1</v>
      </c>
      <c r="Q47" s="106" t="str">
        <f>REPLACE(INDEX(GroupVertices[Group],MATCH(Edges[[#This Row],[Vertex 1]],GroupVertices[Vertex],0)),1,1,"")</f>
        <v>3</v>
      </c>
      <c r="R47" s="106" t="str">
        <f>REPLACE(INDEX(GroupVertices[Group],MATCH(Edges[[#This Row],[Vertex 2]],GroupVertices[Vertex],0)),1,1,"")</f>
        <v>4</v>
      </c>
    </row>
    <row r="48" spans="1:18" ht="15">
      <c r="A48" s="50" t="s">
        <v>175</v>
      </c>
      <c r="B48" s="50" t="s">
        <v>133</v>
      </c>
      <c r="C48" s="53"/>
      <c r="D48" s="54">
        <v>1</v>
      </c>
      <c r="E48" s="65"/>
      <c r="F48" s="55"/>
      <c r="G48" s="53"/>
      <c r="H48" s="57"/>
      <c r="I48" s="56"/>
      <c r="J48" s="56"/>
      <c r="K48" s="36" t="s">
        <v>65</v>
      </c>
      <c r="L48" s="84">
        <v>48</v>
      </c>
      <c r="M48" s="84"/>
      <c r="N48" s="63"/>
      <c r="O48" s="13" t="s">
        <v>192</v>
      </c>
      <c r="P48" s="102">
        <v>1</v>
      </c>
      <c r="Q48" s="106" t="str">
        <f>REPLACE(INDEX(GroupVertices[Group],MATCH(Edges[[#This Row],[Vertex 1]],GroupVertices[Vertex],0)),1,1,"")</f>
        <v>3</v>
      </c>
      <c r="R48" s="106" t="str">
        <f>REPLACE(INDEX(GroupVertices[Group],MATCH(Edges[[#This Row],[Vertex 2]],GroupVertices[Vertex],0)),1,1,"")</f>
        <v>3</v>
      </c>
    </row>
    <row r="49" spans="1:18" ht="15">
      <c r="A49" s="50" t="s">
        <v>175</v>
      </c>
      <c r="B49" s="50" t="s">
        <v>180</v>
      </c>
      <c r="C49" s="53"/>
      <c r="D49" s="54">
        <v>1</v>
      </c>
      <c r="E49" s="65"/>
      <c r="F49" s="55"/>
      <c r="G49" s="53"/>
      <c r="H49" s="57"/>
      <c r="I49" s="56"/>
      <c r="J49" s="56"/>
      <c r="K49" s="36" t="s">
        <v>65</v>
      </c>
      <c r="L49" s="84">
        <v>49</v>
      </c>
      <c r="M49" s="84"/>
      <c r="N49" s="63"/>
      <c r="O49" s="13" t="s">
        <v>192</v>
      </c>
      <c r="P49" s="102">
        <v>1</v>
      </c>
      <c r="Q49" s="106" t="str">
        <f>REPLACE(INDEX(GroupVertices[Group],MATCH(Edges[[#This Row],[Vertex 1]],GroupVertices[Vertex],0)),1,1,"")</f>
        <v>3</v>
      </c>
      <c r="R49" s="106" t="str">
        <f>REPLACE(INDEX(GroupVertices[Group],MATCH(Edges[[#This Row],[Vertex 2]],GroupVertices[Vertex],0)),1,1,"")</f>
        <v>1</v>
      </c>
    </row>
    <row r="50" spans="1:18" ht="15">
      <c r="A50" s="50" t="s">
        <v>175</v>
      </c>
      <c r="B50" s="50" t="s">
        <v>181</v>
      </c>
      <c r="C50" s="53"/>
      <c r="D50" s="54">
        <v>1</v>
      </c>
      <c r="E50" s="65"/>
      <c r="F50" s="55"/>
      <c r="G50" s="53"/>
      <c r="H50" s="57"/>
      <c r="I50" s="56"/>
      <c r="J50" s="56"/>
      <c r="K50" s="36" t="s">
        <v>65</v>
      </c>
      <c r="L50" s="84">
        <v>50</v>
      </c>
      <c r="M50" s="84"/>
      <c r="N50" s="63"/>
      <c r="O50" s="13" t="s">
        <v>192</v>
      </c>
      <c r="P50" s="102">
        <v>1</v>
      </c>
      <c r="Q50" s="106" t="str">
        <f>REPLACE(INDEX(GroupVertices[Group],MATCH(Edges[[#This Row],[Vertex 1]],GroupVertices[Vertex],0)),1,1,"")</f>
        <v>3</v>
      </c>
      <c r="R50" s="106" t="str">
        <f>REPLACE(INDEX(GroupVertices[Group],MATCH(Edges[[#This Row],[Vertex 2]],GroupVertices[Vertex],0)),1,1,"")</f>
        <v>1</v>
      </c>
    </row>
    <row r="51" spans="1:18" ht="15">
      <c r="A51" s="50" t="s">
        <v>175</v>
      </c>
      <c r="B51" s="50" t="s">
        <v>182</v>
      </c>
      <c r="C51" s="53"/>
      <c r="D51" s="54">
        <v>1</v>
      </c>
      <c r="E51" s="65"/>
      <c r="F51" s="55"/>
      <c r="G51" s="53"/>
      <c r="H51" s="57"/>
      <c r="I51" s="56"/>
      <c r="J51" s="56"/>
      <c r="K51" s="36" t="s">
        <v>65</v>
      </c>
      <c r="L51" s="84">
        <v>51</v>
      </c>
      <c r="M51" s="84"/>
      <c r="N51" s="63"/>
      <c r="O51" s="13" t="s">
        <v>192</v>
      </c>
      <c r="P51" s="102">
        <v>1</v>
      </c>
      <c r="Q51" s="106" t="str">
        <f>REPLACE(INDEX(GroupVertices[Group],MATCH(Edges[[#This Row],[Vertex 1]],GroupVertices[Vertex],0)),1,1,"")</f>
        <v>3</v>
      </c>
      <c r="R51" s="106" t="str">
        <f>REPLACE(INDEX(GroupVertices[Group],MATCH(Edges[[#This Row],[Vertex 2]],GroupVertices[Vertex],0)),1,1,"")</f>
        <v>1</v>
      </c>
    </row>
    <row r="52" spans="1:18" ht="15">
      <c r="A52" s="50" t="s">
        <v>175</v>
      </c>
      <c r="B52" s="50" t="s">
        <v>183</v>
      </c>
      <c r="C52" s="53"/>
      <c r="D52" s="54">
        <v>1</v>
      </c>
      <c r="E52" s="65"/>
      <c r="F52" s="55"/>
      <c r="G52" s="53"/>
      <c r="H52" s="57"/>
      <c r="I52" s="56"/>
      <c r="J52" s="56"/>
      <c r="K52" s="36" t="s">
        <v>65</v>
      </c>
      <c r="L52" s="84">
        <v>52</v>
      </c>
      <c r="M52" s="84"/>
      <c r="N52" s="63"/>
      <c r="O52" s="13" t="s">
        <v>192</v>
      </c>
      <c r="P52" s="102">
        <v>1</v>
      </c>
      <c r="Q52" s="106" t="str">
        <f>REPLACE(INDEX(GroupVertices[Group],MATCH(Edges[[#This Row],[Vertex 1]],GroupVertices[Vertex],0)),1,1,"")</f>
        <v>3</v>
      </c>
      <c r="R52" s="106" t="str">
        <f>REPLACE(INDEX(GroupVertices[Group],MATCH(Edges[[#This Row],[Vertex 2]],GroupVertices[Vertex],0)),1,1,"")</f>
        <v>1</v>
      </c>
    </row>
    <row r="53" spans="1:18" ht="15">
      <c r="A53" s="50" t="s">
        <v>175</v>
      </c>
      <c r="B53" s="50" t="s">
        <v>184</v>
      </c>
      <c r="C53" s="53"/>
      <c r="D53" s="54">
        <v>1</v>
      </c>
      <c r="E53" s="65"/>
      <c r="F53" s="55"/>
      <c r="G53" s="53"/>
      <c r="H53" s="57"/>
      <c r="I53" s="56"/>
      <c r="J53" s="56"/>
      <c r="K53" s="36" t="s">
        <v>65</v>
      </c>
      <c r="L53" s="84">
        <v>53</v>
      </c>
      <c r="M53" s="84"/>
      <c r="N53" s="63"/>
      <c r="O53" s="13" t="s">
        <v>192</v>
      </c>
      <c r="P53" s="102">
        <v>1</v>
      </c>
      <c r="Q53" s="106" t="str">
        <f>REPLACE(INDEX(GroupVertices[Group],MATCH(Edges[[#This Row],[Vertex 1]],GroupVertices[Vertex],0)),1,1,"")</f>
        <v>3</v>
      </c>
      <c r="R53" s="106" t="str">
        <f>REPLACE(INDEX(GroupVertices[Group],MATCH(Edges[[#This Row],[Vertex 2]],GroupVertices[Vertex],0)),1,1,"")</f>
        <v>1</v>
      </c>
    </row>
    <row r="54" spans="1:18" ht="15">
      <c r="A54" s="50" t="s">
        <v>175</v>
      </c>
      <c r="B54" s="50" t="s">
        <v>188</v>
      </c>
      <c r="C54" s="53"/>
      <c r="D54" s="54">
        <v>1</v>
      </c>
      <c r="E54" s="65"/>
      <c r="F54" s="55"/>
      <c r="G54" s="53"/>
      <c r="H54" s="57"/>
      <c r="I54" s="56"/>
      <c r="J54" s="56"/>
      <c r="K54" s="36" t="s">
        <v>65</v>
      </c>
      <c r="L54" s="84">
        <v>54</v>
      </c>
      <c r="M54" s="84"/>
      <c r="N54" s="63"/>
      <c r="O54" s="13" t="s">
        <v>192</v>
      </c>
      <c r="P54" s="102">
        <v>1</v>
      </c>
      <c r="Q54" s="106" t="str">
        <f>REPLACE(INDEX(GroupVertices[Group],MATCH(Edges[[#This Row],[Vertex 1]],GroupVertices[Vertex],0)),1,1,"")</f>
        <v>3</v>
      </c>
      <c r="R54" s="106" t="str">
        <f>REPLACE(INDEX(GroupVertices[Group],MATCH(Edges[[#This Row],[Vertex 2]],GroupVertices[Vertex],0)),1,1,"")</f>
        <v>1</v>
      </c>
    </row>
    <row r="55" spans="1:18" ht="15">
      <c r="A55" s="50" t="s">
        <v>175</v>
      </c>
      <c r="B55" s="50" t="s">
        <v>179</v>
      </c>
      <c r="C55" s="53"/>
      <c r="D55" s="54">
        <v>1</v>
      </c>
      <c r="E55" s="65"/>
      <c r="F55" s="55"/>
      <c r="G55" s="53"/>
      <c r="H55" s="57"/>
      <c r="I55" s="56"/>
      <c r="J55" s="56"/>
      <c r="K55" s="36" t="s">
        <v>65</v>
      </c>
      <c r="L55" s="84">
        <v>55</v>
      </c>
      <c r="M55" s="84"/>
      <c r="N55" s="63"/>
      <c r="O55" s="13" t="s">
        <v>192</v>
      </c>
      <c r="P55" s="102">
        <v>1</v>
      </c>
      <c r="Q55" s="106" t="str">
        <f>REPLACE(INDEX(GroupVertices[Group],MATCH(Edges[[#This Row],[Vertex 1]],GroupVertices[Vertex],0)),1,1,"")</f>
        <v>3</v>
      </c>
      <c r="R55" s="106" t="str">
        <f>REPLACE(INDEX(GroupVertices[Group],MATCH(Edges[[#This Row],[Vertex 2]],GroupVertices[Vertex],0)),1,1,"")</f>
        <v>4</v>
      </c>
    </row>
    <row r="56" spans="1:18" ht="15">
      <c r="A56" s="50" t="s">
        <v>175</v>
      </c>
      <c r="B56" s="50" t="s">
        <v>185</v>
      </c>
      <c r="C56" s="53"/>
      <c r="D56" s="54">
        <v>1</v>
      </c>
      <c r="E56" s="65"/>
      <c r="F56" s="55"/>
      <c r="G56" s="53"/>
      <c r="H56" s="57"/>
      <c r="I56" s="56"/>
      <c r="J56" s="56"/>
      <c r="K56" s="36" t="s">
        <v>65</v>
      </c>
      <c r="L56" s="84">
        <v>56</v>
      </c>
      <c r="M56" s="84"/>
      <c r="N56" s="63"/>
      <c r="O56" s="13" t="s">
        <v>192</v>
      </c>
      <c r="P56" s="102">
        <v>1</v>
      </c>
      <c r="Q56" s="106" t="str">
        <f>REPLACE(INDEX(GroupVertices[Group],MATCH(Edges[[#This Row],[Vertex 1]],GroupVertices[Vertex],0)),1,1,"")</f>
        <v>3</v>
      </c>
      <c r="R56" s="106" t="str">
        <f>REPLACE(INDEX(GroupVertices[Group],MATCH(Edges[[#This Row],[Vertex 2]],GroupVertices[Vertex],0)),1,1,"")</f>
        <v>4</v>
      </c>
    </row>
    <row r="57" spans="1:18" ht="15">
      <c r="A57" s="50" t="s">
        <v>175</v>
      </c>
      <c r="B57" s="50" t="s">
        <v>186</v>
      </c>
      <c r="C57" s="53"/>
      <c r="D57" s="54">
        <v>1.5555555555555556</v>
      </c>
      <c r="E57" s="65"/>
      <c r="F57" s="55"/>
      <c r="G57" s="53"/>
      <c r="H57" s="57"/>
      <c r="I57" s="56"/>
      <c r="J57" s="56"/>
      <c r="K57" s="128" t="s">
        <v>66</v>
      </c>
      <c r="L57" s="84">
        <v>57</v>
      </c>
      <c r="M57" s="84"/>
      <c r="N57" s="63"/>
      <c r="O57" s="13" t="s">
        <v>192</v>
      </c>
      <c r="P57" s="105">
        <v>2</v>
      </c>
      <c r="Q57" s="106" t="str">
        <f>REPLACE(INDEX(GroupVertices[Group],MATCH(Edges[[#This Row],[Vertex 1]],GroupVertices[Vertex],0)),1,1,"")</f>
        <v>3</v>
      </c>
      <c r="R57" s="106" t="str">
        <f>REPLACE(INDEX(GroupVertices[Group],MATCH(Edges[[#This Row],[Vertex 2]],GroupVertices[Vertex],0)),1,1,"")</f>
        <v>3</v>
      </c>
    </row>
    <row r="58" spans="1:18" ht="15">
      <c r="A58" s="50" t="s">
        <v>175</v>
      </c>
      <c r="B58" s="50" t="s">
        <v>189</v>
      </c>
      <c r="C58" s="53"/>
      <c r="D58" s="54">
        <v>1.5555555555555556</v>
      </c>
      <c r="E58" s="65"/>
      <c r="F58" s="55"/>
      <c r="G58" s="53"/>
      <c r="H58" s="57"/>
      <c r="I58" s="56"/>
      <c r="J58" s="56"/>
      <c r="K58" s="128" t="s">
        <v>66</v>
      </c>
      <c r="L58" s="84">
        <v>58</v>
      </c>
      <c r="M58" s="84"/>
      <c r="N58" s="63"/>
      <c r="O58" s="13" t="s">
        <v>192</v>
      </c>
      <c r="P58" s="102">
        <v>2</v>
      </c>
      <c r="Q58" s="106" t="str">
        <f>REPLACE(INDEX(GroupVertices[Group],MATCH(Edges[[#This Row],[Vertex 1]],GroupVertices[Vertex],0)),1,1,"")</f>
        <v>3</v>
      </c>
      <c r="R58" s="106" t="str">
        <f>REPLACE(INDEX(GroupVertices[Group],MATCH(Edges[[#This Row],[Vertex 2]],GroupVertices[Vertex],0)),1,1,"")</f>
        <v>3</v>
      </c>
    </row>
    <row r="59" spans="1:18" ht="15">
      <c r="A59" s="50" t="s">
        <v>186</v>
      </c>
      <c r="B59" s="50" t="s">
        <v>189</v>
      </c>
      <c r="C59" s="53"/>
      <c r="D59" s="54">
        <v>1.5555555555555556</v>
      </c>
      <c r="E59" s="65"/>
      <c r="F59" s="55"/>
      <c r="G59" s="53"/>
      <c r="H59" s="57"/>
      <c r="I59" s="56"/>
      <c r="J59" s="56"/>
      <c r="K59" s="128" t="s">
        <v>66</v>
      </c>
      <c r="L59" s="84">
        <v>59</v>
      </c>
      <c r="M59" s="84"/>
      <c r="N59" s="63"/>
      <c r="O59" s="13" t="s">
        <v>192</v>
      </c>
      <c r="P59" s="102">
        <v>2</v>
      </c>
      <c r="Q59" s="106" t="str">
        <f>REPLACE(INDEX(GroupVertices[Group],MATCH(Edges[[#This Row],[Vertex 1]],GroupVertices[Vertex],0)),1,1,"")</f>
        <v>3</v>
      </c>
      <c r="R59" s="106" t="str">
        <f>REPLACE(INDEX(GroupVertices[Group],MATCH(Edges[[#This Row],[Vertex 2]],GroupVertices[Vertex],0)),1,1,"")</f>
        <v>3</v>
      </c>
    </row>
    <row r="60" spans="1:18" ht="15">
      <c r="A60" s="50" t="s">
        <v>179</v>
      </c>
      <c r="B60" s="50" t="s">
        <v>185</v>
      </c>
      <c r="C60" s="53"/>
      <c r="D60" s="54">
        <v>1.5555555555555556</v>
      </c>
      <c r="E60" s="65"/>
      <c r="F60" s="55"/>
      <c r="G60" s="53"/>
      <c r="H60" s="57"/>
      <c r="I60" s="56"/>
      <c r="J60" s="56"/>
      <c r="K60" s="128" t="s">
        <v>66</v>
      </c>
      <c r="L60" s="84">
        <v>60</v>
      </c>
      <c r="M60" s="84"/>
      <c r="N60" s="63"/>
      <c r="O60" s="13" t="s">
        <v>192</v>
      </c>
      <c r="P60" s="102">
        <v>2</v>
      </c>
      <c r="Q60" s="106" t="str">
        <f>REPLACE(INDEX(GroupVertices[Group],MATCH(Edges[[#This Row],[Vertex 1]],GroupVertices[Vertex],0)),1,1,"")</f>
        <v>4</v>
      </c>
      <c r="R60" s="106" t="str">
        <f>REPLACE(INDEX(GroupVertices[Group],MATCH(Edges[[#This Row],[Vertex 2]],GroupVertices[Vertex],0)),1,1,"")</f>
        <v>4</v>
      </c>
    </row>
    <row r="61" spans="1:18" ht="15">
      <c r="A61" s="50" t="s">
        <v>174</v>
      </c>
      <c r="B61" s="50" t="s">
        <v>179</v>
      </c>
      <c r="C61" s="53"/>
      <c r="D61" s="54">
        <v>1.5555555555555556</v>
      </c>
      <c r="E61" s="65"/>
      <c r="F61" s="55"/>
      <c r="G61" s="53"/>
      <c r="H61" s="57"/>
      <c r="I61" s="56"/>
      <c r="J61" s="56"/>
      <c r="K61" s="36" t="s">
        <v>65</v>
      </c>
      <c r="L61" s="84">
        <v>61</v>
      </c>
      <c r="M61" s="84"/>
      <c r="N61" s="63"/>
      <c r="O61" s="13" t="s">
        <v>192</v>
      </c>
      <c r="P61" s="102">
        <v>2</v>
      </c>
      <c r="Q61" s="106" t="str">
        <f>REPLACE(INDEX(GroupVertices[Group],MATCH(Edges[[#This Row],[Vertex 1]],GroupVertices[Vertex],0)),1,1,"")</f>
        <v>4</v>
      </c>
      <c r="R61" s="106" t="str">
        <f>REPLACE(INDEX(GroupVertices[Group],MATCH(Edges[[#This Row],[Vertex 2]],GroupVertices[Vertex],0)),1,1,"")</f>
        <v>4</v>
      </c>
    </row>
    <row r="62" spans="1:18" ht="15">
      <c r="A62" s="50" t="s">
        <v>174</v>
      </c>
      <c r="B62" s="50" t="s">
        <v>185</v>
      </c>
      <c r="C62" s="53"/>
      <c r="D62" s="54">
        <v>1.5555555555555556</v>
      </c>
      <c r="E62" s="65"/>
      <c r="F62" s="55"/>
      <c r="G62" s="53"/>
      <c r="H62" s="57"/>
      <c r="I62" s="56"/>
      <c r="J62" s="56"/>
      <c r="K62" s="36" t="s">
        <v>65</v>
      </c>
      <c r="L62" s="84">
        <v>62</v>
      </c>
      <c r="M62" s="84"/>
      <c r="N62" s="63"/>
      <c r="O62" s="13" t="s">
        <v>192</v>
      </c>
      <c r="P62" s="102">
        <v>2</v>
      </c>
      <c r="Q62" s="106" t="str">
        <f>REPLACE(INDEX(GroupVertices[Group],MATCH(Edges[[#This Row],[Vertex 1]],GroupVertices[Vertex],0)),1,1,"")</f>
        <v>4</v>
      </c>
      <c r="R62" s="106" t="str">
        <f>REPLACE(INDEX(GroupVertices[Group],MATCH(Edges[[#This Row],[Vertex 2]],GroupVertices[Vertex],0)),1,1,"")</f>
        <v>4</v>
      </c>
    </row>
    <row r="63" spans="1:18" ht="15">
      <c r="A63" s="50" t="s">
        <v>177</v>
      </c>
      <c r="B63" s="50" t="s">
        <v>176</v>
      </c>
      <c r="C63" s="53"/>
      <c r="D63" s="54">
        <v>2.111111111111111</v>
      </c>
      <c r="E63" s="65"/>
      <c r="F63" s="55"/>
      <c r="G63" s="53"/>
      <c r="H63" s="57"/>
      <c r="I63" s="56"/>
      <c r="J63" s="56"/>
      <c r="K63" s="128" t="s">
        <v>66</v>
      </c>
      <c r="L63" s="84">
        <v>63</v>
      </c>
      <c r="M63" s="84"/>
      <c r="N63" s="63"/>
      <c r="O63" s="13" t="s">
        <v>192</v>
      </c>
      <c r="P63" s="102">
        <v>3</v>
      </c>
      <c r="Q63" s="106" t="str">
        <f>REPLACE(INDEX(GroupVertices[Group],MATCH(Edges[[#This Row],[Vertex 1]],GroupVertices[Vertex],0)),1,1,"")</f>
        <v>2</v>
      </c>
      <c r="R63" s="106" t="str">
        <f>REPLACE(INDEX(GroupVertices[Group],MATCH(Edges[[#This Row],[Vertex 2]],GroupVertices[Vertex],0)),1,1,"")</f>
        <v>2</v>
      </c>
    </row>
    <row r="64" spans="1:18" ht="15">
      <c r="A64" s="50" t="s">
        <v>174</v>
      </c>
      <c r="B64" s="50" t="s">
        <v>180</v>
      </c>
      <c r="C64" s="53"/>
      <c r="D64" s="54">
        <v>2.6666666666666665</v>
      </c>
      <c r="E64" s="65"/>
      <c r="F64" s="55"/>
      <c r="G64" s="53"/>
      <c r="H64" s="57"/>
      <c r="I64" s="56"/>
      <c r="J64" s="56"/>
      <c r="K64" s="128" t="s">
        <v>66</v>
      </c>
      <c r="L64" s="84">
        <v>64</v>
      </c>
      <c r="M64" s="84"/>
      <c r="N64" s="63"/>
      <c r="O64" s="13" t="s">
        <v>192</v>
      </c>
      <c r="P64" s="102">
        <v>4</v>
      </c>
      <c r="Q64" s="106" t="str">
        <f>REPLACE(INDEX(GroupVertices[Group],MATCH(Edges[[#This Row],[Vertex 1]],GroupVertices[Vertex],0)),1,1,"")</f>
        <v>4</v>
      </c>
      <c r="R64" s="106" t="str">
        <f>REPLACE(INDEX(GroupVertices[Group],MATCH(Edges[[#This Row],[Vertex 2]],GroupVertices[Vertex],0)),1,1,"")</f>
        <v>1</v>
      </c>
    </row>
    <row r="65" spans="1:18" ht="15">
      <c r="A65" s="50" t="s">
        <v>174</v>
      </c>
      <c r="B65" s="50" t="s">
        <v>181</v>
      </c>
      <c r="C65" s="53"/>
      <c r="D65" s="54">
        <v>2.6666666666666665</v>
      </c>
      <c r="E65" s="65"/>
      <c r="F65" s="55"/>
      <c r="G65" s="53"/>
      <c r="H65" s="57"/>
      <c r="I65" s="56"/>
      <c r="J65" s="56"/>
      <c r="K65" s="128" t="s">
        <v>66</v>
      </c>
      <c r="L65" s="84">
        <v>65</v>
      </c>
      <c r="M65" s="84"/>
      <c r="N65" s="63"/>
      <c r="O65" s="13" t="s">
        <v>192</v>
      </c>
      <c r="P65" s="102">
        <v>4</v>
      </c>
      <c r="Q65" s="106" t="str">
        <f>REPLACE(INDEX(GroupVertices[Group],MATCH(Edges[[#This Row],[Vertex 1]],GroupVertices[Vertex],0)),1,1,"")</f>
        <v>4</v>
      </c>
      <c r="R65" s="106" t="str">
        <f>REPLACE(INDEX(GroupVertices[Group],MATCH(Edges[[#This Row],[Vertex 2]],GroupVertices[Vertex],0)),1,1,"")</f>
        <v>1</v>
      </c>
    </row>
    <row r="66" spans="1:18" ht="15">
      <c r="A66" s="50" t="s">
        <v>174</v>
      </c>
      <c r="B66" s="50" t="s">
        <v>182</v>
      </c>
      <c r="C66" s="53"/>
      <c r="D66" s="54">
        <v>2.6666666666666665</v>
      </c>
      <c r="E66" s="65"/>
      <c r="F66" s="55"/>
      <c r="G66" s="53"/>
      <c r="H66" s="57"/>
      <c r="I66" s="56"/>
      <c r="J66" s="56"/>
      <c r="K66" s="128" t="s">
        <v>66</v>
      </c>
      <c r="L66" s="84">
        <v>66</v>
      </c>
      <c r="M66" s="84"/>
      <c r="N66" s="63"/>
      <c r="O66" s="13" t="s">
        <v>192</v>
      </c>
      <c r="P66" s="102">
        <v>4</v>
      </c>
      <c r="Q66" s="106" t="str">
        <f>REPLACE(INDEX(GroupVertices[Group],MATCH(Edges[[#This Row],[Vertex 1]],GroupVertices[Vertex],0)),1,1,"")</f>
        <v>4</v>
      </c>
      <c r="R66" s="106" t="str">
        <f>REPLACE(INDEX(GroupVertices[Group],MATCH(Edges[[#This Row],[Vertex 2]],GroupVertices[Vertex],0)),1,1,"")</f>
        <v>1</v>
      </c>
    </row>
    <row r="67" spans="1:18" ht="15">
      <c r="A67" s="50" t="s">
        <v>174</v>
      </c>
      <c r="B67" s="50" t="s">
        <v>183</v>
      </c>
      <c r="C67" s="53"/>
      <c r="D67" s="54">
        <v>2.6666666666666665</v>
      </c>
      <c r="E67" s="65"/>
      <c r="F67" s="55"/>
      <c r="G67" s="53"/>
      <c r="H67" s="57"/>
      <c r="I67" s="56"/>
      <c r="J67" s="56"/>
      <c r="K67" s="128" t="s">
        <v>66</v>
      </c>
      <c r="L67" s="84">
        <v>67</v>
      </c>
      <c r="M67" s="84"/>
      <c r="N67" s="63"/>
      <c r="O67" s="13" t="s">
        <v>192</v>
      </c>
      <c r="P67" s="102">
        <v>4</v>
      </c>
      <c r="Q67" s="106" t="str">
        <f>REPLACE(INDEX(GroupVertices[Group],MATCH(Edges[[#This Row],[Vertex 1]],GroupVertices[Vertex],0)),1,1,"")</f>
        <v>4</v>
      </c>
      <c r="R67" s="106" t="str">
        <f>REPLACE(INDEX(GroupVertices[Group],MATCH(Edges[[#This Row],[Vertex 2]],GroupVertices[Vertex],0)),1,1,"")</f>
        <v>1</v>
      </c>
    </row>
    <row r="68" spans="1:18" ht="15">
      <c r="A68" s="50" t="s">
        <v>174</v>
      </c>
      <c r="B68" s="50" t="s">
        <v>184</v>
      </c>
      <c r="C68" s="53"/>
      <c r="D68" s="54">
        <v>2.6666666666666665</v>
      </c>
      <c r="E68" s="65"/>
      <c r="F68" s="55"/>
      <c r="G68" s="53"/>
      <c r="H68" s="57"/>
      <c r="I68" s="56"/>
      <c r="J68" s="56"/>
      <c r="K68" s="128" t="s">
        <v>66</v>
      </c>
      <c r="L68" s="84">
        <v>68</v>
      </c>
      <c r="M68" s="84"/>
      <c r="N68" s="63"/>
      <c r="O68" s="13" t="s">
        <v>192</v>
      </c>
      <c r="P68" s="102">
        <v>4</v>
      </c>
      <c r="Q68" s="106" t="str">
        <f>REPLACE(INDEX(GroupVertices[Group],MATCH(Edges[[#This Row],[Vertex 1]],GroupVertices[Vertex],0)),1,1,"")</f>
        <v>4</v>
      </c>
      <c r="R68" s="106" t="str">
        <f>REPLACE(INDEX(GroupVertices[Group],MATCH(Edges[[#This Row],[Vertex 2]],GroupVertices[Vertex],0)),1,1,"")</f>
        <v>1</v>
      </c>
    </row>
    <row r="69" spans="1:18" ht="15">
      <c r="A69" s="50" t="s">
        <v>174</v>
      </c>
      <c r="B69" s="50" t="s">
        <v>188</v>
      </c>
      <c r="C69" s="53"/>
      <c r="D69" s="54">
        <v>2.6666666666666665</v>
      </c>
      <c r="E69" s="65"/>
      <c r="F69" s="55"/>
      <c r="G69" s="53"/>
      <c r="H69" s="57"/>
      <c r="I69" s="56"/>
      <c r="J69" s="56"/>
      <c r="K69" s="128" t="s">
        <v>66</v>
      </c>
      <c r="L69" s="84">
        <v>69</v>
      </c>
      <c r="M69" s="84"/>
      <c r="N69" s="63"/>
      <c r="O69" s="13" t="s">
        <v>192</v>
      </c>
      <c r="P69" s="102">
        <v>4</v>
      </c>
      <c r="Q69" s="106" t="str">
        <f>REPLACE(INDEX(GroupVertices[Group],MATCH(Edges[[#This Row],[Vertex 1]],GroupVertices[Vertex],0)),1,1,"")</f>
        <v>4</v>
      </c>
      <c r="R69" s="106" t="str">
        <f>REPLACE(INDEX(GroupVertices[Group],MATCH(Edges[[#This Row],[Vertex 2]],GroupVertices[Vertex],0)),1,1,"")</f>
        <v>1</v>
      </c>
    </row>
    <row r="70" spans="1:18" ht="15">
      <c r="A70" s="50" t="s">
        <v>176</v>
      </c>
      <c r="B70" s="50" t="s">
        <v>180</v>
      </c>
      <c r="C70" s="53"/>
      <c r="D70" s="54">
        <v>2.6666666666666665</v>
      </c>
      <c r="E70" s="65"/>
      <c r="F70" s="55"/>
      <c r="G70" s="53"/>
      <c r="H70" s="57"/>
      <c r="I70" s="56"/>
      <c r="J70" s="56"/>
      <c r="K70" s="128" t="s">
        <v>66</v>
      </c>
      <c r="L70" s="84">
        <v>70</v>
      </c>
      <c r="M70" s="84"/>
      <c r="N70" s="63"/>
      <c r="O70" s="13" t="s">
        <v>192</v>
      </c>
      <c r="P70" s="102">
        <v>4</v>
      </c>
      <c r="Q70" s="106" t="str">
        <f>REPLACE(INDEX(GroupVertices[Group],MATCH(Edges[[#This Row],[Vertex 1]],GroupVertices[Vertex],0)),1,1,"")</f>
        <v>2</v>
      </c>
      <c r="R70" s="106" t="str">
        <f>REPLACE(INDEX(GroupVertices[Group],MATCH(Edges[[#This Row],[Vertex 2]],GroupVertices[Vertex],0)),1,1,"")</f>
        <v>1</v>
      </c>
    </row>
    <row r="71" spans="1:18" ht="15">
      <c r="A71" s="50" t="s">
        <v>176</v>
      </c>
      <c r="B71" s="50" t="s">
        <v>181</v>
      </c>
      <c r="C71" s="53"/>
      <c r="D71" s="54">
        <v>2.6666666666666665</v>
      </c>
      <c r="E71" s="65"/>
      <c r="F71" s="55"/>
      <c r="G71" s="53"/>
      <c r="H71" s="57"/>
      <c r="I71" s="56"/>
      <c r="J71" s="56"/>
      <c r="K71" s="128" t="s">
        <v>66</v>
      </c>
      <c r="L71" s="84">
        <v>71</v>
      </c>
      <c r="M71" s="84"/>
      <c r="N71" s="63"/>
      <c r="O71" s="13" t="s">
        <v>192</v>
      </c>
      <c r="P71" s="102">
        <v>4</v>
      </c>
      <c r="Q71" s="106" t="str">
        <f>REPLACE(INDEX(GroupVertices[Group],MATCH(Edges[[#This Row],[Vertex 1]],GroupVertices[Vertex],0)),1,1,"")</f>
        <v>2</v>
      </c>
      <c r="R71" s="106" t="str">
        <f>REPLACE(INDEX(GroupVertices[Group],MATCH(Edges[[#This Row],[Vertex 2]],GroupVertices[Vertex],0)),1,1,"")</f>
        <v>1</v>
      </c>
    </row>
    <row r="72" spans="1:18" ht="15">
      <c r="A72" s="50" t="s">
        <v>176</v>
      </c>
      <c r="B72" s="50" t="s">
        <v>182</v>
      </c>
      <c r="C72" s="53"/>
      <c r="D72" s="54">
        <v>2.6666666666666665</v>
      </c>
      <c r="E72" s="65"/>
      <c r="F72" s="55"/>
      <c r="G72" s="53"/>
      <c r="H72" s="57"/>
      <c r="I72" s="56"/>
      <c r="J72" s="56"/>
      <c r="K72" s="128" t="s">
        <v>66</v>
      </c>
      <c r="L72" s="84">
        <v>72</v>
      </c>
      <c r="M72" s="84"/>
      <c r="N72" s="63"/>
      <c r="O72" s="13" t="s">
        <v>192</v>
      </c>
      <c r="P72" s="102">
        <v>4</v>
      </c>
      <c r="Q72" s="106" t="str">
        <f>REPLACE(INDEX(GroupVertices[Group],MATCH(Edges[[#This Row],[Vertex 1]],GroupVertices[Vertex],0)),1,1,"")</f>
        <v>2</v>
      </c>
      <c r="R72" s="106" t="str">
        <f>REPLACE(INDEX(GroupVertices[Group],MATCH(Edges[[#This Row],[Vertex 2]],GroupVertices[Vertex],0)),1,1,"")</f>
        <v>1</v>
      </c>
    </row>
    <row r="73" spans="1:18" ht="15">
      <c r="A73" s="50" t="s">
        <v>176</v>
      </c>
      <c r="B73" s="50" t="s">
        <v>183</v>
      </c>
      <c r="C73" s="53"/>
      <c r="D73" s="54">
        <v>2.6666666666666665</v>
      </c>
      <c r="E73" s="65"/>
      <c r="F73" s="55"/>
      <c r="G73" s="53"/>
      <c r="H73" s="57"/>
      <c r="I73" s="56"/>
      <c r="J73" s="56"/>
      <c r="K73" s="128" t="s">
        <v>66</v>
      </c>
      <c r="L73" s="84">
        <v>73</v>
      </c>
      <c r="M73" s="84"/>
      <c r="N73" s="63"/>
      <c r="O73" s="13" t="s">
        <v>192</v>
      </c>
      <c r="P73" s="102">
        <v>4</v>
      </c>
      <c r="Q73" s="106" t="str">
        <f>REPLACE(INDEX(GroupVertices[Group],MATCH(Edges[[#This Row],[Vertex 1]],GroupVertices[Vertex],0)),1,1,"")</f>
        <v>2</v>
      </c>
      <c r="R73" s="106" t="str">
        <f>REPLACE(INDEX(GroupVertices[Group],MATCH(Edges[[#This Row],[Vertex 2]],GroupVertices[Vertex],0)),1,1,"")</f>
        <v>1</v>
      </c>
    </row>
    <row r="74" spans="1:18" ht="15">
      <c r="A74" s="50" t="s">
        <v>176</v>
      </c>
      <c r="B74" s="50" t="s">
        <v>184</v>
      </c>
      <c r="C74" s="53"/>
      <c r="D74" s="54">
        <v>2.6666666666666665</v>
      </c>
      <c r="E74" s="65"/>
      <c r="F74" s="55"/>
      <c r="G74" s="53"/>
      <c r="H74" s="57"/>
      <c r="I74" s="56"/>
      <c r="J74" s="56"/>
      <c r="K74" s="128" t="s">
        <v>66</v>
      </c>
      <c r="L74" s="84">
        <v>74</v>
      </c>
      <c r="M74" s="84"/>
      <c r="N74" s="63"/>
      <c r="O74" s="13" t="s">
        <v>192</v>
      </c>
      <c r="P74" s="102">
        <v>4</v>
      </c>
      <c r="Q74" s="106" t="str">
        <f>REPLACE(INDEX(GroupVertices[Group],MATCH(Edges[[#This Row],[Vertex 1]],GroupVertices[Vertex],0)),1,1,"")</f>
        <v>2</v>
      </c>
      <c r="R74" s="106" t="str">
        <f>REPLACE(INDEX(GroupVertices[Group],MATCH(Edges[[#This Row],[Vertex 2]],GroupVertices[Vertex],0)),1,1,"")</f>
        <v>1</v>
      </c>
    </row>
    <row r="75" spans="1:18" ht="15">
      <c r="A75" s="50" t="s">
        <v>176</v>
      </c>
      <c r="B75" s="50" t="s">
        <v>188</v>
      </c>
      <c r="C75" s="53"/>
      <c r="D75" s="54">
        <v>2.6666666666666665</v>
      </c>
      <c r="E75" s="65"/>
      <c r="F75" s="55"/>
      <c r="G75" s="53"/>
      <c r="H75" s="57"/>
      <c r="I75" s="56"/>
      <c r="J75" s="56"/>
      <c r="K75" s="128" t="s">
        <v>66</v>
      </c>
      <c r="L75" s="84">
        <v>75</v>
      </c>
      <c r="M75" s="84"/>
      <c r="N75" s="63"/>
      <c r="O75" s="13" t="s">
        <v>192</v>
      </c>
      <c r="P75" s="102">
        <v>4</v>
      </c>
      <c r="Q75" s="106" t="str">
        <f>REPLACE(INDEX(GroupVertices[Group],MATCH(Edges[[#This Row],[Vertex 1]],GroupVertices[Vertex],0)),1,1,"")</f>
        <v>2</v>
      </c>
      <c r="R75" s="106" t="str">
        <f>REPLACE(INDEX(GroupVertices[Group],MATCH(Edges[[#This Row],[Vertex 2]],GroupVertices[Vertex],0)),1,1,"")</f>
        <v>1</v>
      </c>
    </row>
    <row r="76" spans="1:18" ht="15">
      <c r="A76" s="50" t="s">
        <v>180</v>
      </c>
      <c r="B76" s="50" t="s">
        <v>181</v>
      </c>
      <c r="C76" s="53"/>
      <c r="D76" s="54">
        <v>2.6666666666666665</v>
      </c>
      <c r="E76" s="65"/>
      <c r="F76" s="55"/>
      <c r="G76" s="53"/>
      <c r="H76" s="57"/>
      <c r="I76" s="56"/>
      <c r="J76" s="56"/>
      <c r="K76" s="128" t="s">
        <v>66</v>
      </c>
      <c r="L76" s="84">
        <v>76</v>
      </c>
      <c r="M76" s="84"/>
      <c r="N76" s="63"/>
      <c r="O76" s="13" t="s">
        <v>192</v>
      </c>
      <c r="P76" s="102">
        <v>4</v>
      </c>
      <c r="Q76" s="106" t="str">
        <f>REPLACE(INDEX(GroupVertices[Group],MATCH(Edges[[#This Row],[Vertex 1]],GroupVertices[Vertex],0)),1,1,"")</f>
        <v>1</v>
      </c>
      <c r="R76" s="106" t="str">
        <f>REPLACE(INDEX(GroupVertices[Group],MATCH(Edges[[#This Row],[Vertex 2]],GroupVertices[Vertex],0)),1,1,"")</f>
        <v>1</v>
      </c>
    </row>
    <row r="77" spans="1:18" ht="15">
      <c r="A77" s="50" t="s">
        <v>180</v>
      </c>
      <c r="B77" s="50" t="s">
        <v>182</v>
      </c>
      <c r="C77" s="53"/>
      <c r="D77" s="54">
        <v>2.6666666666666665</v>
      </c>
      <c r="E77" s="65"/>
      <c r="F77" s="55"/>
      <c r="G77" s="53"/>
      <c r="H77" s="57"/>
      <c r="I77" s="56"/>
      <c r="J77" s="56"/>
      <c r="K77" s="128" t="s">
        <v>66</v>
      </c>
      <c r="L77" s="84">
        <v>77</v>
      </c>
      <c r="M77" s="84"/>
      <c r="N77" s="63"/>
      <c r="O77" s="13" t="s">
        <v>192</v>
      </c>
      <c r="P77" s="102">
        <v>4</v>
      </c>
      <c r="Q77" s="106" t="str">
        <f>REPLACE(INDEX(GroupVertices[Group],MATCH(Edges[[#This Row],[Vertex 1]],GroupVertices[Vertex],0)),1,1,"")</f>
        <v>1</v>
      </c>
      <c r="R77" s="106" t="str">
        <f>REPLACE(INDEX(GroupVertices[Group],MATCH(Edges[[#This Row],[Vertex 2]],GroupVertices[Vertex],0)),1,1,"")</f>
        <v>1</v>
      </c>
    </row>
    <row r="78" spans="1:18" ht="15">
      <c r="A78" s="50" t="s">
        <v>180</v>
      </c>
      <c r="B78" s="50" t="s">
        <v>183</v>
      </c>
      <c r="C78" s="53"/>
      <c r="D78" s="54">
        <v>2.6666666666666665</v>
      </c>
      <c r="E78" s="65"/>
      <c r="F78" s="55"/>
      <c r="G78" s="53"/>
      <c r="H78" s="57"/>
      <c r="I78" s="56"/>
      <c r="J78" s="56"/>
      <c r="K78" s="128" t="s">
        <v>66</v>
      </c>
      <c r="L78" s="84">
        <v>78</v>
      </c>
      <c r="M78" s="84"/>
      <c r="N78" s="63"/>
      <c r="O78" s="13" t="s">
        <v>192</v>
      </c>
      <c r="P78" s="102">
        <v>4</v>
      </c>
      <c r="Q78" s="106" t="str">
        <f>REPLACE(INDEX(GroupVertices[Group],MATCH(Edges[[#This Row],[Vertex 1]],GroupVertices[Vertex],0)),1,1,"")</f>
        <v>1</v>
      </c>
      <c r="R78" s="106" t="str">
        <f>REPLACE(INDEX(GroupVertices[Group],MATCH(Edges[[#This Row],[Vertex 2]],GroupVertices[Vertex],0)),1,1,"")</f>
        <v>1</v>
      </c>
    </row>
    <row r="79" spans="1:18" ht="15">
      <c r="A79" s="50" t="s">
        <v>180</v>
      </c>
      <c r="B79" s="50" t="s">
        <v>184</v>
      </c>
      <c r="C79" s="53"/>
      <c r="D79" s="54">
        <v>2.6666666666666665</v>
      </c>
      <c r="E79" s="65"/>
      <c r="F79" s="55"/>
      <c r="G79" s="53"/>
      <c r="H79" s="57"/>
      <c r="I79" s="56"/>
      <c r="J79" s="56"/>
      <c r="K79" s="128" t="s">
        <v>66</v>
      </c>
      <c r="L79" s="84">
        <v>79</v>
      </c>
      <c r="M79" s="84"/>
      <c r="N79" s="63"/>
      <c r="O79" s="13" t="s">
        <v>192</v>
      </c>
      <c r="P79" s="102">
        <v>4</v>
      </c>
      <c r="Q79" s="106" t="str">
        <f>REPLACE(INDEX(GroupVertices[Group],MATCH(Edges[[#This Row],[Vertex 1]],GroupVertices[Vertex],0)),1,1,"")</f>
        <v>1</v>
      </c>
      <c r="R79" s="106" t="str">
        <f>REPLACE(INDEX(GroupVertices[Group],MATCH(Edges[[#This Row],[Vertex 2]],GroupVertices[Vertex],0)),1,1,"")</f>
        <v>1</v>
      </c>
    </row>
    <row r="80" spans="1:18" ht="15">
      <c r="A80" s="50" t="s">
        <v>180</v>
      </c>
      <c r="B80" s="50" t="s">
        <v>188</v>
      </c>
      <c r="C80" s="53"/>
      <c r="D80" s="54">
        <v>2.6666666666666665</v>
      </c>
      <c r="E80" s="65"/>
      <c r="F80" s="55"/>
      <c r="G80" s="53"/>
      <c r="H80" s="57"/>
      <c r="I80" s="56"/>
      <c r="J80" s="56"/>
      <c r="K80" s="128" t="s">
        <v>66</v>
      </c>
      <c r="L80" s="84">
        <v>80</v>
      </c>
      <c r="M80" s="84"/>
      <c r="N80" s="63"/>
      <c r="O80" s="13" t="s">
        <v>192</v>
      </c>
      <c r="P80" s="102">
        <v>4</v>
      </c>
      <c r="Q80" s="106" t="str">
        <f>REPLACE(INDEX(GroupVertices[Group],MATCH(Edges[[#This Row],[Vertex 1]],GroupVertices[Vertex],0)),1,1,"")</f>
        <v>1</v>
      </c>
      <c r="R80" s="106" t="str">
        <f>REPLACE(INDEX(GroupVertices[Group],MATCH(Edges[[#This Row],[Vertex 2]],GroupVertices[Vertex],0)),1,1,"")</f>
        <v>1</v>
      </c>
    </row>
    <row r="81" spans="1:18" ht="15">
      <c r="A81" s="50" t="s">
        <v>181</v>
      </c>
      <c r="B81" s="50" t="s">
        <v>182</v>
      </c>
      <c r="C81" s="53"/>
      <c r="D81" s="54">
        <v>2.6666666666666665</v>
      </c>
      <c r="E81" s="65"/>
      <c r="F81" s="55"/>
      <c r="G81" s="53"/>
      <c r="H81" s="57"/>
      <c r="I81" s="56"/>
      <c r="J81" s="56"/>
      <c r="K81" s="128" t="s">
        <v>66</v>
      </c>
      <c r="L81" s="84">
        <v>81</v>
      </c>
      <c r="M81" s="84"/>
      <c r="N81" s="63"/>
      <c r="O81" s="13" t="s">
        <v>192</v>
      </c>
      <c r="P81" s="102">
        <v>4</v>
      </c>
      <c r="Q81" s="106" t="str">
        <f>REPLACE(INDEX(GroupVertices[Group],MATCH(Edges[[#This Row],[Vertex 1]],GroupVertices[Vertex],0)),1,1,"")</f>
        <v>1</v>
      </c>
      <c r="R81" s="106" t="str">
        <f>REPLACE(INDEX(GroupVertices[Group],MATCH(Edges[[#This Row],[Vertex 2]],GroupVertices[Vertex],0)),1,1,"")</f>
        <v>1</v>
      </c>
    </row>
    <row r="82" spans="1:18" ht="15">
      <c r="A82" s="50" t="s">
        <v>181</v>
      </c>
      <c r="B82" s="50" t="s">
        <v>183</v>
      </c>
      <c r="C82" s="53"/>
      <c r="D82" s="54">
        <v>2.6666666666666665</v>
      </c>
      <c r="E82" s="65"/>
      <c r="F82" s="55"/>
      <c r="G82" s="53"/>
      <c r="H82" s="57"/>
      <c r="I82" s="56"/>
      <c r="J82" s="56"/>
      <c r="K82" s="128" t="s">
        <v>66</v>
      </c>
      <c r="L82" s="84">
        <v>82</v>
      </c>
      <c r="M82" s="84"/>
      <c r="N82" s="63"/>
      <c r="O82" s="13" t="s">
        <v>192</v>
      </c>
      <c r="P82" s="102">
        <v>4</v>
      </c>
      <c r="Q82" s="106" t="str">
        <f>REPLACE(INDEX(GroupVertices[Group],MATCH(Edges[[#This Row],[Vertex 1]],GroupVertices[Vertex],0)),1,1,"")</f>
        <v>1</v>
      </c>
      <c r="R82" s="106" t="str">
        <f>REPLACE(INDEX(GroupVertices[Group],MATCH(Edges[[#This Row],[Vertex 2]],GroupVertices[Vertex],0)),1,1,"")</f>
        <v>1</v>
      </c>
    </row>
    <row r="83" spans="1:18" ht="15">
      <c r="A83" s="50" t="s">
        <v>181</v>
      </c>
      <c r="B83" s="50" t="s">
        <v>184</v>
      </c>
      <c r="C83" s="53"/>
      <c r="D83" s="54">
        <v>2.6666666666666665</v>
      </c>
      <c r="E83" s="65"/>
      <c r="F83" s="55"/>
      <c r="G83" s="53"/>
      <c r="H83" s="57"/>
      <c r="I83" s="56"/>
      <c r="J83" s="56"/>
      <c r="K83" s="128" t="s">
        <v>66</v>
      </c>
      <c r="L83" s="84">
        <v>83</v>
      </c>
      <c r="M83" s="84"/>
      <c r="N83" s="63"/>
      <c r="O83" s="13" t="s">
        <v>192</v>
      </c>
      <c r="P83" s="102">
        <v>4</v>
      </c>
      <c r="Q83" s="106" t="str">
        <f>REPLACE(INDEX(GroupVertices[Group],MATCH(Edges[[#This Row],[Vertex 1]],GroupVertices[Vertex],0)),1,1,"")</f>
        <v>1</v>
      </c>
      <c r="R83" s="106" t="str">
        <f>REPLACE(INDEX(GroupVertices[Group],MATCH(Edges[[#This Row],[Vertex 2]],GroupVertices[Vertex],0)),1,1,"")</f>
        <v>1</v>
      </c>
    </row>
    <row r="84" spans="1:18" ht="15">
      <c r="A84" s="50" t="s">
        <v>181</v>
      </c>
      <c r="B84" s="50" t="s">
        <v>188</v>
      </c>
      <c r="C84" s="53"/>
      <c r="D84" s="54">
        <v>2.6666666666666665</v>
      </c>
      <c r="E84" s="65"/>
      <c r="F84" s="55"/>
      <c r="G84" s="53"/>
      <c r="H84" s="57"/>
      <c r="I84" s="56"/>
      <c r="J84" s="56"/>
      <c r="K84" s="128" t="s">
        <v>66</v>
      </c>
      <c r="L84" s="84">
        <v>84</v>
      </c>
      <c r="M84" s="84"/>
      <c r="N84" s="63"/>
      <c r="O84" s="13" t="s">
        <v>192</v>
      </c>
      <c r="P84" s="102">
        <v>4</v>
      </c>
      <c r="Q84" s="106" t="str">
        <f>REPLACE(INDEX(GroupVertices[Group],MATCH(Edges[[#This Row],[Vertex 1]],GroupVertices[Vertex],0)),1,1,"")</f>
        <v>1</v>
      </c>
      <c r="R84" s="106" t="str">
        <f>REPLACE(INDEX(GroupVertices[Group],MATCH(Edges[[#This Row],[Vertex 2]],GroupVertices[Vertex],0)),1,1,"")</f>
        <v>1</v>
      </c>
    </row>
    <row r="85" spans="1:18" ht="15">
      <c r="A85" s="50" t="s">
        <v>182</v>
      </c>
      <c r="B85" s="50" t="s">
        <v>183</v>
      </c>
      <c r="C85" s="53"/>
      <c r="D85" s="54">
        <v>2.6666666666666665</v>
      </c>
      <c r="E85" s="65"/>
      <c r="F85" s="55"/>
      <c r="G85" s="53"/>
      <c r="H85" s="57"/>
      <c r="I85" s="56"/>
      <c r="J85" s="56"/>
      <c r="K85" s="128" t="s">
        <v>66</v>
      </c>
      <c r="L85" s="84">
        <v>85</v>
      </c>
      <c r="M85" s="84"/>
      <c r="N85" s="63"/>
      <c r="O85" s="13" t="s">
        <v>192</v>
      </c>
      <c r="P85" s="102">
        <v>4</v>
      </c>
      <c r="Q85" s="106" t="str">
        <f>REPLACE(INDEX(GroupVertices[Group],MATCH(Edges[[#This Row],[Vertex 1]],GroupVertices[Vertex],0)),1,1,"")</f>
        <v>1</v>
      </c>
      <c r="R85" s="106" t="str">
        <f>REPLACE(INDEX(GroupVertices[Group],MATCH(Edges[[#This Row],[Vertex 2]],GroupVertices[Vertex],0)),1,1,"")</f>
        <v>1</v>
      </c>
    </row>
    <row r="86" spans="1:18" ht="15">
      <c r="A86" s="50" t="s">
        <v>182</v>
      </c>
      <c r="B86" s="50" t="s">
        <v>184</v>
      </c>
      <c r="C86" s="53"/>
      <c r="D86" s="54">
        <v>2.6666666666666665</v>
      </c>
      <c r="E86" s="65"/>
      <c r="F86" s="55"/>
      <c r="G86" s="53"/>
      <c r="H86" s="57"/>
      <c r="I86" s="56"/>
      <c r="J86" s="56"/>
      <c r="K86" s="128" t="s">
        <v>66</v>
      </c>
      <c r="L86" s="84">
        <v>86</v>
      </c>
      <c r="M86" s="84"/>
      <c r="N86" s="63"/>
      <c r="O86" s="13" t="s">
        <v>192</v>
      </c>
      <c r="P86" s="102">
        <v>4</v>
      </c>
      <c r="Q86" s="106" t="str">
        <f>REPLACE(INDEX(GroupVertices[Group],MATCH(Edges[[#This Row],[Vertex 1]],GroupVertices[Vertex],0)),1,1,"")</f>
        <v>1</v>
      </c>
      <c r="R86" s="106" t="str">
        <f>REPLACE(INDEX(GroupVertices[Group],MATCH(Edges[[#This Row],[Vertex 2]],GroupVertices[Vertex],0)),1,1,"")</f>
        <v>1</v>
      </c>
    </row>
    <row r="87" spans="1:18" ht="15">
      <c r="A87" s="50" t="s">
        <v>182</v>
      </c>
      <c r="B87" s="50" t="s">
        <v>188</v>
      </c>
      <c r="C87" s="53"/>
      <c r="D87" s="54">
        <v>2.6666666666666665</v>
      </c>
      <c r="E87" s="65"/>
      <c r="F87" s="55"/>
      <c r="G87" s="53"/>
      <c r="H87" s="57"/>
      <c r="I87" s="56"/>
      <c r="J87" s="56"/>
      <c r="K87" s="128" t="s">
        <v>66</v>
      </c>
      <c r="L87" s="84">
        <v>87</v>
      </c>
      <c r="M87" s="84"/>
      <c r="N87" s="63"/>
      <c r="O87" s="13" t="s">
        <v>192</v>
      </c>
      <c r="P87" s="102">
        <v>4</v>
      </c>
      <c r="Q87" s="106" t="str">
        <f>REPLACE(INDEX(GroupVertices[Group],MATCH(Edges[[#This Row],[Vertex 1]],GroupVertices[Vertex],0)),1,1,"")</f>
        <v>1</v>
      </c>
      <c r="R87" s="106" t="str">
        <f>REPLACE(INDEX(GroupVertices[Group],MATCH(Edges[[#This Row],[Vertex 2]],GroupVertices[Vertex],0)),1,1,"")</f>
        <v>1</v>
      </c>
    </row>
    <row r="88" spans="1:18" ht="15">
      <c r="A88" s="50" t="s">
        <v>183</v>
      </c>
      <c r="B88" s="50" t="s">
        <v>184</v>
      </c>
      <c r="C88" s="53"/>
      <c r="D88" s="54">
        <v>2.6666666666666665</v>
      </c>
      <c r="E88" s="65"/>
      <c r="F88" s="55"/>
      <c r="G88" s="53"/>
      <c r="H88" s="57"/>
      <c r="I88" s="56"/>
      <c r="J88" s="56"/>
      <c r="K88" s="128" t="s">
        <v>66</v>
      </c>
      <c r="L88" s="84">
        <v>88</v>
      </c>
      <c r="M88" s="84"/>
      <c r="N88" s="63"/>
      <c r="O88" s="13" t="s">
        <v>192</v>
      </c>
      <c r="P88" s="102">
        <v>4</v>
      </c>
      <c r="Q88" s="106" t="str">
        <f>REPLACE(INDEX(GroupVertices[Group],MATCH(Edges[[#This Row],[Vertex 1]],GroupVertices[Vertex],0)),1,1,"")</f>
        <v>1</v>
      </c>
      <c r="R88" s="106" t="str">
        <f>REPLACE(INDEX(GroupVertices[Group],MATCH(Edges[[#This Row],[Vertex 2]],GroupVertices[Vertex],0)),1,1,"")</f>
        <v>1</v>
      </c>
    </row>
    <row r="89" spans="1:18" ht="15">
      <c r="A89" s="50" t="s">
        <v>183</v>
      </c>
      <c r="B89" s="50" t="s">
        <v>188</v>
      </c>
      <c r="C89" s="53"/>
      <c r="D89" s="54">
        <v>2.6666666666666665</v>
      </c>
      <c r="E89" s="65"/>
      <c r="F89" s="55"/>
      <c r="G89" s="53"/>
      <c r="H89" s="57"/>
      <c r="I89" s="56"/>
      <c r="J89" s="56"/>
      <c r="K89" s="128" t="s">
        <v>66</v>
      </c>
      <c r="L89" s="84">
        <v>89</v>
      </c>
      <c r="M89" s="84"/>
      <c r="N89" s="63"/>
      <c r="O89" s="13" t="s">
        <v>192</v>
      </c>
      <c r="P89" s="102">
        <v>4</v>
      </c>
      <c r="Q89" s="106" t="str">
        <f>REPLACE(INDEX(GroupVertices[Group],MATCH(Edges[[#This Row],[Vertex 1]],GroupVertices[Vertex],0)),1,1,"")</f>
        <v>1</v>
      </c>
      <c r="R89" s="106" t="str">
        <f>REPLACE(INDEX(GroupVertices[Group],MATCH(Edges[[#This Row],[Vertex 2]],GroupVertices[Vertex],0)),1,1,"")</f>
        <v>1</v>
      </c>
    </row>
    <row r="90" spans="1:18" ht="15">
      <c r="A90" s="50" t="s">
        <v>184</v>
      </c>
      <c r="B90" s="50" t="s">
        <v>188</v>
      </c>
      <c r="C90" s="53"/>
      <c r="D90" s="54">
        <v>2.6666666666666665</v>
      </c>
      <c r="E90" s="65"/>
      <c r="F90" s="55"/>
      <c r="G90" s="53"/>
      <c r="H90" s="57"/>
      <c r="I90" s="56"/>
      <c r="J90" s="56"/>
      <c r="K90" s="128" t="s">
        <v>66</v>
      </c>
      <c r="L90" s="84">
        <v>90</v>
      </c>
      <c r="M90" s="84"/>
      <c r="N90" s="63"/>
      <c r="O90" s="13" t="s">
        <v>192</v>
      </c>
      <c r="P90" s="102">
        <v>4</v>
      </c>
      <c r="Q90" s="106" t="str">
        <f>REPLACE(INDEX(GroupVertices[Group],MATCH(Edges[[#This Row],[Vertex 1]],GroupVertices[Vertex],0)),1,1,"")</f>
        <v>1</v>
      </c>
      <c r="R90" s="106" t="str">
        <f>REPLACE(INDEX(GroupVertices[Group],MATCH(Edges[[#This Row],[Vertex 2]],GroupVertices[Vertex],0)),1,1,"")</f>
        <v>1</v>
      </c>
    </row>
    <row r="91" spans="1:18" ht="15">
      <c r="A91" s="50" t="s">
        <v>133</v>
      </c>
      <c r="B91" s="50" t="s">
        <v>176</v>
      </c>
      <c r="C91" s="53"/>
      <c r="D91" s="54">
        <v>3.2222222222222223</v>
      </c>
      <c r="E91" s="65"/>
      <c r="F91" s="55"/>
      <c r="G91" s="53"/>
      <c r="H91" s="57"/>
      <c r="I91" s="56"/>
      <c r="J91" s="56"/>
      <c r="K91" s="36" t="s">
        <v>66</v>
      </c>
      <c r="L91" s="84">
        <v>91</v>
      </c>
      <c r="M91" s="84"/>
      <c r="N91" s="63"/>
      <c r="O91" s="13" t="s">
        <v>192</v>
      </c>
      <c r="P91" s="102">
        <v>5</v>
      </c>
      <c r="Q91" s="106" t="str">
        <f>REPLACE(INDEX(GroupVertices[Group],MATCH(Edges[[#This Row],[Vertex 1]],GroupVertices[Vertex],0)),1,1,"")</f>
        <v>3</v>
      </c>
      <c r="R91" s="106" t="str">
        <f>REPLACE(INDEX(GroupVertices[Group],MATCH(Edges[[#This Row],[Vertex 2]],GroupVertices[Vertex],0)),1,1,"")</f>
        <v>2</v>
      </c>
    </row>
    <row r="92" spans="1:18" ht="15">
      <c r="A92" s="50" t="s">
        <v>174</v>
      </c>
      <c r="B92" s="50" t="s">
        <v>133</v>
      </c>
      <c r="C92" s="53"/>
      <c r="D92" s="54">
        <v>3.2222222222222223</v>
      </c>
      <c r="E92" s="65"/>
      <c r="F92" s="55"/>
      <c r="G92" s="53"/>
      <c r="H92" s="57"/>
      <c r="I92" s="56"/>
      <c r="J92" s="56"/>
      <c r="K92" s="128" t="s">
        <v>66</v>
      </c>
      <c r="L92" s="84">
        <v>92</v>
      </c>
      <c r="M92" s="84"/>
      <c r="N92" s="63"/>
      <c r="O92" s="13" t="s">
        <v>192</v>
      </c>
      <c r="P92" s="102">
        <v>5</v>
      </c>
      <c r="Q92" s="106" t="str">
        <f>REPLACE(INDEX(GroupVertices[Group],MATCH(Edges[[#This Row],[Vertex 1]],GroupVertices[Vertex],0)),1,1,"")</f>
        <v>4</v>
      </c>
      <c r="R92" s="106" t="str">
        <f>REPLACE(INDEX(GroupVertices[Group],MATCH(Edges[[#This Row],[Vertex 2]],GroupVertices[Vertex],0)),1,1,"")</f>
        <v>3</v>
      </c>
    </row>
    <row r="93" spans="1:18" ht="15">
      <c r="A93" s="50" t="s">
        <v>178</v>
      </c>
      <c r="B93" s="50" t="s">
        <v>176</v>
      </c>
      <c r="C93" s="53"/>
      <c r="D93" s="54">
        <v>3.7777777777777777</v>
      </c>
      <c r="E93" s="65"/>
      <c r="F93" s="55"/>
      <c r="G93" s="53"/>
      <c r="H93" s="57"/>
      <c r="I93" s="56"/>
      <c r="J93" s="56"/>
      <c r="K93" s="128" t="s">
        <v>66</v>
      </c>
      <c r="L93" s="84">
        <v>93</v>
      </c>
      <c r="M93" s="84"/>
      <c r="N93" s="63"/>
      <c r="O93" s="13" t="s">
        <v>192</v>
      </c>
      <c r="P93" s="102">
        <v>6</v>
      </c>
      <c r="Q93" s="106" t="str">
        <f>REPLACE(INDEX(GroupVertices[Group],MATCH(Edges[[#This Row],[Vertex 1]],GroupVertices[Vertex],0)),1,1,"")</f>
        <v>2</v>
      </c>
      <c r="R93" s="106" t="str">
        <f>REPLACE(INDEX(GroupVertices[Group],MATCH(Edges[[#This Row],[Vertex 2]],GroupVertices[Vertex],0)),1,1,"")</f>
        <v>2</v>
      </c>
    </row>
    <row r="94" spans="1:18" ht="15">
      <c r="A94" s="50" t="s">
        <v>174</v>
      </c>
      <c r="B94" s="50" t="s">
        <v>176</v>
      </c>
      <c r="C94" s="53"/>
      <c r="D94" s="54">
        <v>3.7777777777777777</v>
      </c>
      <c r="E94" s="65"/>
      <c r="F94" s="55"/>
      <c r="G94" s="53"/>
      <c r="H94" s="57"/>
      <c r="I94" s="56"/>
      <c r="J94" s="56"/>
      <c r="K94" s="128" t="s">
        <v>66</v>
      </c>
      <c r="L94" s="84">
        <v>94</v>
      </c>
      <c r="M94" s="84"/>
      <c r="N94" s="63"/>
      <c r="O94" s="13" t="s">
        <v>192</v>
      </c>
      <c r="P94" s="102">
        <v>6</v>
      </c>
      <c r="Q94" s="106" t="str">
        <f>REPLACE(INDEX(GroupVertices[Group],MATCH(Edges[[#This Row],[Vertex 1]],GroupVertices[Vertex],0)),1,1,"")</f>
        <v>4</v>
      </c>
      <c r="R94" s="106" t="str">
        <f>REPLACE(INDEX(GroupVertices[Group],MATCH(Edges[[#This Row],[Vertex 2]],GroupVertices[Vertex],0)),1,1,"")</f>
        <v>2</v>
      </c>
    </row>
    <row r="95" spans="1:18" ht="15">
      <c r="A95" s="50" t="s">
        <v>178</v>
      </c>
      <c r="B95" s="50" t="s">
        <v>177</v>
      </c>
      <c r="C95" s="53"/>
      <c r="D95" s="54">
        <v>6</v>
      </c>
      <c r="E95" s="65"/>
      <c r="F95" s="55"/>
      <c r="G95" s="53"/>
      <c r="H95" s="57"/>
      <c r="I95" s="56"/>
      <c r="J95" s="56"/>
      <c r="K95" s="128" t="s">
        <v>66</v>
      </c>
      <c r="L95" s="84">
        <v>95</v>
      </c>
      <c r="M95" s="84"/>
      <c r="N95" s="63"/>
      <c r="O95" s="13" t="s">
        <v>192</v>
      </c>
      <c r="P95" s="102">
        <v>10</v>
      </c>
      <c r="Q95" s="106" t="str">
        <f>REPLACE(INDEX(GroupVertices[Group],MATCH(Edges[[#This Row],[Vertex 1]],GroupVertices[Vertex],0)),1,1,"")</f>
        <v>2</v>
      </c>
      <c r="R95" s="106" t="str">
        <f>REPLACE(INDEX(GroupVertices[Group],MATCH(Edges[[#This Row],[Vertex 2]],GroupVertices[Vertex],0)),1,1,"")</f>
        <v>2</v>
      </c>
    </row>
    <row r="96" spans="1:18" ht="15">
      <c r="A96" s="50" t="s">
        <v>178</v>
      </c>
      <c r="B96" s="50" t="s">
        <v>176</v>
      </c>
      <c r="C96" s="53" t="s">
        <v>263</v>
      </c>
      <c r="D96" s="54">
        <v>1.5555555555555556</v>
      </c>
      <c r="E96" s="65"/>
      <c r="F96" s="55"/>
      <c r="G96" s="53"/>
      <c r="H96" s="57"/>
      <c r="I96" s="56"/>
      <c r="J96" s="56"/>
      <c r="K96" s="128" t="s">
        <v>65</v>
      </c>
      <c r="L96" s="84">
        <v>96</v>
      </c>
      <c r="M96" s="84"/>
      <c r="N96" s="63"/>
      <c r="O96" s="13" t="s">
        <v>193</v>
      </c>
      <c r="P96" s="102">
        <v>2</v>
      </c>
      <c r="Q96" s="106" t="str">
        <f>REPLACE(INDEX(GroupVertices[Group],MATCH(Edges[[#This Row],[Vertex 1]],GroupVertices[Vertex],0)),1,1,"")</f>
        <v>2</v>
      </c>
      <c r="R96" s="106" t="str">
        <f>REPLACE(INDEX(GroupVertices[Group],MATCH(Edges[[#This Row],[Vertex 2]],GroupVertices[Vertex],0)),1,1,"")</f>
        <v>2</v>
      </c>
    </row>
    <row r="97" spans="1:18" ht="15">
      <c r="A97" s="50" t="s">
        <v>133</v>
      </c>
      <c r="B97" s="50" t="s">
        <v>176</v>
      </c>
      <c r="C97" s="53" t="s">
        <v>304</v>
      </c>
      <c r="D97" s="54">
        <v>1</v>
      </c>
      <c r="E97" s="65" t="s">
        <v>132</v>
      </c>
      <c r="F97" s="55"/>
      <c r="G97" s="53"/>
      <c r="H97" s="57"/>
      <c r="I97" s="56"/>
      <c r="J97" s="56"/>
      <c r="K97" s="128" t="s">
        <v>65</v>
      </c>
      <c r="L97" s="84">
        <v>97</v>
      </c>
      <c r="M97" s="84"/>
      <c r="N97" s="63"/>
      <c r="O97" s="13" t="s">
        <v>194</v>
      </c>
      <c r="P97" s="102">
        <v>1</v>
      </c>
      <c r="Q97" s="106" t="str">
        <f>REPLACE(INDEX(GroupVertices[Group],MATCH(Edges[[#This Row],[Vertex 1]],GroupVertices[Vertex],0)),1,1,"")</f>
        <v>3</v>
      </c>
      <c r="R97" s="106" t="str">
        <f>REPLACE(INDEX(GroupVertices[Group],MATCH(Edges[[#This Row],[Vertex 2]],GroupVertices[Vertex],0)),1,1,"")</f>
        <v>2</v>
      </c>
    </row>
    <row r="98" spans="1:18" ht="15">
      <c r="A98" s="50" t="s">
        <v>175</v>
      </c>
      <c r="B98" s="50" t="s">
        <v>186</v>
      </c>
      <c r="C98" s="53"/>
      <c r="D98" s="54">
        <v>1</v>
      </c>
      <c r="E98" s="65" t="s">
        <v>134</v>
      </c>
      <c r="F98" s="55"/>
      <c r="G98" s="53"/>
      <c r="H98" s="57"/>
      <c r="I98" s="56"/>
      <c r="J98" s="56"/>
      <c r="K98" s="36" t="s">
        <v>65</v>
      </c>
      <c r="L98" s="84">
        <v>98</v>
      </c>
      <c r="M98" s="84"/>
      <c r="N98" s="63"/>
      <c r="O98" s="13" t="s">
        <v>195</v>
      </c>
      <c r="P98" s="102">
        <v>1</v>
      </c>
      <c r="Q98" s="106" t="str">
        <f>REPLACE(INDEX(GroupVertices[Group],MATCH(Edges[[#This Row],[Vertex 1]],GroupVertices[Vertex],0)),1,1,"")</f>
        <v>3</v>
      </c>
      <c r="R98" s="106" t="str">
        <f>REPLACE(INDEX(GroupVertices[Group],MATCH(Edges[[#This Row],[Vertex 2]],GroupVertices[Vertex],0)),1,1,"")</f>
        <v>3</v>
      </c>
    </row>
    <row r="99" spans="1:18" ht="15">
      <c r="A99" s="50" t="s">
        <v>178</v>
      </c>
      <c r="B99" s="50" t="s">
        <v>176</v>
      </c>
      <c r="C99" s="53"/>
      <c r="D99" s="54">
        <v>1</v>
      </c>
      <c r="E99" s="65" t="s">
        <v>134</v>
      </c>
      <c r="F99" s="55"/>
      <c r="G99" s="53"/>
      <c r="H99" s="57"/>
      <c r="I99" s="56"/>
      <c r="J99" s="56"/>
      <c r="K99" s="36" t="s">
        <v>65</v>
      </c>
      <c r="L99" s="84">
        <v>99</v>
      </c>
      <c r="M99" s="84"/>
      <c r="N99" s="63"/>
      <c r="O99" s="13" t="s">
        <v>195</v>
      </c>
      <c r="P99" s="102">
        <v>1</v>
      </c>
      <c r="Q99" s="106" t="str">
        <f>REPLACE(INDEX(GroupVertices[Group],MATCH(Edges[[#This Row],[Vertex 1]],GroupVertices[Vertex],0)),1,1,"")</f>
        <v>2</v>
      </c>
      <c r="R99" s="106" t="str">
        <f>REPLACE(INDEX(GroupVertices[Group],MATCH(Edges[[#This Row],[Vertex 2]],GroupVertices[Vertex],0)),1,1,"")</f>
        <v>2</v>
      </c>
    </row>
    <row r="100" spans="1:18" ht="15">
      <c r="A100" s="50" t="s">
        <v>177</v>
      </c>
      <c r="B100" s="50" t="s">
        <v>176</v>
      </c>
      <c r="C100" s="53"/>
      <c r="D100" s="54">
        <v>1</v>
      </c>
      <c r="E100" s="65" t="s">
        <v>134</v>
      </c>
      <c r="F100" s="55"/>
      <c r="G100" s="53"/>
      <c r="H100" s="57"/>
      <c r="I100" s="56"/>
      <c r="J100" s="56"/>
      <c r="K100" s="36" t="s">
        <v>65</v>
      </c>
      <c r="L100" s="84">
        <v>100</v>
      </c>
      <c r="M100" s="84"/>
      <c r="N100" s="63"/>
      <c r="O100" s="13" t="s">
        <v>195</v>
      </c>
      <c r="P100" s="102">
        <v>1</v>
      </c>
      <c r="Q100" s="106" t="str">
        <f>REPLACE(INDEX(GroupVertices[Group],MATCH(Edges[[#This Row],[Vertex 1]],GroupVertices[Vertex],0)),1,1,"")</f>
        <v>2</v>
      </c>
      <c r="R100" s="106" t="str">
        <f>REPLACE(INDEX(GroupVertices[Group],MATCH(Edges[[#This Row],[Vertex 2]],GroupVertices[Vertex],0)),1,1,"")</f>
        <v>2</v>
      </c>
    </row>
    <row r="101" spans="1:18" ht="15">
      <c r="A101" s="50" t="s">
        <v>177</v>
      </c>
      <c r="B101" s="50" t="s">
        <v>175</v>
      </c>
      <c r="C101" s="53"/>
      <c r="D101" s="54">
        <v>1</v>
      </c>
      <c r="E101" s="65" t="s">
        <v>134</v>
      </c>
      <c r="F101" s="55"/>
      <c r="G101" s="53"/>
      <c r="H101" s="57"/>
      <c r="I101" s="56"/>
      <c r="J101" s="56"/>
      <c r="K101" s="128" t="s">
        <v>66</v>
      </c>
      <c r="L101" s="84">
        <v>101</v>
      </c>
      <c r="M101" s="84"/>
      <c r="N101" s="63"/>
      <c r="O101" s="13" t="s">
        <v>195</v>
      </c>
      <c r="P101" s="102">
        <v>1</v>
      </c>
      <c r="Q101" s="106" t="str">
        <f>REPLACE(INDEX(GroupVertices[Group],MATCH(Edges[[#This Row],[Vertex 1]],GroupVertices[Vertex],0)),1,1,"")</f>
        <v>2</v>
      </c>
      <c r="R101" s="106" t="str">
        <f>REPLACE(INDEX(GroupVertices[Group],MATCH(Edges[[#This Row],[Vertex 2]],GroupVertices[Vertex],0)),1,1,"")</f>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1"/>
    <dataValidation allowBlank="1" showErrorMessage="1" sqref="N2:N1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1"/>
    <dataValidation allowBlank="1" showInputMessage="1" promptTitle="Edge Color" prompt="To select an optional edge color, right-click and select Select Color on the right-click menu." sqref="C3:C101"/>
    <dataValidation allowBlank="1" showInputMessage="1" promptTitle="Edge Width" prompt="Enter an optional edge width between 1 and 10." errorTitle="Invalid Edge Width" error="The optional edge width must be a whole number between 1 and 10." sqref="D3:D101"/>
    <dataValidation allowBlank="1" showInputMessage="1" promptTitle="Edge Opacity" prompt="Enter an optional edge opacity between 0 (transparent) and 100 (opaque)." errorTitle="Invalid Edge Opacity" error="The optional edge opacity must be a whole number between 0 and 10." sqref="F3:F1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1">
      <formula1>ValidEdgeVisibilities</formula1>
    </dataValidation>
    <dataValidation allowBlank="1" showInputMessage="1" showErrorMessage="1" promptTitle="Vertex 1 Name" prompt="Enter the name of the edge's first vertex." sqref="A3:A101"/>
    <dataValidation allowBlank="1" showInputMessage="1" showErrorMessage="1" promptTitle="Vertex 2 Name" prompt="Enter the name of the edge's second vertex." sqref="B3:B101"/>
    <dataValidation allowBlank="1" showInputMessage="1" showErrorMessage="1" promptTitle="Edge Label" prompt="Enter an optional edge label." errorTitle="Invalid Edge Visibility" error="You have entered an unrecognized edge visibility.  Try selecting from the drop-down list instead." sqref="H3:H1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1"/>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9"/>
  <sheetViews>
    <sheetView tabSelected="1" workbookViewId="0" topLeftCell="A1">
      <pane xSplit="1" ySplit="2" topLeftCell="P3" activePane="bottomRight" state="frozen"/>
      <selection pane="topRight" activeCell="B1" sqref="B1"/>
      <selection pane="bottomLeft" activeCell="A3" sqref="A3"/>
      <selection pane="bottomRight" activeCell="A2" sqref="A2:AN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7.28125" style="2" bestFit="1" customWidth="1"/>
    <col min="31" max="31" width="19.57421875" style="3" bestFit="1" customWidth="1"/>
    <col min="32" max="32" width="17.28125" style="3" bestFit="1" customWidth="1"/>
    <col min="33" max="33" width="19.57421875" style="3" bestFit="1" customWidth="1"/>
    <col min="34" max="34" width="17.28125" style="3" bestFit="1" customWidth="1"/>
    <col min="35" max="35" width="19.57421875" style="0" bestFit="1" customWidth="1"/>
    <col min="36" max="36" width="17.28125" style="0" bestFit="1" customWidth="1"/>
    <col min="37" max="37" width="19.57421875" style="0" bestFit="1" customWidth="1"/>
    <col min="38" max="38" width="18.8515625" style="0" bestFit="1" customWidth="1"/>
    <col min="39" max="39" width="19.57421875" style="0" bestFit="1" customWidth="1"/>
    <col min="40" max="40"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42"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11" t="s">
        <v>230</v>
      </c>
      <c r="AE2" s="111" t="s">
        <v>231</v>
      </c>
      <c r="AF2" s="111" t="s">
        <v>232</v>
      </c>
      <c r="AG2" s="111" t="s">
        <v>233</v>
      </c>
      <c r="AH2" s="111" t="s">
        <v>234</v>
      </c>
      <c r="AI2" s="111" t="s">
        <v>235</v>
      </c>
      <c r="AJ2" s="111" t="s">
        <v>236</v>
      </c>
      <c r="AK2" s="111" t="s">
        <v>238</v>
      </c>
      <c r="AL2" s="111" t="s">
        <v>239</v>
      </c>
      <c r="AM2" s="111" t="s">
        <v>240</v>
      </c>
      <c r="AN2" s="13" t="s">
        <v>247</v>
      </c>
      <c r="AO2" s="3"/>
      <c r="AP2" s="3"/>
    </row>
    <row r="3" spans="1:42" ht="15" customHeight="1">
      <c r="A3" s="50" t="s">
        <v>174</v>
      </c>
      <c r="B3" s="53"/>
      <c r="C3" s="53"/>
      <c r="D3" s="54">
        <v>17.525381437511136</v>
      </c>
      <c r="E3" s="55">
        <v>87.14285714285714</v>
      </c>
      <c r="F3" s="53"/>
      <c r="G3" s="53"/>
      <c r="H3" s="57" t="s">
        <v>174</v>
      </c>
      <c r="I3" s="56"/>
      <c r="J3" s="56"/>
      <c r="K3" s="57" t="s">
        <v>307</v>
      </c>
      <c r="L3" s="59"/>
      <c r="M3" s="60">
        <v>4950.841796875</v>
      </c>
      <c r="N3" s="60">
        <v>1023.146728515625</v>
      </c>
      <c r="O3" s="58"/>
      <c r="P3" s="61"/>
      <c r="Q3" s="61"/>
      <c r="R3" s="51">
        <f aca="true" t="shared" si="0" ref="R3:R19">S3+T3</f>
        <v>12</v>
      </c>
      <c r="S3" s="51">
        <v>2</v>
      </c>
      <c r="T3" s="51">
        <v>10</v>
      </c>
      <c r="U3" s="52">
        <v>19.333333</v>
      </c>
      <c r="V3" s="52">
        <v>0.05</v>
      </c>
      <c r="W3" s="52">
        <v>0.095132</v>
      </c>
      <c r="X3" s="52">
        <v>1.632617</v>
      </c>
      <c r="Y3" s="52">
        <v>0.2878787878787879</v>
      </c>
      <c r="Z3" s="52">
        <v>0</v>
      </c>
      <c r="AA3" s="62">
        <v>3</v>
      </c>
      <c r="AB3" s="62"/>
      <c r="AC3" s="63"/>
      <c r="AD3" s="51"/>
      <c r="AE3" s="51"/>
      <c r="AF3" s="51"/>
      <c r="AG3" s="51"/>
      <c r="AH3" s="51"/>
      <c r="AI3" s="51"/>
      <c r="AJ3" s="112" t="s">
        <v>237</v>
      </c>
      <c r="AK3" s="112" t="s">
        <v>237</v>
      </c>
      <c r="AL3" s="112" t="s">
        <v>237</v>
      </c>
      <c r="AM3" s="112" t="s">
        <v>237</v>
      </c>
      <c r="AN3" s="109" t="str">
        <f>REPLACE(INDEX(GroupVertices[Group],MATCH(Vertices[[#This Row],[Vertex]],GroupVertices[Vertex],0)),1,1,"")</f>
        <v>4</v>
      </c>
      <c r="AO3" s="3"/>
      <c r="AP3" s="3"/>
    </row>
    <row r="4" spans="1:45" ht="15">
      <c r="A4" s="14" t="s">
        <v>133</v>
      </c>
      <c r="B4" s="15"/>
      <c r="C4" s="15"/>
      <c r="D4" s="85">
        <v>9.212537568027386</v>
      </c>
      <c r="E4" s="82">
        <v>61.42857142857143</v>
      </c>
      <c r="F4" s="15"/>
      <c r="G4" s="15"/>
      <c r="H4" s="16" t="s">
        <v>133</v>
      </c>
      <c r="I4" s="66"/>
      <c r="J4" s="66">
        <v>9</v>
      </c>
      <c r="K4" s="16" t="s">
        <v>308</v>
      </c>
      <c r="L4" s="86"/>
      <c r="M4" s="87">
        <v>6629.50732421875</v>
      </c>
      <c r="N4" s="87">
        <v>2018.9566650390625</v>
      </c>
      <c r="O4" s="77"/>
      <c r="P4" s="88"/>
      <c r="Q4" s="88"/>
      <c r="R4" s="51">
        <f t="shared" si="0"/>
        <v>4</v>
      </c>
      <c r="S4" s="51">
        <v>3</v>
      </c>
      <c r="T4" s="51">
        <v>1</v>
      </c>
      <c r="U4" s="52">
        <v>0</v>
      </c>
      <c r="V4" s="52">
        <v>0.034483</v>
      </c>
      <c r="W4" s="52">
        <v>0.033976</v>
      </c>
      <c r="X4" s="52">
        <v>0.506142</v>
      </c>
      <c r="Y4" s="52">
        <v>0.5</v>
      </c>
      <c r="Z4" s="52">
        <v>0.3333333333333333</v>
      </c>
      <c r="AA4" s="83">
        <v>4</v>
      </c>
      <c r="AB4" s="83"/>
      <c r="AC4" s="89"/>
      <c r="AD4" s="51"/>
      <c r="AE4" s="51"/>
      <c r="AF4" s="51"/>
      <c r="AG4" s="51"/>
      <c r="AH4" s="51"/>
      <c r="AI4" s="51"/>
      <c r="AJ4" s="112" t="s">
        <v>237</v>
      </c>
      <c r="AK4" s="112" t="s">
        <v>237</v>
      </c>
      <c r="AL4" s="112" t="s">
        <v>237</v>
      </c>
      <c r="AM4" s="112" t="s">
        <v>237</v>
      </c>
      <c r="AN4" s="109" t="str">
        <f>REPLACE(INDEX(GroupVertices[Group],MATCH(Vertices[[#This Row],[Vertex]],GroupVertices[Vertex],0)),1,1,"")</f>
        <v>3</v>
      </c>
      <c r="AO4" s="2"/>
      <c r="AP4" s="3"/>
      <c r="AQ4" s="3"/>
      <c r="AR4" s="3"/>
      <c r="AS4" s="3"/>
    </row>
    <row r="5" spans="1:45" ht="15">
      <c r="A5" s="14" t="s">
        <v>175</v>
      </c>
      <c r="B5" s="15"/>
      <c r="C5" s="15"/>
      <c r="D5" s="85">
        <v>18</v>
      </c>
      <c r="E5" s="82">
        <v>100</v>
      </c>
      <c r="F5" s="15"/>
      <c r="G5" s="15"/>
      <c r="H5" s="16" t="s">
        <v>175</v>
      </c>
      <c r="I5" s="66"/>
      <c r="J5" s="66"/>
      <c r="K5" s="16" t="s">
        <v>309</v>
      </c>
      <c r="L5" s="86"/>
      <c r="M5" s="87">
        <v>6245.037109375</v>
      </c>
      <c r="N5" s="87">
        <v>3764.652587890625</v>
      </c>
      <c r="O5" s="77"/>
      <c r="P5" s="88"/>
      <c r="Q5" s="88"/>
      <c r="R5" s="51">
        <f t="shared" si="0"/>
        <v>16</v>
      </c>
      <c r="S5" s="51">
        <v>1</v>
      </c>
      <c r="T5" s="51">
        <v>15</v>
      </c>
      <c r="U5" s="52">
        <v>85</v>
      </c>
      <c r="V5" s="52">
        <v>0.058824</v>
      </c>
      <c r="W5" s="52">
        <v>0.100892</v>
      </c>
      <c r="X5" s="52">
        <v>2.174157</v>
      </c>
      <c r="Y5" s="52">
        <v>0.19523809523809524</v>
      </c>
      <c r="Z5" s="52">
        <v>0.06666666666666667</v>
      </c>
      <c r="AA5" s="83">
        <v>5</v>
      </c>
      <c r="AB5" s="83"/>
      <c r="AC5" s="89"/>
      <c r="AD5" s="51"/>
      <c r="AE5" s="51"/>
      <c r="AF5" s="51"/>
      <c r="AG5" s="51"/>
      <c r="AH5" s="51"/>
      <c r="AI5" s="51"/>
      <c r="AJ5" s="112" t="s">
        <v>237</v>
      </c>
      <c r="AK5" s="112" t="s">
        <v>237</v>
      </c>
      <c r="AL5" s="112" t="s">
        <v>237</v>
      </c>
      <c r="AM5" s="112" t="s">
        <v>237</v>
      </c>
      <c r="AN5" s="109" t="str">
        <f>REPLACE(INDEX(GroupVertices[Group],MATCH(Vertices[[#This Row],[Vertex]],GroupVertices[Vertex],0)),1,1,"")</f>
        <v>3</v>
      </c>
      <c r="AO5" s="2"/>
      <c r="AP5" s="3"/>
      <c r="AQ5" s="3"/>
      <c r="AR5" s="3"/>
      <c r="AS5" s="3"/>
    </row>
    <row r="6" spans="1:45" ht="15">
      <c r="A6" s="14" t="s">
        <v>186</v>
      </c>
      <c r="B6" s="15"/>
      <c r="C6" s="15"/>
      <c r="D6" s="85">
        <v>1.5</v>
      </c>
      <c r="E6" s="82">
        <v>55</v>
      </c>
      <c r="F6" s="15"/>
      <c r="G6" s="15"/>
      <c r="H6" s="16" t="s">
        <v>186</v>
      </c>
      <c r="I6" s="66"/>
      <c r="J6" s="66">
        <v>2</v>
      </c>
      <c r="K6" s="16" t="s">
        <v>310</v>
      </c>
      <c r="L6" s="86"/>
      <c r="M6" s="87">
        <v>4791.955078125</v>
      </c>
      <c r="N6" s="87">
        <v>8109.6640625</v>
      </c>
      <c r="O6" s="77"/>
      <c r="P6" s="88"/>
      <c r="Q6" s="88"/>
      <c r="R6" s="51">
        <f t="shared" si="0"/>
        <v>2</v>
      </c>
      <c r="S6" s="51">
        <v>1</v>
      </c>
      <c r="T6" s="51">
        <v>1</v>
      </c>
      <c r="U6" s="52">
        <v>0</v>
      </c>
      <c r="V6" s="52">
        <v>0.032258</v>
      </c>
      <c r="W6" s="52">
        <v>0.013071</v>
      </c>
      <c r="X6" s="52">
        <v>0.475132</v>
      </c>
      <c r="Y6" s="52">
        <v>0.5</v>
      </c>
      <c r="Z6" s="52">
        <v>0</v>
      </c>
      <c r="AA6" s="83">
        <v>6</v>
      </c>
      <c r="AB6" s="83"/>
      <c r="AC6" s="89"/>
      <c r="AD6" s="51"/>
      <c r="AE6" s="51"/>
      <c r="AF6" s="51"/>
      <c r="AG6" s="51"/>
      <c r="AH6" s="51"/>
      <c r="AI6" s="51"/>
      <c r="AJ6" s="112" t="s">
        <v>237</v>
      </c>
      <c r="AK6" s="112" t="s">
        <v>237</v>
      </c>
      <c r="AL6" s="112" t="s">
        <v>237</v>
      </c>
      <c r="AM6" s="112" t="s">
        <v>237</v>
      </c>
      <c r="AN6" s="109" t="str">
        <f>REPLACE(INDEX(GroupVertices[Group],MATCH(Vertices[[#This Row],[Vertex]],GroupVertices[Vertex],0)),1,1,"")</f>
        <v>3</v>
      </c>
      <c r="AO6" s="2"/>
      <c r="AP6" s="3"/>
      <c r="AQ6" s="3"/>
      <c r="AR6" s="3"/>
      <c r="AS6" s="3"/>
    </row>
    <row r="7" spans="1:45" ht="15">
      <c r="A7" s="14" t="s">
        <v>176</v>
      </c>
      <c r="B7" s="15"/>
      <c r="C7" s="15"/>
      <c r="D7" s="85">
        <v>17.944835551955453</v>
      </c>
      <c r="E7" s="82">
        <v>96.78571428571429</v>
      </c>
      <c r="F7" s="15"/>
      <c r="G7" s="15"/>
      <c r="H7" s="16" t="s">
        <v>176</v>
      </c>
      <c r="I7" s="66"/>
      <c r="J7" s="66">
        <v>2</v>
      </c>
      <c r="K7" s="16" t="s">
        <v>311</v>
      </c>
      <c r="L7" s="86"/>
      <c r="M7" s="87">
        <v>7517.49462890625</v>
      </c>
      <c r="N7" s="87">
        <v>8517.3896484375</v>
      </c>
      <c r="O7" s="77"/>
      <c r="P7" s="88"/>
      <c r="Q7" s="88"/>
      <c r="R7" s="51">
        <f t="shared" si="0"/>
        <v>15</v>
      </c>
      <c r="S7" s="51">
        <v>7</v>
      </c>
      <c r="T7" s="51">
        <v>8</v>
      </c>
      <c r="U7" s="52">
        <v>50</v>
      </c>
      <c r="V7" s="52">
        <v>0.055556</v>
      </c>
      <c r="W7" s="52">
        <v>0.100205</v>
      </c>
      <c r="X7" s="52">
        <v>1.931962</v>
      </c>
      <c r="Y7" s="52">
        <v>0.23076923076923078</v>
      </c>
      <c r="Z7" s="52">
        <v>0.07142857142857142</v>
      </c>
      <c r="AA7" s="83">
        <v>7</v>
      </c>
      <c r="AB7" s="83"/>
      <c r="AC7" s="89"/>
      <c r="AD7" s="51"/>
      <c r="AE7" s="51"/>
      <c r="AF7" s="51"/>
      <c r="AG7" s="51"/>
      <c r="AH7" s="51"/>
      <c r="AI7" s="51"/>
      <c r="AJ7" s="112" t="s">
        <v>237</v>
      </c>
      <c r="AK7" s="112" t="s">
        <v>237</v>
      </c>
      <c r="AL7" s="112" t="s">
        <v>237</v>
      </c>
      <c r="AM7" s="112" t="s">
        <v>237</v>
      </c>
      <c r="AN7" s="109" t="str">
        <f>REPLACE(INDEX(GroupVertices[Group],MATCH(Vertices[[#This Row],[Vertex]],GroupVertices[Vertex],0)),1,1,"")</f>
        <v>2</v>
      </c>
      <c r="AO7" s="2"/>
      <c r="AP7" s="3"/>
      <c r="AQ7" s="3"/>
      <c r="AR7" s="3"/>
      <c r="AS7" s="3"/>
    </row>
    <row r="8" spans="1:45" ht="15">
      <c r="A8" s="14" t="s">
        <v>187</v>
      </c>
      <c r="B8" s="15"/>
      <c r="C8" s="15"/>
      <c r="D8" s="85">
        <v>4.7139084894495715</v>
      </c>
      <c r="E8" s="82">
        <v>58.214285714285715</v>
      </c>
      <c r="F8" s="15"/>
      <c r="G8" s="15"/>
      <c r="H8" s="16" t="s">
        <v>187</v>
      </c>
      <c r="I8" s="66"/>
      <c r="J8" s="66">
        <v>2</v>
      </c>
      <c r="K8" s="16" t="s">
        <v>310</v>
      </c>
      <c r="L8" s="86"/>
      <c r="M8" s="87">
        <v>9475.9365234375</v>
      </c>
      <c r="N8" s="87">
        <v>8574.763671875</v>
      </c>
      <c r="O8" s="77"/>
      <c r="P8" s="88"/>
      <c r="Q8" s="88"/>
      <c r="R8" s="51">
        <f t="shared" si="0"/>
        <v>3</v>
      </c>
      <c r="S8" s="51">
        <v>3</v>
      </c>
      <c r="T8" s="51">
        <v>0</v>
      </c>
      <c r="U8" s="52">
        <v>0</v>
      </c>
      <c r="V8" s="52">
        <v>0.032258</v>
      </c>
      <c r="W8" s="52">
        <v>0.019462</v>
      </c>
      <c r="X8" s="52">
        <v>0.549748</v>
      </c>
      <c r="Y8" s="52">
        <v>0.5</v>
      </c>
      <c r="Z8" s="52">
        <v>0</v>
      </c>
      <c r="AA8" s="83">
        <v>8</v>
      </c>
      <c r="AB8" s="83"/>
      <c r="AC8" s="89"/>
      <c r="AD8" s="51"/>
      <c r="AE8" s="51"/>
      <c r="AF8" s="51"/>
      <c r="AG8" s="51"/>
      <c r="AH8" s="51"/>
      <c r="AI8" s="51"/>
      <c r="AJ8" s="51"/>
      <c r="AK8" s="51"/>
      <c r="AL8" s="51"/>
      <c r="AM8" s="51"/>
      <c r="AN8" s="106" t="str">
        <f>REPLACE(INDEX(GroupVertices[Group],MATCH(Vertices[[#This Row],[Vertex]],GroupVertices[Vertex],0)),1,1,"")</f>
        <v>2</v>
      </c>
      <c r="AO8" s="2"/>
      <c r="AP8" s="3"/>
      <c r="AQ8" s="3"/>
      <c r="AR8" s="3"/>
      <c r="AS8" s="3"/>
    </row>
    <row r="9" spans="1:45" ht="15">
      <c r="A9" s="14" t="s">
        <v>177</v>
      </c>
      <c r="B9" s="15"/>
      <c r="C9" s="15"/>
      <c r="D9" s="85">
        <v>8.165336428580337</v>
      </c>
      <c r="E9" s="82">
        <v>64.64285714285714</v>
      </c>
      <c r="F9" s="15"/>
      <c r="G9" s="15"/>
      <c r="H9" s="16" t="s">
        <v>177</v>
      </c>
      <c r="I9" s="66"/>
      <c r="J9" s="66"/>
      <c r="K9" s="16" t="s">
        <v>312</v>
      </c>
      <c r="L9" s="86"/>
      <c r="M9" s="87">
        <v>8197.9267578125</v>
      </c>
      <c r="N9" s="87">
        <v>3369.967041015625</v>
      </c>
      <c r="O9" s="77"/>
      <c r="P9" s="88"/>
      <c r="Q9" s="88"/>
      <c r="R9" s="51">
        <f t="shared" si="0"/>
        <v>5</v>
      </c>
      <c r="S9" s="51">
        <v>2</v>
      </c>
      <c r="T9" s="51">
        <v>3</v>
      </c>
      <c r="U9" s="52">
        <v>2</v>
      </c>
      <c r="V9" s="52">
        <v>0.035714</v>
      </c>
      <c r="W9" s="52">
        <v>0.029843</v>
      </c>
      <c r="X9" s="52">
        <v>0.683473</v>
      </c>
      <c r="Y9" s="52">
        <v>0.4166666666666667</v>
      </c>
      <c r="Z9" s="52">
        <v>0.25</v>
      </c>
      <c r="AA9" s="83">
        <v>9</v>
      </c>
      <c r="AB9" s="83"/>
      <c r="AC9" s="89"/>
      <c r="AD9" s="51"/>
      <c r="AE9" s="51"/>
      <c r="AF9" s="51"/>
      <c r="AG9" s="51"/>
      <c r="AH9" s="51"/>
      <c r="AI9" s="51"/>
      <c r="AJ9" s="112" t="s">
        <v>237</v>
      </c>
      <c r="AK9" s="112" t="s">
        <v>237</v>
      </c>
      <c r="AL9" s="112" t="s">
        <v>237</v>
      </c>
      <c r="AM9" s="112" t="s">
        <v>237</v>
      </c>
      <c r="AN9" s="109" t="str">
        <f>REPLACE(INDEX(GroupVertices[Group],MATCH(Vertices[[#This Row],[Vertex]],GroupVertices[Vertex],0)),1,1,"")</f>
        <v>2</v>
      </c>
      <c r="AO9" s="2"/>
      <c r="AP9" s="3"/>
      <c r="AQ9" s="3"/>
      <c r="AR9" s="3"/>
      <c r="AS9" s="3"/>
    </row>
    <row r="10" spans="1:45" ht="15">
      <c r="A10" s="14" t="s">
        <v>178</v>
      </c>
      <c r="B10" s="15"/>
      <c r="C10" s="15"/>
      <c r="D10" s="85">
        <v>10.455553182152915</v>
      </c>
      <c r="E10" s="82">
        <v>64.64285714285714</v>
      </c>
      <c r="F10" s="15"/>
      <c r="G10" s="15"/>
      <c r="H10" s="16" t="s">
        <v>178</v>
      </c>
      <c r="I10" s="66"/>
      <c r="J10" s="66">
        <v>9</v>
      </c>
      <c r="K10" s="16" t="s">
        <v>313</v>
      </c>
      <c r="L10" s="86"/>
      <c r="M10" s="87">
        <v>9577.2001953125</v>
      </c>
      <c r="N10" s="87">
        <v>5657.81396484375</v>
      </c>
      <c r="O10" s="77"/>
      <c r="P10" s="88"/>
      <c r="Q10" s="88"/>
      <c r="R10" s="51">
        <f t="shared" si="0"/>
        <v>5</v>
      </c>
      <c r="S10" s="51">
        <v>1</v>
      </c>
      <c r="T10" s="51">
        <v>4</v>
      </c>
      <c r="U10" s="52">
        <v>3.666667</v>
      </c>
      <c r="V10" s="52">
        <v>0.037037</v>
      </c>
      <c r="W10" s="52">
        <v>0.039631</v>
      </c>
      <c r="X10" s="52">
        <v>0.80714</v>
      </c>
      <c r="Y10" s="52">
        <v>0.4</v>
      </c>
      <c r="Z10" s="52">
        <v>0</v>
      </c>
      <c r="AA10" s="83">
        <v>10</v>
      </c>
      <c r="AB10" s="83"/>
      <c r="AC10" s="89"/>
      <c r="AD10" s="51"/>
      <c r="AE10" s="51"/>
      <c r="AF10" s="51"/>
      <c r="AG10" s="51"/>
      <c r="AH10" s="51"/>
      <c r="AI10" s="51"/>
      <c r="AJ10" s="112" t="s">
        <v>237</v>
      </c>
      <c r="AK10" s="112" t="s">
        <v>237</v>
      </c>
      <c r="AL10" s="112" t="s">
        <v>237</v>
      </c>
      <c r="AM10" s="112" t="s">
        <v>237</v>
      </c>
      <c r="AN10" s="109" t="str">
        <f>REPLACE(INDEX(GroupVertices[Group],MATCH(Vertices[[#This Row],[Vertex]],GroupVertices[Vertex],0)),1,1,"")</f>
        <v>2</v>
      </c>
      <c r="AO10" s="2"/>
      <c r="AP10" s="3"/>
      <c r="AQ10" s="3"/>
      <c r="AR10" s="3"/>
      <c r="AS10" s="3"/>
    </row>
    <row r="11" spans="1:45" ht="15">
      <c r="A11" s="14" t="s">
        <v>179</v>
      </c>
      <c r="B11" s="15"/>
      <c r="C11" s="15"/>
      <c r="D11" s="85">
        <v>10.196165017937739</v>
      </c>
      <c r="E11" s="82">
        <v>61.42857142857143</v>
      </c>
      <c r="F11" s="15"/>
      <c r="G11" s="15"/>
      <c r="H11" s="16" t="s">
        <v>179</v>
      </c>
      <c r="I11" s="66"/>
      <c r="J11" s="66">
        <v>6</v>
      </c>
      <c r="K11" s="16" t="s">
        <v>312</v>
      </c>
      <c r="L11" s="86"/>
      <c r="M11" s="87">
        <v>8779.5068359375</v>
      </c>
      <c r="N11" s="87">
        <v>2065.912109375</v>
      </c>
      <c r="O11" s="77"/>
      <c r="P11" s="88"/>
      <c r="Q11" s="88"/>
      <c r="R11" s="51">
        <f t="shared" si="0"/>
        <v>4</v>
      </c>
      <c r="S11" s="51">
        <v>2</v>
      </c>
      <c r="T11" s="51">
        <v>2</v>
      </c>
      <c r="U11" s="52">
        <v>0</v>
      </c>
      <c r="V11" s="52">
        <v>0.035714</v>
      </c>
      <c r="W11" s="52">
        <v>0.038378</v>
      </c>
      <c r="X11" s="52">
        <v>0.642719</v>
      </c>
      <c r="Y11" s="52">
        <v>0.5</v>
      </c>
      <c r="Z11" s="52">
        <v>0</v>
      </c>
      <c r="AA11" s="83">
        <v>11</v>
      </c>
      <c r="AB11" s="83"/>
      <c r="AC11" s="89"/>
      <c r="AD11" s="51"/>
      <c r="AE11" s="51"/>
      <c r="AF11" s="51"/>
      <c r="AG11" s="51"/>
      <c r="AH11" s="51"/>
      <c r="AI11" s="51"/>
      <c r="AJ11" s="112" t="s">
        <v>237</v>
      </c>
      <c r="AK11" s="112" t="s">
        <v>237</v>
      </c>
      <c r="AL11" s="112" t="s">
        <v>237</v>
      </c>
      <c r="AM11" s="112" t="s">
        <v>237</v>
      </c>
      <c r="AN11" s="109" t="str">
        <f>REPLACE(INDEX(GroupVertices[Group],MATCH(Vertices[[#This Row],[Vertex]],GroupVertices[Vertex],0)),1,1,"")</f>
        <v>4</v>
      </c>
      <c r="AO11" s="2"/>
      <c r="AP11" s="3"/>
      <c r="AQ11" s="3"/>
      <c r="AR11" s="3"/>
      <c r="AS11" s="3"/>
    </row>
    <row r="12" spans="1:45" ht="15">
      <c r="A12" s="14" t="s">
        <v>185</v>
      </c>
      <c r="B12" s="15"/>
      <c r="C12" s="15"/>
      <c r="D12" s="85">
        <v>10.196165017937739</v>
      </c>
      <c r="E12" s="82">
        <v>61.42857142857143</v>
      </c>
      <c r="F12" s="15"/>
      <c r="G12" s="15"/>
      <c r="H12" s="16" t="s">
        <v>185</v>
      </c>
      <c r="I12" s="66"/>
      <c r="J12" s="66"/>
      <c r="K12" s="16" t="s">
        <v>312</v>
      </c>
      <c r="L12" s="86"/>
      <c r="M12" s="87">
        <v>7994.91259765625</v>
      </c>
      <c r="N12" s="87">
        <v>834.1065673828125</v>
      </c>
      <c r="O12" s="77"/>
      <c r="P12" s="88"/>
      <c r="Q12" s="88"/>
      <c r="R12" s="51">
        <f t="shared" si="0"/>
        <v>4</v>
      </c>
      <c r="S12" s="51">
        <v>3</v>
      </c>
      <c r="T12" s="51">
        <v>1</v>
      </c>
      <c r="U12" s="52">
        <v>0</v>
      </c>
      <c r="V12" s="52">
        <v>0.035714</v>
      </c>
      <c r="W12" s="52">
        <v>0.038378</v>
      </c>
      <c r="X12" s="52">
        <v>0.642719</v>
      </c>
      <c r="Y12" s="52">
        <v>0.5</v>
      </c>
      <c r="Z12" s="52">
        <v>0</v>
      </c>
      <c r="AA12" s="83">
        <v>12</v>
      </c>
      <c r="AB12" s="83"/>
      <c r="AC12" s="89"/>
      <c r="AD12" s="51"/>
      <c r="AE12" s="51"/>
      <c r="AF12" s="51"/>
      <c r="AG12" s="51"/>
      <c r="AH12" s="51"/>
      <c r="AI12" s="51"/>
      <c r="AJ12" s="112" t="s">
        <v>237</v>
      </c>
      <c r="AK12" s="112" t="s">
        <v>237</v>
      </c>
      <c r="AL12" s="112" t="s">
        <v>237</v>
      </c>
      <c r="AM12" s="112" t="s">
        <v>237</v>
      </c>
      <c r="AN12" s="109" t="str">
        <f>REPLACE(INDEX(GroupVertices[Group],MATCH(Vertices[[#This Row],[Vertex]],GroupVertices[Vertex],0)),1,1,"")</f>
        <v>4</v>
      </c>
      <c r="AO12" s="2"/>
      <c r="AP12" s="3"/>
      <c r="AQ12" s="3"/>
      <c r="AR12" s="3"/>
      <c r="AS12" s="3"/>
    </row>
    <row r="13" spans="1:45" ht="15">
      <c r="A13" s="14" t="s">
        <v>180</v>
      </c>
      <c r="B13" s="15"/>
      <c r="C13" s="15"/>
      <c r="D13" s="85">
        <v>16.092304596446354</v>
      </c>
      <c r="E13" s="82">
        <v>74.28571428571429</v>
      </c>
      <c r="F13" s="15"/>
      <c r="G13" s="15"/>
      <c r="H13" s="16" t="s">
        <v>180</v>
      </c>
      <c r="I13" s="66"/>
      <c r="J13" s="66">
        <v>2</v>
      </c>
      <c r="K13" s="16" t="s">
        <v>314</v>
      </c>
      <c r="L13" s="86"/>
      <c r="M13" s="87">
        <v>438.2627868652344</v>
      </c>
      <c r="N13" s="87">
        <v>8623.208984375</v>
      </c>
      <c r="O13" s="77"/>
      <c r="P13" s="88"/>
      <c r="Q13" s="88"/>
      <c r="R13" s="51">
        <f t="shared" si="0"/>
        <v>8</v>
      </c>
      <c r="S13" s="51">
        <v>3</v>
      </c>
      <c r="T13" s="51">
        <v>5</v>
      </c>
      <c r="U13" s="52">
        <v>0</v>
      </c>
      <c r="V13" s="52">
        <v>0.041667</v>
      </c>
      <c r="W13" s="52">
        <v>0.07966</v>
      </c>
      <c r="X13" s="52">
        <v>1.079762</v>
      </c>
      <c r="Y13" s="52">
        <v>0.5</v>
      </c>
      <c r="Z13" s="52">
        <v>0</v>
      </c>
      <c r="AA13" s="83">
        <v>13</v>
      </c>
      <c r="AB13" s="83"/>
      <c r="AC13" s="89"/>
      <c r="AD13" s="51"/>
      <c r="AE13" s="51"/>
      <c r="AF13" s="51"/>
      <c r="AG13" s="51"/>
      <c r="AH13" s="51"/>
      <c r="AI13" s="51"/>
      <c r="AJ13" s="112" t="s">
        <v>237</v>
      </c>
      <c r="AK13" s="112" t="s">
        <v>237</v>
      </c>
      <c r="AL13" s="112" t="s">
        <v>237</v>
      </c>
      <c r="AM13" s="112" t="s">
        <v>237</v>
      </c>
      <c r="AN13" s="109" t="str">
        <f>REPLACE(INDEX(GroupVertices[Group],MATCH(Vertices[[#This Row],[Vertex]],GroupVertices[Vertex],0)),1,1,"")</f>
        <v>1</v>
      </c>
      <c r="AO13" s="2"/>
      <c r="AP13" s="3"/>
      <c r="AQ13" s="3"/>
      <c r="AR13" s="3"/>
      <c r="AS13" s="3"/>
    </row>
    <row r="14" spans="1:45" ht="15">
      <c r="A14" s="14" t="s">
        <v>181</v>
      </c>
      <c r="B14" s="15"/>
      <c r="C14" s="15"/>
      <c r="D14" s="85">
        <v>16.092304596446354</v>
      </c>
      <c r="E14" s="82">
        <v>74.28571428571429</v>
      </c>
      <c r="F14" s="15"/>
      <c r="G14" s="15"/>
      <c r="H14" s="16" t="s">
        <v>181</v>
      </c>
      <c r="I14" s="66"/>
      <c r="J14" s="66">
        <v>7</v>
      </c>
      <c r="K14" s="16" t="s">
        <v>314</v>
      </c>
      <c r="L14" s="86"/>
      <c r="M14" s="87">
        <v>583.5405883789062</v>
      </c>
      <c r="N14" s="87">
        <v>1934.5819091796875</v>
      </c>
      <c r="O14" s="77"/>
      <c r="P14" s="88"/>
      <c r="Q14" s="88"/>
      <c r="R14" s="51">
        <f t="shared" si="0"/>
        <v>8</v>
      </c>
      <c r="S14" s="51">
        <v>4</v>
      </c>
      <c r="T14" s="51">
        <v>4</v>
      </c>
      <c r="U14" s="52">
        <v>0</v>
      </c>
      <c r="V14" s="52">
        <v>0.041667</v>
      </c>
      <c r="W14" s="52">
        <v>0.07966</v>
      </c>
      <c r="X14" s="52">
        <v>1.079762</v>
      </c>
      <c r="Y14" s="52">
        <v>0.5</v>
      </c>
      <c r="Z14" s="52">
        <v>0</v>
      </c>
      <c r="AA14" s="83">
        <v>14</v>
      </c>
      <c r="AB14" s="83"/>
      <c r="AC14" s="89"/>
      <c r="AD14" s="51"/>
      <c r="AE14" s="51"/>
      <c r="AF14" s="51"/>
      <c r="AG14" s="51"/>
      <c r="AH14" s="51"/>
      <c r="AI14" s="51"/>
      <c r="AJ14" s="112" t="s">
        <v>237</v>
      </c>
      <c r="AK14" s="112" t="s">
        <v>237</v>
      </c>
      <c r="AL14" s="112" t="s">
        <v>237</v>
      </c>
      <c r="AM14" s="112" t="s">
        <v>237</v>
      </c>
      <c r="AN14" s="109" t="str">
        <f>REPLACE(INDEX(GroupVertices[Group],MATCH(Vertices[[#This Row],[Vertex]],GroupVertices[Vertex],0)),1,1,"")</f>
        <v>1</v>
      </c>
      <c r="AO14" s="2"/>
      <c r="AP14" s="3"/>
      <c r="AQ14" s="3"/>
      <c r="AR14" s="3"/>
      <c r="AS14" s="3"/>
    </row>
    <row r="15" spans="1:45" ht="15">
      <c r="A15" s="14" t="s">
        <v>182</v>
      </c>
      <c r="B15" s="15"/>
      <c r="C15" s="15"/>
      <c r="D15" s="85">
        <v>16.092304596446354</v>
      </c>
      <c r="E15" s="82">
        <v>74.28571428571429</v>
      </c>
      <c r="F15" s="15"/>
      <c r="G15" s="15"/>
      <c r="H15" s="16" t="s">
        <v>182</v>
      </c>
      <c r="I15" s="66"/>
      <c r="J15" s="66">
        <v>9</v>
      </c>
      <c r="K15" s="16" t="s">
        <v>314</v>
      </c>
      <c r="L15" s="86"/>
      <c r="M15" s="87">
        <v>3284.343017578125</v>
      </c>
      <c r="N15" s="87">
        <v>7035.59423828125</v>
      </c>
      <c r="O15" s="77"/>
      <c r="P15" s="88"/>
      <c r="Q15" s="88"/>
      <c r="R15" s="51">
        <f t="shared" si="0"/>
        <v>8</v>
      </c>
      <c r="S15" s="51">
        <v>5</v>
      </c>
      <c r="T15" s="51">
        <v>3</v>
      </c>
      <c r="U15" s="52">
        <v>0</v>
      </c>
      <c r="V15" s="52">
        <v>0.041667</v>
      </c>
      <c r="W15" s="52">
        <v>0.07966</v>
      </c>
      <c r="X15" s="52">
        <v>1.079762</v>
      </c>
      <c r="Y15" s="52">
        <v>0.5</v>
      </c>
      <c r="Z15" s="52">
        <v>0</v>
      </c>
      <c r="AA15" s="83">
        <v>15</v>
      </c>
      <c r="AB15" s="83"/>
      <c r="AC15" s="89"/>
      <c r="AD15" s="51"/>
      <c r="AE15" s="51"/>
      <c r="AF15" s="51"/>
      <c r="AG15" s="51"/>
      <c r="AH15" s="51"/>
      <c r="AI15" s="51"/>
      <c r="AJ15" s="112" t="s">
        <v>237</v>
      </c>
      <c r="AK15" s="112" t="s">
        <v>237</v>
      </c>
      <c r="AL15" s="112" t="s">
        <v>237</v>
      </c>
      <c r="AM15" s="112" t="s">
        <v>237</v>
      </c>
      <c r="AN15" s="109" t="str">
        <f>REPLACE(INDEX(GroupVertices[Group],MATCH(Vertices[[#This Row],[Vertex]],GroupVertices[Vertex],0)),1,1,"")</f>
        <v>1</v>
      </c>
      <c r="AO15" s="2"/>
      <c r="AP15" s="3"/>
      <c r="AQ15" s="3"/>
      <c r="AR15" s="3"/>
      <c r="AS15" s="3"/>
    </row>
    <row r="16" spans="1:45" ht="15">
      <c r="A16" s="14" t="s">
        <v>183</v>
      </c>
      <c r="B16" s="15"/>
      <c r="C16" s="15"/>
      <c r="D16" s="85">
        <v>16.092304596446354</v>
      </c>
      <c r="E16" s="82">
        <v>74.28571428571429</v>
      </c>
      <c r="F16" s="15"/>
      <c r="G16" s="15"/>
      <c r="H16" s="16" t="s">
        <v>183</v>
      </c>
      <c r="I16" s="66"/>
      <c r="J16" s="66">
        <v>8</v>
      </c>
      <c r="K16" s="16" t="s">
        <v>314</v>
      </c>
      <c r="L16" s="86"/>
      <c r="M16" s="87">
        <v>2718.162841796875</v>
      </c>
      <c r="N16" s="87">
        <v>1854.7681884765625</v>
      </c>
      <c r="O16" s="77"/>
      <c r="P16" s="88"/>
      <c r="Q16" s="88"/>
      <c r="R16" s="51">
        <f t="shared" si="0"/>
        <v>8</v>
      </c>
      <c r="S16" s="51">
        <v>6</v>
      </c>
      <c r="T16" s="51">
        <v>2</v>
      </c>
      <c r="U16" s="52">
        <v>0</v>
      </c>
      <c r="V16" s="52">
        <v>0.041667</v>
      </c>
      <c r="W16" s="52">
        <v>0.07966</v>
      </c>
      <c r="X16" s="52">
        <v>1.079762</v>
      </c>
      <c r="Y16" s="52">
        <v>0.5</v>
      </c>
      <c r="Z16" s="52">
        <v>0</v>
      </c>
      <c r="AA16" s="83">
        <v>16</v>
      </c>
      <c r="AB16" s="83"/>
      <c r="AC16" s="89"/>
      <c r="AD16" s="51"/>
      <c r="AE16" s="51"/>
      <c r="AF16" s="51"/>
      <c r="AG16" s="51"/>
      <c r="AH16" s="51"/>
      <c r="AI16" s="51"/>
      <c r="AJ16" s="112" t="s">
        <v>237</v>
      </c>
      <c r="AK16" s="112" t="s">
        <v>237</v>
      </c>
      <c r="AL16" s="112" t="s">
        <v>237</v>
      </c>
      <c r="AM16" s="112" t="s">
        <v>237</v>
      </c>
      <c r="AN16" s="109" t="str">
        <f>REPLACE(INDEX(GroupVertices[Group],MATCH(Vertices[[#This Row],[Vertex]],GroupVertices[Vertex],0)),1,1,"")</f>
        <v>1</v>
      </c>
      <c r="AO16" s="2"/>
      <c r="AP16" s="3"/>
      <c r="AQ16" s="3"/>
      <c r="AR16" s="3"/>
      <c r="AS16" s="3"/>
    </row>
    <row r="17" spans="1:45" ht="15">
      <c r="A17" s="14" t="s">
        <v>184</v>
      </c>
      <c r="B17" s="15"/>
      <c r="C17" s="15"/>
      <c r="D17" s="85">
        <v>16.092304596446354</v>
      </c>
      <c r="E17" s="82">
        <v>74.28571428571429</v>
      </c>
      <c r="F17" s="15"/>
      <c r="G17" s="15"/>
      <c r="H17" s="16" t="s">
        <v>184</v>
      </c>
      <c r="I17" s="66"/>
      <c r="J17" s="66">
        <v>4</v>
      </c>
      <c r="K17" s="16" t="s">
        <v>314</v>
      </c>
      <c r="L17" s="86"/>
      <c r="M17" s="87">
        <v>880.1769409179688</v>
      </c>
      <c r="N17" s="87">
        <v>5475.7451171875</v>
      </c>
      <c r="O17" s="77"/>
      <c r="P17" s="88"/>
      <c r="Q17" s="88"/>
      <c r="R17" s="51">
        <f t="shared" si="0"/>
        <v>8</v>
      </c>
      <c r="S17" s="51">
        <v>7</v>
      </c>
      <c r="T17" s="51">
        <v>1</v>
      </c>
      <c r="U17" s="52">
        <v>0</v>
      </c>
      <c r="V17" s="52">
        <v>0.041667</v>
      </c>
      <c r="W17" s="52">
        <v>0.07966</v>
      </c>
      <c r="X17" s="52">
        <v>1.079762</v>
      </c>
      <c r="Y17" s="52">
        <v>0.5</v>
      </c>
      <c r="Z17" s="52">
        <v>0</v>
      </c>
      <c r="AA17" s="83">
        <v>17</v>
      </c>
      <c r="AB17" s="83"/>
      <c r="AC17" s="89"/>
      <c r="AD17" s="51"/>
      <c r="AE17" s="51"/>
      <c r="AF17" s="51"/>
      <c r="AG17" s="51"/>
      <c r="AH17" s="51"/>
      <c r="AI17" s="51"/>
      <c r="AJ17" s="112" t="s">
        <v>237</v>
      </c>
      <c r="AK17" s="112" t="s">
        <v>237</v>
      </c>
      <c r="AL17" s="112" t="s">
        <v>237</v>
      </c>
      <c r="AM17" s="112" t="s">
        <v>237</v>
      </c>
      <c r="AN17" s="109" t="str">
        <f>REPLACE(INDEX(GroupVertices[Group],MATCH(Vertices[[#This Row],[Vertex]],GroupVertices[Vertex],0)),1,1,"")</f>
        <v>1</v>
      </c>
      <c r="AO17" s="2"/>
      <c r="AP17" s="3"/>
      <c r="AQ17" s="3"/>
      <c r="AR17" s="3"/>
      <c r="AS17" s="3"/>
    </row>
    <row r="18" spans="1:45" ht="15">
      <c r="A18" s="14" t="s">
        <v>188</v>
      </c>
      <c r="B18" s="15"/>
      <c r="C18" s="15"/>
      <c r="D18" s="85">
        <v>16.092304596446354</v>
      </c>
      <c r="E18" s="82">
        <v>74.28571428571429</v>
      </c>
      <c r="F18" s="15"/>
      <c r="G18" s="15"/>
      <c r="H18" s="16" t="s">
        <v>188</v>
      </c>
      <c r="I18" s="66"/>
      <c r="J18" s="66">
        <v>2</v>
      </c>
      <c r="K18" s="16" t="s">
        <v>314</v>
      </c>
      <c r="L18" s="86"/>
      <c r="M18" s="87">
        <v>2175.731689453125</v>
      </c>
      <c r="N18" s="87">
        <v>9246.251953125</v>
      </c>
      <c r="O18" s="77"/>
      <c r="P18" s="88"/>
      <c r="Q18" s="88"/>
      <c r="R18" s="51">
        <f t="shared" si="0"/>
        <v>8</v>
      </c>
      <c r="S18" s="51">
        <v>8</v>
      </c>
      <c r="T18" s="51">
        <v>0</v>
      </c>
      <c r="U18" s="52">
        <v>0</v>
      </c>
      <c r="V18" s="52">
        <v>0.041667</v>
      </c>
      <c r="W18" s="52">
        <v>0.07966</v>
      </c>
      <c r="X18" s="52">
        <v>1.079762</v>
      </c>
      <c r="Y18" s="52">
        <v>0.5</v>
      </c>
      <c r="Z18" s="52">
        <v>0</v>
      </c>
      <c r="AA18" s="83">
        <v>18</v>
      </c>
      <c r="AB18" s="83"/>
      <c r="AC18" s="89"/>
      <c r="AD18" s="51"/>
      <c r="AE18" s="51"/>
      <c r="AF18" s="51"/>
      <c r="AG18" s="51"/>
      <c r="AH18" s="51"/>
      <c r="AI18" s="51"/>
      <c r="AJ18" s="51"/>
      <c r="AK18" s="51"/>
      <c r="AL18" s="51"/>
      <c r="AM18" s="51"/>
      <c r="AN18" s="106" t="str">
        <f>REPLACE(INDEX(GroupVertices[Group],MATCH(Vertices[[#This Row],[Vertex]],GroupVertices[Vertex],0)),1,1,"")</f>
        <v>1</v>
      </c>
      <c r="AO18" s="2"/>
      <c r="AP18" s="3"/>
      <c r="AQ18" s="3"/>
      <c r="AR18" s="3"/>
      <c r="AS18" s="3"/>
    </row>
    <row r="19" spans="1:45" ht="15">
      <c r="A19" s="90" t="s">
        <v>189</v>
      </c>
      <c r="B19" s="91"/>
      <c r="C19" s="91"/>
      <c r="D19" s="92">
        <v>1.5</v>
      </c>
      <c r="E19" s="93">
        <v>55</v>
      </c>
      <c r="F19" s="91"/>
      <c r="G19" s="91"/>
      <c r="H19" s="94" t="s">
        <v>189</v>
      </c>
      <c r="I19" s="95"/>
      <c r="J19" s="95">
        <v>7</v>
      </c>
      <c r="K19" s="94" t="s">
        <v>310</v>
      </c>
      <c r="L19" s="96"/>
      <c r="M19" s="97">
        <v>4111.30322265625</v>
      </c>
      <c r="N19" s="97">
        <v>6070.654296875</v>
      </c>
      <c r="O19" s="98"/>
      <c r="P19" s="99"/>
      <c r="Q19" s="99"/>
      <c r="R19" s="51">
        <f t="shared" si="0"/>
        <v>2</v>
      </c>
      <c r="S19" s="51">
        <v>2</v>
      </c>
      <c r="T19" s="51">
        <v>0</v>
      </c>
      <c r="U19" s="52">
        <v>0</v>
      </c>
      <c r="V19" s="52">
        <v>0.032258</v>
      </c>
      <c r="W19" s="52">
        <v>0.013071</v>
      </c>
      <c r="X19" s="52">
        <v>0.475132</v>
      </c>
      <c r="Y19" s="52">
        <v>0.5</v>
      </c>
      <c r="Z19" s="52">
        <v>0</v>
      </c>
      <c r="AA19" s="100">
        <v>19</v>
      </c>
      <c r="AB19" s="100"/>
      <c r="AC19" s="101"/>
      <c r="AD19" s="51"/>
      <c r="AE19" s="51"/>
      <c r="AF19" s="51"/>
      <c r="AG19" s="51"/>
      <c r="AH19" s="51"/>
      <c r="AI19" s="51"/>
      <c r="AJ19" s="51"/>
      <c r="AK19" s="51"/>
      <c r="AL19" s="51"/>
      <c r="AM19" s="51"/>
      <c r="AN19" s="106" t="str">
        <f>REPLACE(INDEX(GroupVertices[Group],MATCH(Vertices[[#This Row],[Vertex]],GroupVertices[Vertex],0)),1,1,"")</f>
        <v>3</v>
      </c>
      <c r="AO19" s="2"/>
      <c r="AP19" s="3"/>
      <c r="AQ19" s="3"/>
      <c r="AR19" s="3"/>
      <c r="AS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AO3"/>
    <dataValidation allowBlank="1" showErrorMessage="1" sqref="A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
  <sheetViews>
    <sheetView workbookViewId="0" topLeftCell="A1">
      <pane ySplit="2" topLeftCell="A3" activePane="bottomLeft" state="frozen"/>
      <selection pane="bottomLeft" activeCell="A2" sqref="A2:AG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33"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210</v>
      </c>
      <c r="Z2" s="13" t="s">
        <v>212</v>
      </c>
      <c r="AA2" s="13" t="s">
        <v>214</v>
      </c>
      <c r="AB2" s="13" t="s">
        <v>221</v>
      </c>
      <c r="AC2" s="13" t="s">
        <v>223</v>
      </c>
      <c r="AD2" s="13" t="s">
        <v>226</v>
      </c>
      <c r="AE2" s="13" t="s">
        <v>227</v>
      </c>
      <c r="AF2" s="13" t="s">
        <v>229</v>
      </c>
      <c r="AG2" s="13" t="s">
        <v>252</v>
      </c>
    </row>
    <row r="3" spans="1:33" ht="15">
      <c r="A3" s="122" t="s">
        <v>241</v>
      </c>
      <c r="B3" s="123" t="s">
        <v>244</v>
      </c>
      <c r="C3" s="123" t="s">
        <v>56</v>
      </c>
      <c r="D3" s="114"/>
      <c r="E3" s="113"/>
      <c r="F3" s="115" t="s">
        <v>253</v>
      </c>
      <c r="G3" s="116"/>
      <c r="H3" s="116"/>
      <c r="I3" s="117">
        <v>3</v>
      </c>
      <c r="J3" s="118"/>
      <c r="K3" s="51">
        <v>6</v>
      </c>
      <c r="L3" s="51">
        <v>0</v>
      </c>
      <c r="M3" s="51">
        <v>30</v>
      </c>
      <c r="N3" s="51">
        <v>30</v>
      </c>
      <c r="O3" s="51">
        <v>0</v>
      </c>
      <c r="P3" s="52">
        <v>0</v>
      </c>
      <c r="Q3" s="52">
        <v>0</v>
      </c>
      <c r="R3" s="51">
        <v>1</v>
      </c>
      <c r="S3" s="51">
        <v>0</v>
      </c>
      <c r="T3" s="51">
        <v>6</v>
      </c>
      <c r="U3" s="51">
        <v>30</v>
      </c>
      <c r="V3" s="51">
        <v>1</v>
      </c>
      <c r="W3" s="52">
        <v>0.833333</v>
      </c>
      <c r="X3" s="52">
        <v>0.5</v>
      </c>
      <c r="Y3" s="106"/>
      <c r="Z3" s="106"/>
      <c r="AA3" s="106"/>
      <c r="AB3" s="109" t="s">
        <v>237</v>
      </c>
      <c r="AC3" s="109" t="s">
        <v>237</v>
      </c>
      <c r="AD3" s="106"/>
      <c r="AE3" s="106"/>
      <c r="AF3" s="106"/>
      <c r="AG3" s="108" t="s">
        <v>253</v>
      </c>
    </row>
    <row r="4" spans="1:33" ht="15">
      <c r="A4" s="124" t="s">
        <v>242</v>
      </c>
      <c r="B4" s="123" t="s">
        <v>245</v>
      </c>
      <c r="C4" s="123" t="s">
        <v>56</v>
      </c>
      <c r="D4" s="120"/>
      <c r="E4" s="91"/>
      <c r="F4" s="94" t="s">
        <v>254</v>
      </c>
      <c r="G4" s="98"/>
      <c r="H4" s="98"/>
      <c r="I4" s="121">
        <v>4</v>
      </c>
      <c r="J4" s="100"/>
      <c r="K4" s="51">
        <v>4</v>
      </c>
      <c r="L4" s="51">
        <v>4</v>
      </c>
      <c r="M4" s="51">
        <v>5</v>
      </c>
      <c r="N4" s="51">
        <v>9</v>
      </c>
      <c r="O4" s="51">
        <v>0</v>
      </c>
      <c r="P4" s="52">
        <v>0</v>
      </c>
      <c r="Q4" s="52">
        <v>0</v>
      </c>
      <c r="R4" s="51">
        <v>1</v>
      </c>
      <c r="S4" s="51">
        <v>0</v>
      </c>
      <c r="T4" s="51">
        <v>4</v>
      </c>
      <c r="U4" s="51">
        <v>9</v>
      </c>
      <c r="V4" s="51">
        <v>1</v>
      </c>
      <c r="W4" s="52">
        <v>0.75</v>
      </c>
      <c r="X4" s="52">
        <v>0.5</v>
      </c>
      <c r="Y4" s="106"/>
      <c r="Z4" s="106"/>
      <c r="AA4" s="106"/>
      <c r="AB4" s="109" t="s">
        <v>237</v>
      </c>
      <c r="AC4" s="109" t="s">
        <v>237</v>
      </c>
      <c r="AD4" s="106"/>
      <c r="AE4" s="106"/>
      <c r="AF4" s="106"/>
      <c r="AG4" s="119" t="s">
        <v>254</v>
      </c>
    </row>
    <row r="5" spans="1:33" ht="15">
      <c r="A5" s="124" t="s">
        <v>243</v>
      </c>
      <c r="B5" s="123" t="s">
        <v>246</v>
      </c>
      <c r="C5" s="123" t="s">
        <v>56</v>
      </c>
      <c r="D5" s="120"/>
      <c r="E5" s="91"/>
      <c r="F5" s="94" t="s">
        <v>255</v>
      </c>
      <c r="G5" s="98"/>
      <c r="H5" s="98"/>
      <c r="I5" s="121">
        <v>5</v>
      </c>
      <c r="J5" s="100"/>
      <c r="K5" s="51">
        <v>4</v>
      </c>
      <c r="L5" s="51">
        <v>3</v>
      </c>
      <c r="M5" s="51">
        <v>3</v>
      </c>
      <c r="N5" s="51">
        <v>6</v>
      </c>
      <c r="O5" s="51">
        <v>0</v>
      </c>
      <c r="P5" s="52">
        <v>0</v>
      </c>
      <c r="Q5" s="52">
        <v>0</v>
      </c>
      <c r="R5" s="51">
        <v>1</v>
      </c>
      <c r="S5" s="51">
        <v>0</v>
      </c>
      <c r="T5" s="51">
        <v>4</v>
      </c>
      <c r="U5" s="51">
        <v>6</v>
      </c>
      <c r="V5" s="51">
        <v>2</v>
      </c>
      <c r="W5" s="52">
        <v>1</v>
      </c>
      <c r="X5" s="52">
        <v>0.3333333333333333</v>
      </c>
      <c r="Y5" s="106"/>
      <c r="Z5" s="106"/>
      <c r="AA5" s="106"/>
      <c r="AB5" s="109" t="s">
        <v>237</v>
      </c>
      <c r="AC5" s="109" t="s">
        <v>237</v>
      </c>
      <c r="AD5" s="106"/>
      <c r="AE5" s="106"/>
      <c r="AF5" s="106"/>
      <c r="AG5" s="119" t="s">
        <v>255</v>
      </c>
    </row>
    <row r="6" spans="1:33" ht="15">
      <c r="A6" s="124" t="s">
        <v>250</v>
      </c>
      <c r="B6" s="123" t="s">
        <v>251</v>
      </c>
      <c r="C6" s="123" t="s">
        <v>56</v>
      </c>
      <c r="D6" s="120"/>
      <c r="E6" s="91"/>
      <c r="F6" s="94" t="s">
        <v>256</v>
      </c>
      <c r="G6" s="98"/>
      <c r="H6" s="98"/>
      <c r="I6" s="121">
        <v>6</v>
      </c>
      <c r="J6" s="100"/>
      <c r="K6" s="51">
        <v>3</v>
      </c>
      <c r="L6" s="51">
        <v>0</v>
      </c>
      <c r="M6" s="51">
        <v>6</v>
      </c>
      <c r="N6" s="51">
        <v>6</v>
      </c>
      <c r="O6" s="51">
        <v>0</v>
      </c>
      <c r="P6" s="52">
        <v>0</v>
      </c>
      <c r="Q6" s="52">
        <v>0</v>
      </c>
      <c r="R6" s="51">
        <v>1</v>
      </c>
      <c r="S6" s="51">
        <v>0</v>
      </c>
      <c r="T6" s="51">
        <v>3</v>
      </c>
      <c r="U6" s="51">
        <v>6</v>
      </c>
      <c r="V6" s="51">
        <v>1</v>
      </c>
      <c r="W6" s="52">
        <v>0.666667</v>
      </c>
      <c r="X6" s="52">
        <v>0.5</v>
      </c>
      <c r="Y6" s="106"/>
      <c r="Z6" s="106"/>
      <c r="AA6" s="106"/>
      <c r="AB6" s="109" t="s">
        <v>237</v>
      </c>
      <c r="AC6" s="109" t="s">
        <v>237</v>
      </c>
      <c r="AD6" s="106"/>
      <c r="AE6" s="106"/>
      <c r="AF6" s="106"/>
      <c r="AG6" s="119" t="s">
        <v>256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106" t="s">
        <v>241</v>
      </c>
      <c r="B2" s="109" t="s">
        <v>188</v>
      </c>
      <c r="C2" s="106">
        <f>VLOOKUP(GroupVertices[[#This Row],[Vertex]],Vertices[],MATCH("ID",Vertices[[#Headers],[Vertex]:[Vertex Group]],0),FALSE)</f>
        <v>18</v>
      </c>
    </row>
    <row r="3" spans="1:3" ht="15">
      <c r="A3" s="106" t="s">
        <v>241</v>
      </c>
      <c r="B3" s="109" t="s">
        <v>183</v>
      </c>
      <c r="C3" s="106">
        <f>VLOOKUP(GroupVertices[[#This Row],[Vertex]],Vertices[],MATCH("ID",Vertices[[#Headers],[Vertex]:[Vertex Group]],0),FALSE)</f>
        <v>16</v>
      </c>
    </row>
    <row r="4" spans="1:3" ht="15">
      <c r="A4" s="106" t="s">
        <v>241</v>
      </c>
      <c r="B4" s="109" t="s">
        <v>182</v>
      </c>
      <c r="C4" s="106">
        <f>VLOOKUP(GroupVertices[[#This Row],[Vertex]],Vertices[],MATCH("ID",Vertices[[#Headers],[Vertex]:[Vertex Group]],0),FALSE)</f>
        <v>15</v>
      </c>
    </row>
    <row r="5" spans="1:3" ht="15">
      <c r="A5" s="106" t="s">
        <v>241</v>
      </c>
      <c r="B5" s="109" t="s">
        <v>181</v>
      </c>
      <c r="C5" s="106">
        <f>VLOOKUP(GroupVertices[[#This Row],[Vertex]],Vertices[],MATCH("ID",Vertices[[#Headers],[Vertex]:[Vertex Group]],0),FALSE)</f>
        <v>14</v>
      </c>
    </row>
    <row r="6" spans="1:3" ht="15">
      <c r="A6" s="106" t="s">
        <v>241</v>
      </c>
      <c r="B6" s="109" t="s">
        <v>184</v>
      </c>
      <c r="C6" s="106">
        <f>VLOOKUP(GroupVertices[[#This Row],[Vertex]],Vertices[],MATCH("ID",Vertices[[#Headers],[Vertex]:[Vertex Group]],0),FALSE)</f>
        <v>17</v>
      </c>
    </row>
    <row r="7" spans="1:3" ht="15">
      <c r="A7" s="106" t="s">
        <v>241</v>
      </c>
      <c r="B7" s="109" t="s">
        <v>180</v>
      </c>
      <c r="C7" s="106">
        <f>VLOOKUP(GroupVertices[[#This Row],[Vertex]],Vertices[],MATCH("ID",Vertices[[#Headers],[Vertex]:[Vertex Group]],0),FALSE)</f>
        <v>13</v>
      </c>
    </row>
    <row r="8" spans="1:3" ht="15">
      <c r="A8" s="106" t="s">
        <v>242</v>
      </c>
      <c r="B8" s="109" t="s">
        <v>176</v>
      </c>
      <c r="C8" s="106">
        <f>VLOOKUP(GroupVertices[[#This Row],[Vertex]],Vertices[],MATCH("ID",Vertices[[#Headers],[Vertex]:[Vertex Group]],0),FALSE)</f>
        <v>7</v>
      </c>
    </row>
    <row r="9" spans="1:3" ht="15">
      <c r="A9" s="106" t="s">
        <v>242</v>
      </c>
      <c r="B9" s="109" t="s">
        <v>178</v>
      </c>
      <c r="C9" s="106">
        <f>VLOOKUP(GroupVertices[[#This Row],[Vertex]],Vertices[],MATCH("ID",Vertices[[#Headers],[Vertex]:[Vertex Group]],0),FALSE)</f>
        <v>10</v>
      </c>
    </row>
    <row r="10" spans="1:3" ht="15">
      <c r="A10" s="106" t="s">
        <v>242</v>
      </c>
      <c r="B10" s="109" t="s">
        <v>187</v>
      </c>
      <c r="C10" s="106">
        <f>VLOOKUP(GroupVertices[[#This Row],[Vertex]],Vertices[],MATCH("ID",Vertices[[#Headers],[Vertex]:[Vertex Group]],0),FALSE)</f>
        <v>8</v>
      </c>
    </row>
    <row r="11" spans="1:3" ht="15">
      <c r="A11" s="106" t="s">
        <v>242</v>
      </c>
      <c r="B11" s="109" t="s">
        <v>177</v>
      </c>
      <c r="C11" s="106">
        <f>VLOOKUP(GroupVertices[[#This Row],[Vertex]],Vertices[],MATCH("ID",Vertices[[#Headers],[Vertex]:[Vertex Group]],0),FALSE)</f>
        <v>9</v>
      </c>
    </row>
    <row r="12" spans="1:3" ht="15">
      <c r="A12" s="106" t="s">
        <v>243</v>
      </c>
      <c r="B12" s="109" t="s">
        <v>133</v>
      </c>
      <c r="C12" s="106">
        <f>VLOOKUP(GroupVertices[[#This Row],[Vertex]],Vertices[],MATCH("ID",Vertices[[#Headers],[Vertex]:[Vertex Group]],0),FALSE)</f>
        <v>4</v>
      </c>
    </row>
    <row r="13" spans="1:3" ht="15">
      <c r="A13" s="106" t="s">
        <v>243</v>
      </c>
      <c r="B13" s="109" t="s">
        <v>175</v>
      </c>
      <c r="C13" s="106">
        <f>VLOOKUP(GroupVertices[[#This Row],[Vertex]],Vertices[],MATCH("ID",Vertices[[#Headers],[Vertex]:[Vertex Group]],0),FALSE)</f>
        <v>5</v>
      </c>
    </row>
    <row r="14" spans="1:3" ht="15">
      <c r="A14" s="106" t="s">
        <v>243</v>
      </c>
      <c r="B14" s="109" t="s">
        <v>186</v>
      </c>
      <c r="C14" s="106">
        <f>VLOOKUP(GroupVertices[[#This Row],[Vertex]],Vertices[],MATCH("ID",Vertices[[#Headers],[Vertex]:[Vertex Group]],0),FALSE)</f>
        <v>6</v>
      </c>
    </row>
    <row r="15" spans="1:3" ht="15">
      <c r="A15" s="106" t="s">
        <v>243</v>
      </c>
      <c r="B15" s="109" t="s">
        <v>189</v>
      </c>
      <c r="C15" s="106">
        <f>VLOOKUP(GroupVertices[[#This Row],[Vertex]],Vertices[],MATCH("ID",Vertices[[#Headers],[Vertex]:[Vertex Group]],0),FALSE)</f>
        <v>19</v>
      </c>
    </row>
    <row r="16" spans="1:3" ht="15">
      <c r="A16" s="106" t="s">
        <v>250</v>
      </c>
      <c r="B16" s="109" t="s">
        <v>174</v>
      </c>
      <c r="C16" s="106">
        <f>VLOOKUP(GroupVertices[[#This Row],[Vertex]],Vertices[],MATCH("ID",Vertices[[#Headers],[Vertex]:[Vertex Group]],0),FALSE)</f>
        <v>3</v>
      </c>
    </row>
    <row r="17" spans="1:3" ht="15">
      <c r="A17" s="106" t="s">
        <v>250</v>
      </c>
      <c r="B17" s="109" t="s">
        <v>185</v>
      </c>
      <c r="C17" s="106">
        <f>VLOOKUP(GroupVertices[[#This Row],[Vertex]],Vertices[],MATCH("ID",Vertices[[#Headers],[Vertex]:[Vertex Group]],0),FALSE)</f>
        <v>12</v>
      </c>
    </row>
    <row r="18" spans="1:3" ht="15">
      <c r="A18" s="106" t="s">
        <v>250</v>
      </c>
      <c r="B18" s="109" t="s">
        <v>179</v>
      </c>
      <c r="C18" s="106">
        <f>VLOOKUP(GroupVertices[[#This Row],[Vertex]],Vertices[],MATCH("ID",Vertices[[#Headers],[Vertex]:[Vertex Group]],0),FALSE)</f>
        <v>11</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204</v>
      </c>
      <c r="B2" s="36" t="s">
        <v>257</v>
      </c>
      <c r="D2" s="33">
        <f>MIN(Vertices[Degree])</f>
        <v>2</v>
      </c>
      <c r="E2" s="3">
        <f>COUNTIF(Vertices[Degree],"&gt;= "&amp;D2)-COUNTIF(Vertices[Degree],"&gt;="&amp;D3)</f>
        <v>2</v>
      </c>
      <c r="F2" s="39">
        <f>MIN(Vertices[In-Degree])</f>
        <v>1</v>
      </c>
      <c r="G2" s="40">
        <f>COUNTIF(Vertices[In-Degree],"&gt;= "&amp;F2)-COUNTIF(Vertices[In-Degree],"&gt;="&amp;F3)</f>
        <v>3</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12</v>
      </c>
      <c r="L2" s="39">
        <f>MIN(Vertices[Closeness Centrality])</f>
        <v>0.032258</v>
      </c>
      <c r="M2" s="40">
        <f>COUNTIF(Vertices[Closeness Centrality],"&gt;= "&amp;L2)-COUNTIF(Vertices[Closeness Centrality],"&gt;="&amp;L3)</f>
        <v>3</v>
      </c>
      <c r="N2" s="39">
        <f>MIN(Vertices[Eigenvector Centrality])</f>
        <v>0.013071</v>
      </c>
      <c r="O2" s="40">
        <f>COUNTIF(Vertices[Eigenvector Centrality],"&gt;= "&amp;N2)-COUNTIF(Vertices[Eigenvector Centrality],"&gt;="&amp;N3)</f>
        <v>2</v>
      </c>
      <c r="P2" s="39">
        <f>MIN(Vertices[PageRank])</f>
        <v>0.475132</v>
      </c>
      <c r="Q2" s="40">
        <f>COUNTIF(Vertices[PageRank],"&gt;= "&amp;P2)-COUNTIF(Vertices[PageRank],"&gt;="&amp;P3)</f>
        <v>2</v>
      </c>
      <c r="R2" s="39">
        <f>MIN(Vertices[Clustering Coefficient])</f>
        <v>0.19523809523809524</v>
      </c>
      <c r="S2" s="45">
        <f>COUNTIF(Vertices[Clustering Coefficient],"&gt;= "&amp;R2)-COUNTIF(Vertices[Clustering Coefficient],"&gt;="&amp;R3)</f>
        <v>1</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07"/>
      <c r="B3" s="107"/>
      <c r="D3" s="34">
        <f aca="true" t="shared" si="1" ref="D3:D26">D2+($D$57-$D$2)/BinDivisor</f>
        <v>2.2545454545454544</v>
      </c>
      <c r="E3" s="3">
        <f>COUNTIF(Vertices[Degree],"&gt;= "&amp;D3)-COUNTIF(Vertices[Degree],"&gt;="&amp;D4)</f>
        <v>0</v>
      </c>
      <c r="F3" s="41">
        <f aca="true" t="shared" si="2" ref="F3:F26">F2+($F$57-$F$2)/BinDivisor</f>
        <v>1.1272727272727272</v>
      </c>
      <c r="G3" s="42">
        <f>COUNTIF(Vertices[In-Degree],"&gt;= "&amp;F3)-COUNTIF(Vertices[In-Degree],"&gt;="&amp;F4)</f>
        <v>0</v>
      </c>
      <c r="H3" s="41">
        <f aca="true" t="shared" si="3" ref="H3:H26">H2+($H$57-$H$2)/BinDivisor</f>
        <v>0.2727272727272727</v>
      </c>
      <c r="I3" s="42">
        <f>COUNTIF(Vertices[Out-Degree],"&gt;= "&amp;H3)-COUNTIF(Vertices[Out-Degree],"&gt;="&amp;H4)</f>
        <v>0</v>
      </c>
      <c r="J3" s="41">
        <f aca="true" t="shared" si="4" ref="J3:J26">J2+($J$57-$J$2)/BinDivisor</f>
        <v>1.5454545454545454</v>
      </c>
      <c r="K3" s="42">
        <f>COUNTIF(Vertices[Betweenness Centrality],"&gt;= "&amp;J3)-COUNTIF(Vertices[Betweenness Centrality],"&gt;="&amp;J4)</f>
        <v>1</v>
      </c>
      <c r="L3" s="41">
        <f aca="true" t="shared" si="5" ref="L3:L26">L2+($L$57-$L$2)/BinDivisor</f>
        <v>0.03274101818181818</v>
      </c>
      <c r="M3" s="42">
        <f>COUNTIF(Vertices[Closeness Centrality],"&gt;= "&amp;L3)-COUNTIF(Vertices[Closeness Centrality],"&gt;="&amp;L4)</f>
        <v>0</v>
      </c>
      <c r="N3" s="41">
        <f aca="true" t="shared" si="6" ref="N3:N26">N2+($N$57-$N$2)/BinDivisor</f>
        <v>0.014667745454545454</v>
      </c>
      <c r="O3" s="42">
        <f>COUNTIF(Vertices[Eigenvector Centrality],"&gt;= "&amp;N3)-COUNTIF(Vertices[Eigenvector Centrality],"&gt;="&amp;N4)</f>
        <v>0</v>
      </c>
      <c r="P3" s="41">
        <f aca="true" t="shared" si="7" ref="P3:P26">P2+($P$57-$P$2)/BinDivisor</f>
        <v>0.5060233636363637</v>
      </c>
      <c r="Q3" s="42">
        <f>COUNTIF(Vertices[PageRank],"&gt;= "&amp;P3)-COUNTIF(Vertices[PageRank],"&gt;="&amp;P4)</f>
        <v>1</v>
      </c>
      <c r="R3" s="41">
        <f aca="true" t="shared" si="8" ref="R3:R26">R2+($R$57-$R$2)/BinDivisor</f>
        <v>0.20077922077922078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17</v>
      </c>
      <c r="D4" s="34">
        <f t="shared" si="1"/>
        <v>2.509090909090909</v>
      </c>
      <c r="E4" s="3">
        <f>COUNTIF(Vertices[Degree],"&gt;= "&amp;D4)-COUNTIF(Vertices[Degree],"&gt;="&amp;D5)</f>
        <v>0</v>
      </c>
      <c r="F4" s="39">
        <f t="shared" si="2"/>
        <v>1.2545454545454544</v>
      </c>
      <c r="G4" s="40">
        <f>COUNTIF(Vertices[In-Degree],"&gt;= "&amp;F4)-COUNTIF(Vertices[In-Degree],"&gt;="&amp;F5)</f>
        <v>0</v>
      </c>
      <c r="H4" s="39">
        <f t="shared" si="3"/>
        <v>0.5454545454545454</v>
      </c>
      <c r="I4" s="40">
        <f>COUNTIF(Vertices[Out-Degree],"&gt;= "&amp;H4)-COUNTIF(Vertices[Out-Degree],"&gt;="&amp;H5)</f>
        <v>0</v>
      </c>
      <c r="J4" s="39">
        <f t="shared" si="4"/>
        <v>3.090909090909091</v>
      </c>
      <c r="K4" s="40">
        <f>COUNTIF(Vertices[Betweenness Centrality],"&gt;= "&amp;J4)-COUNTIF(Vertices[Betweenness Centrality],"&gt;="&amp;J5)</f>
        <v>1</v>
      </c>
      <c r="L4" s="39">
        <f t="shared" si="5"/>
        <v>0.03322403636363636</v>
      </c>
      <c r="M4" s="40">
        <f>COUNTIF(Vertices[Closeness Centrality],"&gt;= "&amp;L4)-COUNTIF(Vertices[Closeness Centrality],"&gt;="&amp;L5)</f>
        <v>0</v>
      </c>
      <c r="N4" s="39">
        <f t="shared" si="6"/>
        <v>0.01626449090909091</v>
      </c>
      <c r="O4" s="40">
        <f>COUNTIF(Vertices[Eigenvector Centrality],"&gt;= "&amp;N4)-COUNTIF(Vertices[Eigenvector Centrality],"&gt;="&amp;N5)</f>
        <v>0</v>
      </c>
      <c r="P4" s="39">
        <f t="shared" si="7"/>
        <v>0.5369147272727274</v>
      </c>
      <c r="Q4" s="40">
        <f>COUNTIF(Vertices[PageRank],"&gt;= "&amp;P4)-COUNTIF(Vertices[PageRank],"&gt;="&amp;P5)</f>
        <v>1</v>
      </c>
      <c r="R4" s="39">
        <f t="shared" si="8"/>
        <v>0.20632034632034632</v>
      </c>
      <c r="S4" s="45">
        <f>COUNTIF(Vertices[Clustering Coefficient],"&gt;= "&amp;R4)-COUNTIF(Vertices[Clustering Coefficient],"&gt;="&amp;R5)</f>
        <v>0</v>
      </c>
      <c r="T4" s="39" t="e">
        <f ca="1" t="shared" si="9"/>
        <v>#REF!</v>
      </c>
      <c r="U4" s="40" t="e">
        <f ca="1" t="shared" si="0"/>
        <v>#REF!</v>
      </c>
      <c r="W4" s="12" t="s">
        <v>126</v>
      </c>
      <c r="X4" s="12" t="s">
        <v>128</v>
      </c>
    </row>
    <row r="5" spans="1:21" ht="15">
      <c r="A5" s="107"/>
      <c r="B5" s="107"/>
      <c r="D5" s="34">
        <f t="shared" si="1"/>
        <v>2.7636363636363632</v>
      </c>
      <c r="E5" s="3">
        <f>COUNTIF(Vertices[Degree],"&gt;= "&amp;D5)-COUNTIF(Vertices[Degree],"&gt;="&amp;D6)</f>
        <v>1</v>
      </c>
      <c r="F5" s="41">
        <f t="shared" si="2"/>
        <v>1.3818181818181816</v>
      </c>
      <c r="G5" s="42">
        <f>COUNTIF(Vertices[In-Degree],"&gt;= "&amp;F5)-COUNTIF(Vertices[In-Degree],"&gt;="&amp;F6)</f>
        <v>0</v>
      </c>
      <c r="H5" s="41">
        <f t="shared" si="3"/>
        <v>0.8181818181818181</v>
      </c>
      <c r="I5" s="42">
        <f>COUNTIF(Vertices[Out-Degree],"&gt;= "&amp;H5)-COUNTIF(Vertices[Out-Degree],"&gt;="&amp;H6)</f>
        <v>4</v>
      </c>
      <c r="J5" s="41">
        <f t="shared" si="4"/>
        <v>4.636363636363637</v>
      </c>
      <c r="K5" s="42">
        <f>COUNTIF(Vertices[Betweenness Centrality],"&gt;= "&amp;J5)-COUNTIF(Vertices[Betweenness Centrality],"&gt;="&amp;J6)</f>
        <v>0</v>
      </c>
      <c r="L5" s="41">
        <f t="shared" si="5"/>
        <v>0.03370705454545454</v>
      </c>
      <c r="M5" s="42">
        <f>COUNTIF(Vertices[Closeness Centrality],"&gt;= "&amp;L5)-COUNTIF(Vertices[Closeness Centrality],"&gt;="&amp;L6)</f>
        <v>0</v>
      </c>
      <c r="N5" s="41">
        <f t="shared" si="6"/>
        <v>0.017861236363636363</v>
      </c>
      <c r="O5" s="42">
        <f>COUNTIF(Vertices[Eigenvector Centrality],"&gt;= "&amp;N5)-COUNTIF(Vertices[Eigenvector Centrality],"&gt;="&amp;N6)</f>
        <v>0</v>
      </c>
      <c r="P5" s="41">
        <f t="shared" si="7"/>
        <v>0.5678060909090911</v>
      </c>
      <c r="Q5" s="42">
        <f>COUNTIF(Vertices[PageRank],"&gt;= "&amp;P5)-COUNTIF(Vertices[PageRank],"&gt;="&amp;P6)</f>
        <v>0</v>
      </c>
      <c r="R5" s="41">
        <f t="shared" si="8"/>
        <v>0.21186147186147186</v>
      </c>
      <c r="S5" s="46">
        <f>COUNTIF(Vertices[Clustering Coefficient],"&gt;= "&amp;R5)-COUNTIF(Vertices[Clustering Coefficient],"&gt;="&amp;R6)</f>
        <v>0</v>
      </c>
      <c r="T5" s="41" t="e">
        <f ca="1" t="shared" si="9"/>
        <v>#REF!</v>
      </c>
      <c r="U5" s="42" t="e">
        <f ca="1" t="shared" si="0"/>
        <v>#REF!</v>
      </c>
    </row>
    <row r="6" spans="1:21" ht="15">
      <c r="A6" s="36" t="s">
        <v>148</v>
      </c>
      <c r="B6" s="36">
        <v>24</v>
      </c>
      <c r="D6" s="34">
        <f t="shared" si="1"/>
        <v>3.0181818181818176</v>
      </c>
      <c r="E6" s="3">
        <f>COUNTIF(Vertices[Degree],"&gt;= "&amp;D6)-COUNTIF(Vertices[Degree],"&gt;="&amp;D7)</f>
        <v>0</v>
      </c>
      <c r="F6" s="39">
        <f t="shared" si="2"/>
        <v>1.5090909090909088</v>
      </c>
      <c r="G6" s="40">
        <f>COUNTIF(Vertices[In-Degree],"&gt;= "&amp;F6)-COUNTIF(Vertices[In-Degree],"&gt;="&amp;F7)</f>
        <v>0</v>
      </c>
      <c r="H6" s="39">
        <f t="shared" si="3"/>
        <v>1.0909090909090908</v>
      </c>
      <c r="I6" s="40">
        <f>COUNTIF(Vertices[Out-Degree],"&gt;= "&amp;H6)-COUNTIF(Vertices[Out-Degree],"&gt;="&amp;H7)</f>
        <v>0</v>
      </c>
      <c r="J6" s="39">
        <f t="shared" si="4"/>
        <v>6.181818181818182</v>
      </c>
      <c r="K6" s="40">
        <f>COUNTIF(Vertices[Betweenness Centrality],"&gt;= "&amp;J6)-COUNTIF(Vertices[Betweenness Centrality],"&gt;="&amp;J7)</f>
        <v>0</v>
      </c>
      <c r="L6" s="39">
        <f t="shared" si="5"/>
        <v>0.03419007272727272</v>
      </c>
      <c r="M6" s="40">
        <f>COUNTIF(Vertices[Closeness Centrality],"&gt;= "&amp;L6)-COUNTIF(Vertices[Closeness Centrality],"&gt;="&amp;L7)</f>
        <v>1</v>
      </c>
      <c r="N6" s="39">
        <f t="shared" si="6"/>
        <v>0.019457981818181817</v>
      </c>
      <c r="O6" s="40">
        <f>COUNTIF(Vertices[Eigenvector Centrality],"&gt;= "&amp;N6)-COUNTIF(Vertices[Eigenvector Centrality],"&gt;="&amp;N7)</f>
        <v>1</v>
      </c>
      <c r="P6" s="39">
        <f t="shared" si="7"/>
        <v>0.5986974545454548</v>
      </c>
      <c r="Q6" s="40">
        <f>COUNTIF(Vertices[PageRank],"&gt;= "&amp;P6)-COUNTIF(Vertices[PageRank],"&gt;="&amp;P7)</f>
        <v>0</v>
      </c>
      <c r="R6" s="39">
        <f t="shared" si="8"/>
        <v>0.2174025974025974</v>
      </c>
      <c r="S6" s="45">
        <f>COUNTIF(Vertices[Clustering Coefficient],"&gt;= "&amp;R6)-COUNTIF(Vertices[Clustering Coefficient],"&gt;="&amp;R7)</f>
        <v>0</v>
      </c>
      <c r="T6" s="39" t="e">
        <f ca="1" t="shared" si="9"/>
        <v>#REF!</v>
      </c>
      <c r="U6" s="40" t="e">
        <f ca="1" t="shared" si="0"/>
        <v>#REF!</v>
      </c>
    </row>
    <row r="7" spans="1:21" ht="15">
      <c r="A7" s="36" t="s">
        <v>149</v>
      </c>
      <c r="B7" s="36">
        <v>75</v>
      </c>
      <c r="D7" s="34">
        <f t="shared" si="1"/>
        <v>3.272727272727272</v>
      </c>
      <c r="E7" s="3">
        <f>COUNTIF(Vertices[Degree],"&gt;= "&amp;D7)-COUNTIF(Vertices[Degree],"&gt;="&amp;D8)</f>
        <v>0</v>
      </c>
      <c r="F7" s="41">
        <f t="shared" si="2"/>
        <v>1.636363636363636</v>
      </c>
      <c r="G7" s="42">
        <f>COUNTIF(Vertices[In-Degree],"&gt;= "&amp;F7)-COUNTIF(Vertices[In-Degree],"&gt;="&amp;F8)</f>
        <v>0</v>
      </c>
      <c r="H7" s="41">
        <f t="shared" si="3"/>
        <v>1.3636363636363635</v>
      </c>
      <c r="I7" s="42">
        <f>COUNTIF(Vertices[Out-Degree],"&gt;= "&amp;H7)-COUNTIF(Vertices[Out-Degree],"&gt;="&amp;H8)</f>
        <v>0</v>
      </c>
      <c r="J7" s="41">
        <f t="shared" si="4"/>
        <v>7.727272727272727</v>
      </c>
      <c r="K7" s="42">
        <f>COUNTIF(Vertices[Betweenness Centrality],"&gt;= "&amp;J7)-COUNTIF(Vertices[Betweenness Centrality],"&gt;="&amp;J8)</f>
        <v>0</v>
      </c>
      <c r="L7" s="41">
        <f t="shared" si="5"/>
        <v>0.0346730909090909</v>
      </c>
      <c r="M7" s="42">
        <f>COUNTIF(Vertices[Closeness Centrality],"&gt;= "&amp;L7)-COUNTIF(Vertices[Closeness Centrality],"&gt;="&amp;L8)</f>
        <v>0</v>
      </c>
      <c r="N7" s="41">
        <f t="shared" si="6"/>
        <v>0.02105472727272727</v>
      </c>
      <c r="O7" s="42">
        <f>COUNTIF(Vertices[Eigenvector Centrality],"&gt;= "&amp;N7)-COUNTIF(Vertices[Eigenvector Centrality],"&gt;="&amp;N8)</f>
        <v>0</v>
      </c>
      <c r="P7" s="41">
        <f t="shared" si="7"/>
        <v>0.6295888181818184</v>
      </c>
      <c r="Q7" s="42">
        <f>COUNTIF(Vertices[PageRank],"&gt;= "&amp;P7)-COUNTIF(Vertices[PageRank],"&gt;="&amp;P8)</f>
        <v>2</v>
      </c>
      <c r="R7" s="41">
        <f t="shared" si="8"/>
        <v>0.22294372294372294</v>
      </c>
      <c r="S7" s="46">
        <f>COUNTIF(Vertices[Clustering Coefficient],"&gt;= "&amp;R7)-COUNTIF(Vertices[Clustering Coefficient],"&gt;="&amp;R8)</f>
        <v>0</v>
      </c>
      <c r="T7" s="41" t="e">
        <f ca="1" t="shared" si="9"/>
        <v>#REF!</v>
      </c>
      <c r="U7" s="42" t="e">
        <f ca="1" t="shared" si="0"/>
        <v>#REF!</v>
      </c>
    </row>
    <row r="8" spans="1:21" ht="15">
      <c r="A8" s="36" t="s">
        <v>150</v>
      </c>
      <c r="B8" s="36">
        <v>99</v>
      </c>
      <c r="D8" s="34">
        <f t="shared" si="1"/>
        <v>3.5272727272727264</v>
      </c>
      <c r="E8" s="3">
        <f>COUNTIF(Vertices[Degree],"&gt;= "&amp;D8)-COUNTIF(Vertices[Degree],"&gt;="&amp;D9)</f>
        <v>0</v>
      </c>
      <c r="F8" s="39">
        <f t="shared" si="2"/>
        <v>1.7636363636363632</v>
      </c>
      <c r="G8" s="40">
        <f>COUNTIF(Vertices[In-Degree],"&gt;= "&amp;F8)-COUNTIF(Vertices[In-Degree],"&gt;="&amp;F9)</f>
        <v>0</v>
      </c>
      <c r="H8" s="39">
        <f t="shared" si="3"/>
        <v>1.6363636363636362</v>
      </c>
      <c r="I8" s="40">
        <f>COUNTIF(Vertices[Out-Degree],"&gt;= "&amp;H8)-COUNTIF(Vertices[Out-Degree],"&gt;="&amp;H9)</f>
        <v>0</v>
      </c>
      <c r="J8" s="39">
        <f t="shared" si="4"/>
        <v>9.272727272727272</v>
      </c>
      <c r="K8" s="40">
        <f>COUNTIF(Vertices[Betweenness Centrality],"&gt;= "&amp;J8)-COUNTIF(Vertices[Betweenness Centrality],"&gt;="&amp;J9)</f>
        <v>0</v>
      </c>
      <c r="L8" s="39">
        <f t="shared" si="5"/>
        <v>0.035156109090909084</v>
      </c>
      <c r="M8" s="40">
        <f>COUNTIF(Vertices[Closeness Centrality],"&gt;= "&amp;L8)-COUNTIF(Vertices[Closeness Centrality],"&gt;="&amp;L9)</f>
        <v>0</v>
      </c>
      <c r="N8" s="39">
        <f t="shared" si="6"/>
        <v>0.022651472727272724</v>
      </c>
      <c r="O8" s="40">
        <f>COUNTIF(Vertices[Eigenvector Centrality],"&gt;= "&amp;N8)-COUNTIF(Vertices[Eigenvector Centrality],"&gt;="&amp;N9)</f>
        <v>0</v>
      </c>
      <c r="P8" s="39">
        <f t="shared" si="7"/>
        <v>0.6604801818181821</v>
      </c>
      <c r="Q8" s="40">
        <f>COUNTIF(Vertices[PageRank],"&gt;= "&amp;P8)-COUNTIF(Vertices[PageRank],"&gt;="&amp;P9)</f>
        <v>1</v>
      </c>
      <c r="R8" s="39">
        <f t="shared" si="8"/>
        <v>0.22848484848484849</v>
      </c>
      <c r="S8" s="45">
        <f>COUNTIF(Vertices[Clustering Coefficient],"&gt;= "&amp;R8)-COUNTIF(Vertices[Clustering Coefficient],"&gt;="&amp;R9)</f>
        <v>1</v>
      </c>
      <c r="T8" s="39" t="e">
        <f ca="1" t="shared" si="9"/>
        <v>#REF!</v>
      </c>
      <c r="U8" s="40" t="e">
        <f ca="1" t="shared" si="0"/>
        <v>#REF!</v>
      </c>
    </row>
    <row r="9" spans="1:21" ht="15">
      <c r="A9" s="107"/>
      <c r="B9" s="107"/>
      <c r="D9" s="34">
        <f t="shared" si="1"/>
        <v>3.781818181818181</v>
      </c>
      <c r="E9" s="3">
        <f>COUNTIF(Vertices[Degree],"&gt;= "&amp;D9)-COUNTIF(Vertices[Degree],"&gt;="&amp;D10)</f>
        <v>3</v>
      </c>
      <c r="F9" s="41">
        <f t="shared" si="2"/>
        <v>1.8909090909090904</v>
      </c>
      <c r="G9" s="42">
        <f>COUNTIF(Vertices[In-Degree],"&gt;= "&amp;F9)-COUNTIF(Vertices[In-Degree],"&gt;="&amp;F10)</f>
        <v>4</v>
      </c>
      <c r="H9" s="41">
        <f t="shared" si="3"/>
        <v>1.909090909090909</v>
      </c>
      <c r="I9" s="42">
        <f>COUNTIF(Vertices[Out-Degree],"&gt;= "&amp;H9)-COUNTIF(Vertices[Out-Degree],"&gt;="&amp;H10)</f>
        <v>2</v>
      </c>
      <c r="J9" s="41">
        <f t="shared" si="4"/>
        <v>10.818181818181817</v>
      </c>
      <c r="K9" s="42">
        <f>COUNTIF(Vertices[Betweenness Centrality],"&gt;= "&amp;J9)-COUNTIF(Vertices[Betweenness Centrality],"&gt;="&amp;J10)</f>
        <v>0</v>
      </c>
      <c r="L9" s="41">
        <f t="shared" si="5"/>
        <v>0.035639127272727264</v>
      </c>
      <c r="M9" s="42">
        <f>COUNTIF(Vertices[Closeness Centrality],"&gt;= "&amp;L9)-COUNTIF(Vertices[Closeness Centrality],"&gt;="&amp;L10)</f>
        <v>3</v>
      </c>
      <c r="N9" s="41">
        <f t="shared" si="6"/>
        <v>0.024248218181818177</v>
      </c>
      <c r="O9" s="42">
        <f>COUNTIF(Vertices[Eigenvector Centrality],"&gt;= "&amp;N9)-COUNTIF(Vertices[Eigenvector Centrality],"&gt;="&amp;N10)</f>
        <v>0</v>
      </c>
      <c r="P9" s="41">
        <f t="shared" si="7"/>
        <v>0.6913715454545458</v>
      </c>
      <c r="Q9" s="42">
        <f>COUNTIF(Vertices[PageRank],"&gt;= "&amp;P9)-COUNTIF(Vertices[PageRank],"&gt;="&amp;P10)</f>
        <v>0</v>
      </c>
      <c r="R9" s="41">
        <f t="shared" si="8"/>
        <v>0.23402597402597403</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4.036363636363635</v>
      </c>
      <c r="E10" s="3">
        <f>COUNTIF(Vertices[Degree],"&gt;= "&amp;D10)-COUNTIF(Vertices[Degree],"&gt;="&amp;D11)</f>
        <v>0</v>
      </c>
      <c r="F10" s="39">
        <f t="shared" si="2"/>
        <v>2.0181818181818176</v>
      </c>
      <c r="G10" s="40">
        <f>COUNTIF(Vertices[In-Degree],"&gt;= "&amp;F10)-COUNTIF(Vertices[In-Degree],"&gt;="&amp;F11)</f>
        <v>0</v>
      </c>
      <c r="H10" s="39">
        <f t="shared" si="3"/>
        <v>2.1818181818181817</v>
      </c>
      <c r="I10" s="40">
        <f>COUNTIF(Vertices[Out-Degree],"&gt;= "&amp;H10)-COUNTIF(Vertices[Out-Degree],"&gt;="&amp;H11)</f>
        <v>0</v>
      </c>
      <c r="J10" s="39">
        <f t="shared" si="4"/>
        <v>12.363636363636362</v>
      </c>
      <c r="K10" s="40">
        <f>COUNTIF(Vertices[Betweenness Centrality],"&gt;= "&amp;J10)-COUNTIF(Vertices[Betweenness Centrality],"&gt;="&amp;J11)</f>
        <v>0</v>
      </c>
      <c r="L10" s="39">
        <f t="shared" si="5"/>
        <v>0.036122145454545444</v>
      </c>
      <c r="M10" s="40">
        <f>COUNTIF(Vertices[Closeness Centrality],"&gt;= "&amp;L10)-COUNTIF(Vertices[Closeness Centrality],"&gt;="&amp;L11)</f>
        <v>0</v>
      </c>
      <c r="N10" s="39">
        <f t="shared" si="6"/>
        <v>0.02584496363636363</v>
      </c>
      <c r="O10" s="40">
        <f>COUNTIF(Vertices[Eigenvector Centrality],"&gt;= "&amp;N10)-COUNTIF(Vertices[Eigenvector Centrality],"&gt;="&amp;N11)</f>
        <v>0</v>
      </c>
      <c r="P10" s="39">
        <f t="shared" si="7"/>
        <v>0.7222629090909095</v>
      </c>
      <c r="Q10" s="40">
        <f>COUNTIF(Vertices[PageRank],"&gt;= "&amp;P10)-COUNTIF(Vertices[PageRank],"&gt;="&amp;P11)</f>
        <v>0</v>
      </c>
      <c r="R10" s="39">
        <f t="shared" si="8"/>
        <v>0.23956709956709957</v>
      </c>
      <c r="S10" s="45">
        <f>COUNTIF(Vertices[Clustering Coefficient],"&gt;= "&amp;R10)-COUNTIF(Vertices[Clustering Coefficient],"&gt;="&amp;R11)</f>
        <v>0</v>
      </c>
      <c r="T10" s="39" t="e">
        <f ca="1" t="shared" si="9"/>
        <v>#REF!</v>
      </c>
      <c r="U10" s="40" t="e">
        <f ca="1" t="shared" si="0"/>
        <v>#REF!</v>
      </c>
    </row>
    <row r="11" spans="1:21" ht="15">
      <c r="A11" s="107"/>
      <c r="B11" s="107"/>
      <c r="D11" s="34">
        <f t="shared" si="1"/>
        <v>4.29090909090909</v>
      </c>
      <c r="E11" s="3">
        <f>COUNTIF(Vertices[Degree],"&gt;= "&amp;D11)-COUNTIF(Vertices[Degree],"&gt;="&amp;D12)</f>
        <v>0</v>
      </c>
      <c r="F11" s="41">
        <f t="shared" si="2"/>
        <v>2.145454545454545</v>
      </c>
      <c r="G11" s="42">
        <f>COUNTIF(Vertices[In-Degree],"&gt;= "&amp;F11)-COUNTIF(Vertices[In-Degree],"&gt;="&amp;F12)</f>
        <v>0</v>
      </c>
      <c r="H11" s="41">
        <f t="shared" si="3"/>
        <v>2.454545454545454</v>
      </c>
      <c r="I11" s="42">
        <f>COUNTIF(Vertices[Out-Degree],"&gt;= "&amp;H11)-COUNTIF(Vertices[Out-Degree],"&gt;="&amp;H12)</f>
        <v>0</v>
      </c>
      <c r="J11" s="41">
        <f t="shared" si="4"/>
        <v>13.909090909090907</v>
      </c>
      <c r="K11" s="42">
        <f>COUNTIF(Vertices[Betweenness Centrality],"&gt;= "&amp;J11)-COUNTIF(Vertices[Betweenness Centrality],"&gt;="&amp;J12)</f>
        <v>0</v>
      </c>
      <c r="L11" s="41">
        <f t="shared" si="5"/>
        <v>0.036605163636363625</v>
      </c>
      <c r="M11" s="42">
        <f>COUNTIF(Vertices[Closeness Centrality],"&gt;= "&amp;L11)-COUNTIF(Vertices[Closeness Centrality],"&gt;="&amp;L12)</f>
        <v>1</v>
      </c>
      <c r="N11" s="41">
        <f t="shared" si="6"/>
        <v>0.027441709090909084</v>
      </c>
      <c r="O11" s="42">
        <f>COUNTIF(Vertices[Eigenvector Centrality],"&gt;= "&amp;N11)-COUNTIF(Vertices[Eigenvector Centrality],"&gt;="&amp;N12)</f>
        <v>0</v>
      </c>
      <c r="P11" s="41">
        <f t="shared" si="7"/>
        <v>0.7531542727272732</v>
      </c>
      <c r="Q11" s="42">
        <f>COUNTIF(Vertices[PageRank],"&gt;= "&amp;P11)-COUNTIF(Vertices[PageRank],"&gt;="&amp;P12)</f>
        <v>0</v>
      </c>
      <c r="R11" s="41">
        <f t="shared" si="8"/>
        <v>0.2451082251082251</v>
      </c>
      <c r="S11" s="46">
        <f>COUNTIF(Vertices[Clustering Coefficient],"&gt;= "&amp;R11)-COUNTIF(Vertices[Clustering Coefficient],"&gt;="&amp;R12)</f>
        <v>0</v>
      </c>
      <c r="T11" s="41" t="e">
        <f ca="1" t="shared" si="9"/>
        <v>#REF!</v>
      </c>
      <c r="U11" s="42" t="e">
        <f ca="1" t="shared" si="0"/>
        <v>#REF!</v>
      </c>
    </row>
    <row r="12" spans="1:21" ht="15">
      <c r="A12" s="36" t="s">
        <v>170</v>
      </c>
      <c r="B12" s="36">
        <v>0.034482758620689655</v>
      </c>
      <c r="D12" s="34">
        <f t="shared" si="1"/>
        <v>4.545454545454545</v>
      </c>
      <c r="E12" s="3">
        <f>COUNTIF(Vertices[Degree],"&gt;= "&amp;D12)-COUNTIF(Vertices[Degree],"&gt;="&amp;D13)</f>
        <v>0</v>
      </c>
      <c r="F12" s="39">
        <f t="shared" si="2"/>
        <v>2.2727272727272725</v>
      </c>
      <c r="G12" s="40">
        <f>COUNTIF(Vertices[In-Degree],"&gt;= "&amp;F12)-COUNTIF(Vertices[In-Degree],"&gt;="&amp;F13)</f>
        <v>0</v>
      </c>
      <c r="H12" s="39">
        <f t="shared" si="3"/>
        <v>2.7272727272727266</v>
      </c>
      <c r="I12" s="40">
        <f>COUNTIF(Vertices[Out-Degree],"&gt;= "&amp;H12)-COUNTIF(Vertices[Out-Degree],"&gt;="&amp;H13)</f>
        <v>0</v>
      </c>
      <c r="J12" s="39">
        <f t="shared" si="4"/>
        <v>15.454545454545451</v>
      </c>
      <c r="K12" s="40">
        <f>COUNTIF(Vertices[Betweenness Centrality],"&gt;= "&amp;J12)-COUNTIF(Vertices[Betweenness Centrality],"&gt;="&amp;J13)</f>
        <v>0</v>
      </c>
      <c r="L12" s="39">
        <f t="shared" si="5"/>
        <v>0.037088181818181805</v>
      </c>
      <c r="M12" s="40">
        <f>COUNTIF(Vertices[Closeness Centrality],"&gt;= "&amp;L12)-COUNTIF(Vertices[Closeness Centrality],"&gt;="&amp;L13)</f>
        <v>0</v>
      </c>
      <c r="N12" s="39">
        <f t="shared" si="6"/>
        <v>0.029038454545454537</v>
      </c>
      <c r="O12" s="40">
        <f>COUNTIF(Vertices[Eigenvector Centrality],"&gt;= "&amp;N12)-COUNTIF(Vertices[Eigenvector Centrality],"&gt;="&amp;N13)</f>
        <v>1</v>
      </c>
      <c r="P12" s="39">
        <f t="shared" si="7"/>
        <v>0.7840456363636369</v>
      </c>
      <c r="Q12" s="40">
        <f>COUNTIF(Vertices[PageRank],"&gt;= "&amp;P12)-COUNTIF(Vertices[PageRank],"&gt;="&amp;P13)</f>
        <v>1</v>
      </c>
      <c r="R12" s="39">
        <f t="shared" si="8"/>
        <v>0.2506493506493507</v>
      </c>
      <c r="S12" s="45">
        <f>COUNTIF(Vertices[Clustering Coefficient],"&gt;= "&amp;R12)-COUNTIF(Vertices[Clustering Coefficient],"&gt;="&amp;R13)</f>
        <v>0</v>
      </c>
      <c r="T12" s="39" t="e">
        <f ca="1" t="shared" si="9"/>
        <v>#REF!</v>
      </c>
      <c r="U12" s="40" t="e">
        <f ca="1" t="shared" si="0"/>
        <v>#REF!</v>
      </c>
    </row>
    <row r="13" spans="1:21" ht="15">
      <c r="A13" s="36" t="s">
        <v>171</v>
      </c>
      <c r="B13" s="36">
        <v>0.06666666666666667</v>
      </c>
      <c r="D13" s="34">
        <f t="shared" si="1"/>
        <v>4.8</v>
      </c>
      <c r="E13" s="3">
        <f>COUNTIF(Vertices[Degree],"&gt;= "&amp;D13)-COUNTIF(Vertices[Degree],"&gt;="&amp;D14)</f>
        <v>2</v>
      </c>
      <c r="F13" s="41">
        <f t="shared" si="2"/>
        <v>2.4</v>
      </c>
      <c r="G13" s="42">
        <f>COUNTIF(Vertices[In-Degree],"&gt;= "&amp;F13)-COUNTIF(Vertices[In-Degree],"&gt;="&amp;F14)</f>
        <v>0</v>
      </c>
      <c r="H13" s="41">
        <f t="shared" si="3"/>
        <v>2.999999999999999</v>
      </c>
      <c r="I13" s="42">
        <f>COUNTIF(Vertices[Out-Degree],"&gt;= "&amp;H13)-COUNTIF(Vertices[Out-Degree],"&gt;="&amp;H14)</f>
        <v>2</v>
      </c>
      <c r="J13" s="41">
        <f t="shared" si="4"/>
        <v>16.999999999999996</v>
      </c>
      <c r="K13" s="42">
        <f>COUNTIF(Vertices[Betweenness Centrality],"&gt;= "&amp;J13)-COUNTIF(Vertices[Betweenness Centrality],"&gt;="&amp;J14)</f>
        <v>0</v>
      </c>
      <c r="L13" s="41">
        <f t="shared" si="5"/>
        <v>0.037571199999999985</v>
      </c>
      <c r="M13" s="42">
        <f>COUNTIF(Vertices[Closeness Centrality],"&gt;= "&amp;L13)-COUNTIF(Vertices[Closeness Centrality],"&gt;="&amp;L14)</f>
        <v>0</v>
      </c>
      <c r="N13" s="41">
        <f t="shared" si="6"/>
        <v>0.03063519999999999</v>
      </c>
      <c r="O13" s="42">
        <f>COUNTIF(Vertices[Eigenvector Centrality],"&gt;= "&amp;N13)-COUNTIF(Vertices[Eigenvector Centrality],"&gt;="&amp;N14)</f>
        <v>0</v>
      </c>
      <c r="P13" s="41">
        <f t="shared" si="7"/>
        <v>0.8149370000000006</v>
      </c>
      <c r="Q13" s="42">
        <f>COUNTIF(Vertices[PageRank],"&gt;= "&amp;P13)-COUNTIF(Vertices[PageRank],"&gt;="&amp;P14)</f>
        <v>0</v>
      </c>
      <c r="R13" s="41">
        <f t="shared" si="8"/>
        <v>0.25619047619047625</v>
      </c>
      <c r="S13" s="46">
        <f>COUNTIF(Vertices[Clustering Coefficient],"&gt;= "&amp;R13)-COUNTIF(Vertices[Clustering Coefficient],"&gt;="&amp;R14)</f>
        <v>0</v>
      </c>
      <c r="T13" s="41" t="e">
        <f ca="1" t="shared" si="9"/>
        <v>#REF!</v>
      </c>
      <c r="U13" s="42" t="e">
        <f ca="1" t="shared" si="0"/>
        <v>#REF!</v>
      </c>
    </row>
    <row r="14" spans="1:21" ht="15">
      <c r="A14" s="107"/>
      <c r="B14" s="107"/>
      <c r="D14" s="34">
        <f t="shared" si="1"/>
        <v>5.054545454545455</v>
      </c>
      <c r="E14" s="3">
        <f>COUNTIF(Vertices[Degree],"&gt;= "&amp;D14)-COUNTIF(Vertices[Degree],"&gt;="&amp;D15)</f>
        <v>0</v>
      </c>
      <c r="F14" s="39">
        <f t="shared" si="2"/>
        <v>2.5272727272727273</v>
      </c>
      <c r="G14" s="40">
        <f>COUNTIF(Vertices[In-Degree],"&gt;= "&amp;F14)-COUNTIF(Vertices[In-Degree],"&gt;="&amp;F15)</f>
        <v>0</v>
      </c>
      <c r="H14" s="39">
        <f t="shared" si="3"/>
        <v>3.2727272727272716</v>
      </c>
      <c r="I14" s="40">
        <f>COUNTIF(Vertices[Out-Degree],"&gt;= "&amp;H14)-COUNTIF(Vertices[Out-Degree],"&gt;="&amp;H15)</f>
        <v>0</v>
      </c>
      <c r="J14" s="39">
        <f t="shared" si="4"/>
        <v>18.545454545454543</v>
      </c>
      <c r="K14" s="40">
        <f>COUNTIF(Vertices[Betweenness Centrality],"&gt;= "&amp;J14)-COUNTIF(Vertices[Betweenness Centrality],"&gt;="&amp;J15)</f>
        <v>1</v>
      </c>
      <c r="L14" s="39">
        <f t="shared" si="5"/>
        <v>0.038054218181818165</v>
      </c>
      <c r="M14" s="40">
        <f>COUNTIF(Vertices[Closeness Centrality],"&gt;= "&amp;L14)-COUNTIF(Vertices[Closeness Centrality],"&gt;="&amp;L15)</f>
        <v>0</v>
      </c>
      <c r="N14" s="39">
        <f t="shared" si="6"/>
        <v>0.03223194545454545</v>
      </c>
      <c r="O14" s="40">
        <f>COUNTIF(Vertices[Eigenvector Centrality],"&gt;= "&amp;N14)-COUNTIF(Vertices[Eigenvector Centrality],"&gt;="&amp;N15)</f>
        <v>0</v>
      </c>
      <c r="P14" s="39">
        <f t="shared" si="7"/>
        <v>0.8458283636363643</v>
      </c>
      <c r="Q14" s="40">
        <f>COUNTIF(Vertices[PageRank],"&gt;= "&amp;P14)-COUNTIF(Vertices[PageRank],"&gt;="&amp;P15)</f>
        <v>0</v>
      </c>
      <c r="R14" s="39">
        <f t="shared" si="8"/>
        <v>0.2617316017316018</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5.3090909090909095</v>
      </c>
      <c r="E15" s="3">
        <f>COUNTIF(Vertices[Degree],"&gt;= "&amp;D15)-COUNTIF(Vertices[Degree],"&gt;="&amp;D16)</f>
        <v>0</v>
      </c>
      <c r="F15" s="41">
        <f t="shared" si="2"/>
        <v>2.6545454545454548</v>
      </c>
      <c r="G15" s="42">
        <f>COUNTIF(Vertices[In-Degree],"&gt;= "&amp;F15)-COUNTIF(Vertices[In-Degree],"&gt;="&amp;F16)</f>
        <v>0</v>
      </c>
      <c r="H15" s="41">
        <f t="shared" si="3"/>
        <v>3.545454545454544</v>
      </c>
      <c r="I15" s="42">
        <f>COUNTIF(Vertices[Out-Degree],"&gt;= "&amp;H15)-COUNTIF(Vertices[Out-Degree],"&gt;="&amp;H16)</f>
        <v>0</v>
      </c>
      <c r="J15" s="41">
        <f t="shared" si="4"/>
        <v>20.09090909090909</v>
      </c>
      <c r="K15" s="42">
        <f>COUNTIF(Vertices[Betweenness Centrality],"&gt;= "&amp;J15)-COUNTIF(Vertices[Betweenness Centrality],"&gt;="&amp;J16)</f>
        <v>0</v>
      </c>
      <c r="L15" s="41">
        <f t="shared" si="5"/>
        <v>0.038537236363636346</v>
      </c>
      <c r="M15" s="42">
        <f>COUNTIF(Vertices[Closeness Centrality],"&gt;= "&amp;L15)-COUNTIF(Vertices[Closeness Centrality],"&gt;="&amp;L16)</f>
        <v>0</v>
      </c>
      <c r="N15" s="41">
        <f t="shared" si="6"/>
        <v>0.0338286909090909</v>
      </c>
      <c r="O15" s="42">
        <f>COUNTIF(Vertices[Eigenvector Centrality],"&gt;= "&amp;N15)-COUNTIF(Vertices[Eigenvector Centrality],"&gt;="&amp;N16)</f>
        <v>1</v>
      </c>
      <c r="P15" s="41">
        <f t="shared" si="7"/>
        <v>0.876719727272728</v>
      </c>
      <c r="Q15" s="42">
        <f>COUNTIF(Vertices[PageRank],"&gt;= "&amp;P15)-COUNTIF(Vertices[PageRank],"&gt;="&amp;P16)</f>
        <v>0</v>
      </c>
      <c r="R15" s="41">
        <f t="shared" si="8"/>
        <v>0.2672727272727274</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5.563636363636364</v>
      </c>
      <c r="E16" s="3">
        <f>COUNTIF(Vertices[Degree],"&gt;= "&amp;D16)-COUNTIF(Vertices[Degree],"&gt;="&amp;D17)</f>
        <v>0</v>
      </c>
      <c r="F16" s="39">
        <f t="shared" si="2"/>
        <v>2.781818181818182</v>
      </c>
      <c r="G16" s="40">
        <f>COUNTIF(Vertices[In-Degree],"&gt;= "&amp;F16)-COUNTIF(Vertices[In-Degree],"&gt;="&amp;F17)</f>
        <v>0</v>
      </c>
      <c r="H16" s="39">
        <f t="shared" si="3"/>
        <v>3.8181818181818166</v>
      </c>
      <c r="I16" s="40">
        <f>COUNTIF(Vertices[Out-Degree],"&gt;= "&amp;H16)-COUNTIF(Vertices[Out-Degree],"&gt;="&amp;H17)</f>
        <v>2</v>
      </c>
      <c r="J16" s="39">
        <f t="shared" si="4"/>
        <v>21.636363636363637</v>
      </c>
      <c r="K16" s="40">
        <f>COUNTIF(Vertices[Betweenness Centrality],"&gt;= "&amp;J16)-COUNTIF(Vertices[Betweenness Centrality],"&gt;="&amp;J17)</f>
        <v>0</v>
      </c>
      <c r="L16" s="39">
        <f t="shared" si="5"/>
        <v>0.039020254545454526</v>
      </c>
      <c r="M16" s="40">
        <f>COUNTIF(Vertices[Closeness Centrality],"&gt;= "&amp;L16)-COUNTIF(Vertices[Closeness Centrality],"&gt;="&amp;L17)</f>
        <v>0</v>
      </c>
      <c r="N16" s="39">
        <f t="shared" si="6"/>
        <v>0.035425436363636355</v>
      </c>
      <c r="O16" s="40">
        <f>COUNTIF(Vertices[Eigenvector Centrality],"&gt;= "&amp;N16)-COUNTIF(Vertices[Eigenvector Centrality],"&gt;="&amp;N17)</f>
        <v>0</v>
      </c>
      <c r="P16" s="39">
        <f t="shared" si="7"/>
        <v>0.9076110909090916</v>
      </c>
      <c r="Q16" s="40">
        <f>COUNTIF(Vertices[PageRank],"&gt;= "&amp;P16)-COUNTIF(Vertices[PageRank],"&gt;="&amp;P17)</f>
        <v>0</v>
      </c>
      <c r="R16" s="39">
        <f t="shared" si="8"/>
        <v>0.27281385281385295</v>
      </c>
      <c r="S16" s="45">
        <f>COUNTIF(Vertices[Clustering Coefficient],"&gt;= "&amp;R16)-COUNTIF(Vertices[Clustering Coefficient],"&gt;="&amp;R17)</f>
        <v>0</v>
      </c>
      <c r="T16" s="39" t="e">
        <f ca="1" t="shared" si="9"/>
        <v>#REF!</v>
      </c>
      <c r="U16" s="40" t="e">
        <f ca="1" t="shared" si="0"/>
        <v>#REF!</v>
      </c>
    </row>
    <row r="17" spans="1:21" ht="15">
      <c r="A17" s="36" t="s">
        <v>154</v>
      </c>
      <c r="B17" s="36">
        <v>17</v>
      </c>
      <c r="D17" s="34">
        <f t="shared" si="1"/>
        <v>5.818181818181819</v>
      </c>
      <c r="E17" s="3">
        <f>COUNTIF(Vertices[Degree],"&gt;= "&amp;D17)-COUNTIF(Vertices[Degree],"&gt;="&amp;D18)</f>
        <v>0</v>
      </c>
      <c r="F17" s="41">
        <f t="shared" si="2"/>
        <v>2.9090909090909096</v>
      </c>
      <c r="G17" s="42">
        <f>COUNTIF(Vertices[In-Degree],"&gt;= "&amp;F17)-COUNTIF(Vertices[In-Degree],"&gt;="&amp;F18)</f>
        <v>4</v>
      </c>
      <c r="H17" s="41">
        <f t="shared" si="3"/>
        <v>4.090909090909089</v>
      </c>
      <c r="I17" s="42">
        <f>COUNTIF(Vertices[Out-Degree],"&gt;= "&amp;H17)-COUNTIF(Vertices[Out-Degree],"&gt;="&amp;H18)</f>
        <v>0</v>
      </c>
      <c r="J17" s="41">
        <f t="shared" si="4"/>
        <v>23.181818181818183</v>
      </c>
      <c r="K17" s="42">
        <f>COUNTIF(Vertices[Betweenness Centrality],"&gt;= "&amp;J17)-COUNTIF(Vertices[Betweenness Centrality],"&gt;="&amp;J18)</f>
        <v>0</v>
      </c>
      <c r="L17" s="41">
        <f t="shared" si="5"/>
        <v>0.039503272727272706</v>
      </c>
      <c r="M17" s="42">
        <f>COUNTIF(Vertices[Closeness Centrality],"&gt;= "&amp;L17)-COUNTIF(Vertices[Closeness Centrality],"&gt;="&amp;L18)</f>
        <v>0</v>
      </c>
      <c r="N17" s="41">
        <f t="shared" si="6"/>
        <v>0.03702218181818181</v>
      </c>
      <c r="O17" s="42">
        <f>COUNTIF(Vertices[Eigenvector Centrality],"&gt;= "&amp;N17)-COUNTIF(Vertices[Eigenvector Centrality],"&gt;="&amp;N18)</f>
        <v>2</v>
      </c>
      <c r="P17" s="41">
        <f t="shared" si="7"/>
        <v>0.9385024545454553</v>
      </c>
      <c r="Q17" s="42">
        <f>COUNTIF(Vertices[PageRank],"&gt;= "&amp;P17)-COUNTIF(Vertices[PageRank],"&gt;="&amp;P18)</f>
        <v>0</v>
      </c>
      <c r="R17" s="41">
        <f t="shared" si="8"/>
        <v>0.2783549783549785</v>
      </c>
      <c r="S17" s="46">
        <f>COUNTIF(Vertices[Clustering Coefficient],"&gt;= "&amp;R17)-COUNTIF(Vertices[Clustering Coefficient],"&gt;="&amp;R18)</f>
        <v>0</v>
      </c>
      <c r="T17" s="41" t="e">
        <f ca="1" t="shared" si="9"/>
        <v>#REF!</v>
      </c>
      <c r="U17" s="42" t="e">
        <f ca="1" t="shared" si="0"/>
        <v>#REF!</v>
      </c>
    </row>
    <row r="18" spans="1:21" ht="15">
      <c r="A18" s="36" t="s">
        <v>155</v>
      </c>
      <c r="B18" s="36">
        <v>99</v>
      </c>
      <c r="D18" s="34">
        <f t="shared" si="1"/>
        <v>6.072727272727274</v>
      </c>
      <c r="E18" s="3">
        <f>COUNTIF(Vertices[Degree],"&gt;= "&amp;D18)-COUNTIF(Vertices[Degree],"&gt;="&amp;D19)</f>
        <v>0</v>
      </c>
      <c r="F18" s="39">
        <f t="shared" si="2"/>
        <v>3.036363636363637</v>
      </c>
      <c r="G18" s="40">
        <f>COUNTIF(Vertices[In-Degree],"&gt;= "&amp;F18)-COUNTIF(Vertices[In-Degree],"&gt;="&amp;F19)</f>
        <v>0</v>
      </c>
      <c r="H18" s="39">
        <f t="shared" si="3"/>
        <v>4.3636363636363615</v>
      </c>
      <c r="I18" s="40">
        <f>COUNTIF(Vertices[Out-Degree],"&gt;= "&amp;H18)-COUNTIF(Vertices[Out-Degree],"&gt;="&amp;H19)</f>
        <v>0</v>
      </c>
      <c r="J18" s="39">
        <f t="shared" si="4"/>
        <v>24.72727272727273</v>
      </c>
      <c r="K18" s="40">
        <f>COUNTIF(Vertices[Betweenness Centrality],"&gt;= "&amp;J18)-COUNTIF(Vertices[Betweenness Centrality],"&gt;="&amp;J19)</f>
        <v>0</v>
      </c>
      <c r="L18" s="39">
        <f t="shared" si="5"/>
        <v>0.03998629090909089</v>
      </c>
      <c r="M18" s="40">
        <f>COUNTIF(Vertices[Closeness Centrality],"&gt;= "&amp;L18)-COUNTIF(Vertices[Closeness Centrality],"&gt;="&amp;L19)</f>
        <v>0</v>
      </c>
      <c r="N18" s="39">
        <f t="shared" si="6"/>
        <v>0.03861892727272726</v>
      </c>
      <c r="O18" s="40">
        <f>COUNTIF(Vertices[Eigenvector Centrality],"&gt;= "&amp;N18)-COUNTIF(Vertices[Eigenvector Centrality],"&gt;="&amp;N19)</f>
        <v>1</v>
      </c>
      <c r="P18" s="39">
        <f t="shared" si="7"/>
        <v>0.969393818181819</v>
      </c>
      <c r="Q18" s="40">
        <f>COUNTIF(Vertices[PageRank],"&gt;= "&amp;P18)-COUNTIF(Vertices[PageRank],"&gt;="&amp;P19)</f>
        <v>0</v>
      </c>
      <c r="R18" s="39">
        <f t="shared" si="8"/>
        <v>0.2838961038961041</v>
      </c>
      <c r="S18" s="45">
        <f>COUNTIF(Vertices[Clustering Coefficient],"&gt;= "&amp;R18)-COUNTIF(Vertices[Clustering Coefficient],"&gt;="&amp;R19)</f>
        <v>1</v>
      </c>
      <c r="T18" s="39" t="e">
        <f ca="1" t="shared" si="9"/>
        <v>#REF!</v>
      </c>
      <c r="U18" s="40" t="e">
        <f ca="1" t="shared" si="0"/>
        <v>#REF!</v>
      </c>
    </row>
    <row r="19" spans="1:21" ht="15">
      <c r="A19" s="107"/>
      <c r="B19" s="107"/>
      <c r="D19" s="34">
        <f t="shared" si="1"/>
        <v>6.327272727272729</v>
      </c>
      <c r="E19" s="3">
        <f>COUNTIF(Vertices[Degree],"&gt;= "&amp;D19)-COUNTIF(Vertices[Degree],"&gt;="&amp;D20)</f>
        <v>0</v>
      </c>
      <c r="F19" s="41">
        <f t="shared" si="2"/>
        <v>3.1636363636363645</v>
      </c>
      <c r="G19" s="42">
        <f>COUNTIF(Vertices[In-Degree],"&gt;= "&amp;F19)-COUNTIF(Vertices[In-Degree],"&gt;="&amp;F20)</f>
        <v>0</v>
      </c>
      <c r="H19" s="41">
        <f t="shared" si="3"/>
        <v>4.636363636363634</v>
      </c>
      <c r="I19" s="42">
        <f>COUNTIF(Vertices[Out-Degree],"&gt;= "&amp;H19)-COUNTIF(Vertices[Out-Degree],"&gt;="&amp;H20)</f>
        <v>0</v>
      </c>
      <c r="J19" s="41">
        <f t="shared" si="4"/>
        <v>26.272727272727277</v>
      </c>
      <c r="K19" s="42">
        <f>COUNTIF(Vertices[Betweenness Centrality],"&gt;= "&amp;J19)-COUNTIF(Vertices[Betweenness Centrality],"&gt;="&amp;J20)</f>
        <v>0</v>
      </c>
      <c r="L19" s="41">
        <f t="shared" si="5"/>
        <v>0.04046930909090907</v>
      </c>
      <c r="M19" s="42">
        <f>COUNTIF(Vertices[Closeness Centrality],"&gt;= "&amp;L19)-COUNTIF(Vertices[Closeness Centrality],"&gt;="&amp;L20)</f>
        <v>0</v>
      </c>
      <c r="N19" s="41">
        <f t="shared" si="6"/>
        <v>0.040215672727272715</v>
      </c>
      <c r="O19" s="42">
        <f>COUNTIF(Vertices[Eigenvector Centrality],"&gt;= "&amp;N19)-COUNTIF(Vertices[Eigenvector Centrality],"&gt;="&amp;N20)</f>
        <v>0</v>
      </c>
      <c r="P19" s="41">
        <f t="shared" si="7"/>
        <v>1.0002851818181826</v>
      </c>
      <c r="Q19" s="42">
        <f>COUNTIF(Vertices[PageRank],"&gt;= "&amp;P19)-COUNTIF(Vertices[PageRank],"&gt;="&amp;P20)</f>
        <v>0</v>
      </c>
      <c r="R19" s="41">
        <f t="shared" si="8"/>
        <v>0.28943722943722966</v>
      </c>
      <c r="S19" s="46">
        <f>COUNTIF(Vertices[Clustering Coefficient],"&gt;= "&amp;R19)-COUNTIF(Vertices[Clustering Coefficient],"&gt;="&amp;R20)</f>
        <v>0</v>
      </c>
      <c r="T19" s="41" t="e">
        <f ca="1" t="shared" si="9"/>
        <v>#REF!</v>
      </c>
      <c r="U19" s="42" t="e">
        <f ca="1" t="shared" si="0"/>
        <v>#REF!</v>
      </c>
    </row>
    <row r="20" spans="1:21" ht="15">
      <c r="A20" s="36" t="s">
        <v>156</v>
      </c>
      <c r="B20" s="36">
        <v>3</v>
      </c>
      <c r="D20" s="34">
        <f t="shared" si="1"/>
        <v>6.581818181818184</v>
      </c>
      <c r="E20" s="3">
        <f>COUNTIF(Vertices[Degree],"&gt;= "&amp;D20)-COUNTIF(Vertices[Degree],"&gt;="&amp;D21)</f>
        <v>0</v>
      </c>
      <c r="F20" s="39">
        <f t="shared" si="2"/>
        <v>3.290909090909092</v>
      </c>
      <c r="G20" s="40">
        <f>COUNTIF(Vertices[In-Degree],"&gt;= "&amp;F20)-COUNTIF(Vertices[In-Degree],"&gt;="&amp;F21)</f>
        <v>0</v>
      </c>
      <c r="H20" s="39">
        <f t="shared" si="3"/>
        <v>4.9090909090909065</v>
      </c>
      <c r="I20" s="40">
        <f>COUNTIF(Vertices[Out-Degree],"&gt;= "&amp;H20)-COUNTIF(Vertices[Out-Degree],"&gt;="&amp;H21)</f>
        <v>1</v>
      </c>
      <c r="J20" s="39">
        <f t="shared" si="4"/>
        <v>27.818181818181824</v>
      </c>
      <c r="K20" s="40">
        <f>COUNTIF(Vertices[Betweenness Centrality],"&gt;= "&amp;J20)-COUNTIF(Vertices[Betweenness Centrality],"&gt;="&amp;J21)</f>
        <v>0</v>
      </c>
      <c r="L20" s="39">
        <f t="shared" si="5"/>
        <v>0.04095232727272725</v>
      </c>
      <c r="M20" s="40">
        <f>COUNTIF(Vertices[Closeness Centrality],"&gt;= "&amp;L20)-COUNTIF(Vertices[Closeness Centrality],"&gt;="&amp;L21)</f>
        <v>0</v>
      </c>
      <c r="N20" s="39">
        <f t="shared" si="6"/>
        <v>0.04181241818181817</v>
      </c>
      <c r="O20" s="40">
        <f>COUNTIF(Vertices[Eigenvector Centrality],"&gt;= "&amp;N20)-COUNTIF(Vertices[Eigenvector Centrality],"&gt;="&amp;N21)</f>
        <v>0</v>
      </c>
      <c r="P20" s="39">
        <f t="shared" si="7"/>
        <v>1.0311765454545463</v>
      </c>
      <c r="Q20" s="40">
        <f>COUNTIF(Vertices[PageRank],"&gt;= "&amp;P20)-COUNTIF(Vertices[PageRank],"&gt;="&amp;P21)</f>
        <v>0</v>
      </c>
      <c r="R20" s="39">
        <f t="shared" si="8"/>
        <v>0.29497835497835523</v>
      </c>
      <c r="S20" s="45">
        <f>COUNTIF(Vertices[Clustering Coefficient],"&gt;= "&amp;R20)-COUNTIF(Vertices[Clustering Coefficient],"&gt;="&amp;R21)</f>
        <v>0</v>
      </c>
      <c r="T20" s="39" t="e">
        <f ca="1" t="shared" si="9"/>
        <v>#REF!</v>
      </c>
      <c r="U20" s="40" t="e">
        <f ca="1" t="shared" si="0"/>
        <v>#REF!</v>
      </c>
    </row>
    <row r="21" spans="1:21" ht="15">
      <c r="A21" s="36" t="s">
        <v>157</v>
      </c>
      <c r="B21" s="36">
        <v>1.49481</v>
      </c>
      <c r="D21" s="34">
        <f t="shared" si="1"/>
        <v>6.836363636363639</v>
      </c>
      <c r="E21" s="3">
        <f>COUNTIF(Vertices[Degree],"&gt;= "&amp;D21)-COUNTIF(Vertices[Degree],"&gt;="&amp;D22)</f>
        <v>0</v>
      </c>
      <c r="F21" s="41">
        <f t="shared" si="2"/>
        <v>3.4181818181818193</v>
      </c>
      <c r="G21" s="42">
        <f>COUNTIF(Vertices[In-Degree],"&gt;= "&amp;F21)-COUNTIF(Vertices[In-Degree],"&gt;="&amp;F22)</f>
        <v>0</v>
      </c>
      <c r="H21" s="41">
        <f t="shared" si="3"/>
        <v>5.181818181818179</v>
      </c>
      <c r="I21" s="42">
        <f>COUNTIF(Vertices[Out-Degree],"&gt;= "&amp;H21)-COUNTIF(Vertices[Out-Degree],"&gt;="&amp;H22)</f>
        <v>0</v>
      </c>
      <c r="J21" s="41">
        <f t="shared" si="4"/>
        <v>29.36363636363637</v>
      </c>
      <c r="K21" s="42">
        <f>COUNTIF(Vertices[Betweenness Centrality],"&gt;= "&amp;J21)-COUNTIF(Vertices[Betweenness Centrality],"&gt;="&amp;J22)</f>
        <v>0</v>
      </c>
      <c r="L21" s="41">
        <f t="shared" si="5"/>
        <v>0.04143534545454543</v>
      </c>
      <c r="M21" s="42">
        <f>COUNTIF(Vertices[Closeness Centrality],"&gt;= "&amp;L21)-COUNTIF(Vertices[Closeness Centrality],"&gt;="&amp;L22)</f>
        <v>6</v>
      </c>
      <c r="N21" s="41">
        <f t="shared" si="6"/>
        <v>0.04340916363636362</v>
      </c>
      <c r="O21" s="42">
        <f>COUNTIF(Vertices[Eigenvector Centrality],"&gt;= "&amp;N21)-COUNTIF(Vertices[Eigenvector Centrality],"&gt;="&amp;N22)</f>
        <v>0</v>
      </c>
      <c r="P21" s="41">
        <f t="shared" si="7"/>
        <v>1.06206790909091</v>
      </c>
      <c r="Q21" s="42">
        <f>COUNTIF(Vertices[PageRank],"&gt;= "&amp;P21)-COUNTIF(Vertices[PageRank],"&gt;="&amp;P22)</f>
        <v>6</v>
      </c>
      <c r="R21" s="41">
        <f t="shared" si="8"/>
        <v>0.3005194805194808</v>
      </c>
      <c r="S21" s="46">
        <f>COUNTIF(Vertices[Clustering Coefficient],"&gt;= "&amp;R21)-COUNTIF(Vertices[Clustering Coefficient],"&gt;="&amp;R22)</f>
        <v>0</v>
      </c>
      <c r="T21" s="41" t="e">
        <f ca="1" t="shared" si="9"/>
        <v>#REF!</v>
      </c>
      <c r="U21" s="42" t="e">
        <f ca="1" t="shared" si="0"/>
        <v>#REF!</v>
      </c>
    </row>
    <row r="22" spans="1:21" ht="15">
      <c r="A22" s="107"/>
      <c r="B22" s="107"/>
      <c r="D22" s="34">
        <f t="shared" si="1"/>
        <v>7.0909090909090935</v>
      </c>
      <c r="E22" s="3">
        <f>COUNTIF(Vertices[Degree],"&gt;= "&amp;D22)-COUNTIF(Vertices[Degree],"&gt;="&amp;D23)</f>
        <v>0</v>
      </c>
      <c r="F22" s="39">
        <f t="shared" si="2"/>
        <v>3.5454545454545467</v>
      </c>
      <c r="G22" s="40">
        <f>COUNTIF(Vertices[In-Degree],"&gt;= "&amp;F22)-COUNTIF(Vertices[In-Degree],"&gt;="&amp;F23)</f>
        <v>0</v>
      </c>
      <c r="H22" s="39">
        <f t="shared" si="3"/>
        <v>5.4545454545454515</v>
      </c>
      <c r="I22" s="40">
        <f>COUNTIF(Vertices[Out-Degree],"&gt;= "&amp;H22)-COUNTIF(Vertices[Out-Degree],"&gt;="&amp;H23)</f>
        <v>0</v>
      </c>
      <c r="J22" s="39">
        <f t="shared" si="4"/>
        <v>30.909090909090917</v>
      </c>
      <c r="K22" s="40">
        <f>COUNTIF(Vertices[Betweenness Centrality],"&gt;= "&amp;J22)-COUNTIF(Vertices[Betweenness Centrality],"&gt;="&amp;J23)</f>
        <v>0</v>
      </c>
      <c r="L22" s="39">
        <f t="shared" si="5"/>
        <v>0.04191836363636361</v>
      </c>
      <c r="M22" s="40">
        <f>COUNTIF(Vertices[Closeness Centrality],"&gt;= "&amp;L22)-COUNTIF(Vertices[Closeness Centrality],"&gt;="&amp;L23)</f>
        <v>0</v>
      </c>
      <c r="N22" s="39">
        <f t="shared" si="6"/>
        <v>0.045005909090909076</v>
      </c>
      <c r="O22" s="40">
        <f>COUNTIF(Vertices[Eigenvector Centrality],"&gt;= "&amp;N22)-COUNTIF(Vertices[Eigenvector Centrality],"&gt;="&amp;N23)</f>
        <v>0</v>
      </c>
      <c r="P22" s="39">
        <f t="shared" si="7"/>
        <v>1.0929592727272737</v>
      </c>
      <c r="Q22" s="40">
        <f>COUNTIF(Vertices[PageRank],"&gt;= "&amp;P22)-COUNTIF(Vertices[PageRank],"&gt;="&amp;P23)</f>
        <v>0</v>
      </c>
      <c r="R22" s="39">
        <f t="shared" si="8"/>
        <v>0.30606060606060637</v>
      </c>
      <c r="S22" s="45">
        <f>COUNTIF(Vertices[Clustering Coefficient],"&gt;= "&amp;R22)-COUNTIF(Vertices[Clustering Coefficient],"&gt;="&amp;R23)</f>
        <v>0</v>
      </c>
      <c r="T22" s="39" t="e">
        <f ca="1" t="shared" si="9"/>
        <v>#REF!</v>
      </c>
      <c r="U22" s="40" t="e">
        <f ca="1" t="shared" si="0"/>
        <v>#REF!</v>
      </c>
    </row>
    <row r="23" spans="1:21" ht="15">
      <c r="A23" s="36" t="s">
        <v>158</v>
      </c>
      <c r="B23" s="36">
        <v>0.22058823529411764</v>
      </c>
      <c r="D23" s="34">
        <f t="shared" si="1"/>
        <v>7.345454545454548</v>
      </c>
      <c r="E23" s="3">
        <f>COUNTIF(Vertices[Degree],"&gt;= "&amp;D23)-COUNTIF(Vertices[Degree],"&gt;="&amp;D24)</f>
        <v>0</v>
      </c>
      <c r="F23" s="41">
        <f t="shared" si="2"/>
        <v>3.672727272727274</v>
      </c>
      <c r="G23" s="42">
        <f>COUNTIF(Vertices[In-Degree],"&gt;= "&amp;F23)-COUNTIF(Vertices[In-Degree],"&gt;="&amp;F24)</f>
        <v>0</v>
      </c>
      <c r="H23" s="41">
        <f t="shared" si="3"/>
        <v>5.727272727272724</v>
      </c>
      <c r="I23" s="42">
        <f>COUNTIF(Vertices[Out-Degree],"&gt;= "&amp;H23)-COUNTIF(Vertices[Out-Degree],"&gt;="&amp;H24)</f>
        <v>0</v>
      </c>
      <c r="J23" s="41">
        <f t="shared" si="4"/>
        <v>32.45454545454546</v>
      </c>
      <c r="K23" s="42">
        <f>COUNTIF(Vertices[Betweenness Centrality],"&gt;= "&amp;J23)-COUNTIF(Vertices[Betweenness Centrality],"&gt;="&amp;J24)</f>
        <v>0</v>
      </c>
      <c r="L23" s="41">
        <f t="shared" si="5"/>
        <v>0.04240138181818179</v>
      </c>
      <c r="M23" s="42">
        <f>COUNTIF(Vertices[Closeness Centrality],"&gt;= "&amp;L23)-COUNTIF(Vertices[Closeness Centrality],"&gt;="&amp;L24)</f>
        <v>0</v>
      </c>
      <c r="N23" s="41">
        <f t="shared" si="6"/>
        <v>0.04660265454545453</v>
      </c>
      <c r="O23" s="42">
        <f>COUNTIF(Vertices[Eigenvector Centrality],"&gt;= "&amp;N23)-COUNTIF(Vertices[Eigenvector Centrality],"&gt;="&amp;N24)</f>
        <v>0</v>
      </c>
      <c r="P23" s="41">
        <f t="shared" si="7"/>
        <v>1.1238506363636374</v>
      </c>
      <c r="Q23" s="42">
        <f>COUNTIF(Vertices[PageRank],"&gt;= "&amp;P23)-COUNTIF(Vertices[PageRank],"&gt;="&amp;P24)</f>
        <v>0</v>
      </c>
      <c r="R23" s="41">
        <f t="shared" si="8"/>
        <v>0.31160173160173193</v>
      </c>
      <c r="S23" s="46">
        <f>COUNTIF(Vertices[Clustering Coefficient],"&gt;= "&amp;R23)-COUNTIF(Vertices[Clustering Coefficient],"&gt;="&amp;R24)</f>
        <v>0</v>
      </c>
      <c r="T23" s="41" t="e">
        <f ca="1" t="shared" si="9"/>
        <v>#REF!</v>
      </c>
      <c r="U23" s="42" t="e">
        <f ca="1" t="shared" si="0"/>
        <v>#REF!</v>
      </c>
    </row>
    <row r="24" spans="1:21" ht="15">
      <c r="A24" s="36" t="s">
        <v>205</v>
      </c>
      <c r="B24" s="36">
        <v>0.184267</v>
      </c>
      <c r="D24" s="34">
        <f t="shared" si="1"/>
        <v>7.600000000000003</v>
      </c>
      <c r="E24" s="3">
        <f>COUNTIF(Vertices[Degree],"&gt;= "&amp;D24)-COUNTIF(Vertices[Degree],"&gt;="&amp;D25)</f>
        <v>0</v>
      </c>
      <c r="F24" s="39">
        <f t="shared" si="2"/>
        <v>3.8000000000000016</v>
      </c>
      <c r="G24" s="40">
        <f>COUNTIF(Vertices[In-Degree],"&gt;= "&amp;F24)-COUNTIF(Vertices[In-Degree],"&gt;="&amp;F25)</f>
        <v>0</v>
      </c>
      <c r="H24" s="39">
        <f t="shared" si="3"/>
        <v>5.9999999999999964</v>
      </c>
      <c r="I24" s="40">
        <f>COUNTIF(Vertices[Out-Degree],"&gt;= "&amp;H24)-COUNTIF(Vertices[Out-Degree],"&gt;="&amp;H25)</f>
        <v>0</v>
      </c>
      <c r="J24" s="39">
        <f t="shared" si="4"/>
        <v>34.00000000000001</v>
      </c>
      <c r="K24" s="40">
        <f>COUNTIF(Vertices[Betweenness Centrality],"&gt;= "&amp;J24)-COUNTIF(Vertices[Betweenness Centrality],"&gt;="&amp;J25)</f>
        <v>0</v>
      </c>
      <c r="L24" s="39">
        <f t="shared" si="5"/>
        <v>0.04288439999999997</v>
      </c>
      <c r="M24" s="40">
        <f>COUNTIF(Vertices[Closeness Centrality],"&gt;= "&amp;L24)-COUNTIF(Vertices[Closeness Centrality],"&gt;="&amp;L25)</f>
        <v>0</v>
      </c>
      <c r="N24" s="39">
        <f t="shared" si="6"/>
        <v>0.04819939999999998</v>
      </c>
      <c r="O24" s="40">
        <f>COUNTIF(Vertices[Eigenvector Centrality],"&gt;= "&amp;N24)-COUNTIF(Vertices[Eigenvector Centrality],"&gt;="&amp;N25)</f>
        <v>0</v>
      </c>
      <c r="P24" s="39">
        <f t="shared" si="7"/>
        <v>1.154742000000001</v>
      </c>
      <c r="Q24" s="40">
        <f>COUNTIF(Vertices[PageRank],"&gt;= "&amp;P24)-COUNTIF(Vertices[PageRank],"&gt;="&amp;P25)</f>
        <v>0</v>
      </c>
      <c r="R24" s="39">
        <f t="shared" si="8"/>
        <v>0.3171428571428575</v>
      </c>
      <c r="S24" s="45">
        <f>COUNTIF(Vertices[Clustering Coefficient],"&gt;= "&amp;R24)-COUNTIF(Vertices[Clustering Coefficient],"&gt;="&amp;R25)</f>
        <v>0</v>
      </c>
      <c r="T24" s="39" t="e">
        <f ca="1" t="shared" si="9"/>
        <v>#REF!</v>
      </c>
      <c r="U24" s="40" t="e">
        <f ca="1" t="shared" si="0"/>
        <v>#REF!</v>
      </c>
    </row>
    <row r="25" spans="1:21" ht="15">
      <c r="A25" s="107"/>
      <c r="B25" s="107"/>
      <c r="D25" s="34">
        <f t="shared" si="1"/>
        <v>7.854545454545458</v>
      </c>
      <c r="E25" s="3">
        <f>COUNTIF(Vertices[Degree],"&gt;= "&amp;D25)-COUNTIF(Vertices[Degree],"&gt;="&amp;D26)</f>
        <v>6</v>
      </c>
      <c r="F25" s="41">
        <f t="shared" si="2"/>
        <v>3.927272727272729</v>
      </c>
      <c r="G25" s="42">
        <f>COUNTIF(Vertices[In-Degree],"&gt;= "&amp;F25)-COUNTIF(Vertices[In-Degree],"&gt;="&amp;F26)</f>
        <v>1</v>
      </c>
      <c r="H25" s="41">
        <f t="shared" si="3"/>
        <v>6.272727272727269</v>
      </c>
      <c r="I25" s="42">
        <f>COUNTIF(Vertices[Out-Degree],"&gt;= "&amp;H25)-COUNTIF(Vertices[Out-Degree],"&gt;="&amp;H26)</f>
        <v>0</v>
      </c>
      <c r="J25" s="41">
        <f t="shared" si="4"/>
        <v>35.545454545454554</v>
      </c>
      <c r="K25" s="42">
        <f>COUNTIF(Vertices[Betweenness Centrality],"&gt;= "&amp;J25)-COUNTIF(Vertices[Betweenness Centrality],"&gt;="&amp;J26)</f>
        <v>0</v>
      </c>
      <c r="L25" s="41">
        <f t="shared" si="5"/>
        <v>0.04336741818181815</v>
      </c>
      <c r="M25" s="42">
        <f>COUNTIF(Vertices[Closeness Centrality],"&gt;= "&amp;L25)-COUNTIF(Vertices[Closeness Centrality],"&gt;="&amp;L26)</f>
        <v>0</v>
      </c>
      <c r="N25" s="41">
        <f t="shared" si="6"/>
        <v>0.049796145454545436</v>
      </c>
      <c r="O25" s="42">
        <f>COUNTIF(Vertices[Eigenvector Centrality],"&gt;= "&amp;N25)-COUNTIF(Vertices[Eigenvector Centrality],"&gt;="&amp;N26)</f>
        <v>0</v>
      </c>
      <c r="P25" s="41">
        <f t="shared" si="7"/>
        <v>1.1856333636363647</v>
      </c>
      <c r="Q25" s="42">
        <f>COUNTIF(Vertices[PageRank],"&gt;= "&amp;P25)-COUNTIF(Vertices[PageRank],"&gt;="&amp;P26)</f>
        <v>0</v>
      </c>
      <c r="R25" s="41">
        <f t="shared" si="8"/>
        <v>0.3226839826839831</v>
      </c>
      <c r="S25" s="46">
        <f>COUNTIF(Vertices[Clustering Coefficient],"&gt;= "&amp;R25)-COUNTIF(Vertices[Clustering Coefficient],"&gt;="&amp;R26)</f>
        <v>0</v>
      </c>
      <c r="T25" s="41" t="e">
        <f ca="1" t="shared" si="9"/>
        <v>#REF!</v>
      </c>
      <c r="U25" s="42" t="e">
        <f ca="1" t="shared" si="0"/>
        <v>#REF!</v>
      </c>
    </row>
    <row r="26" spans="1:21" ht="15">
      <c r="A26" s="36" t="s">
        <v>206</v>
      </c>
      <c r="B26" s="36" t="s">
        <v>207</v>
      </c>
      <c r="D26" s="34">
        <f t="shared" si="1"/>
        <v>8.109090909090913</v>
      </c>
      <c r="E26" s="3">
        <f>COUNTIF(Vertices[Degree],"&gt;= "&amp;D26)-COUNTIF(Vertices[Degree],"&gt;="&amp;D28)</f>
        <v>0</v>
      </c>
      <c r="F26" s="39">
        <f t="shared" si="2"/>
        <v>4.0545454545454565</v>
      </c>
      <c r="G26" s="40">
        <f>COUNTIF(Vertices[In-Degree],"&gt;= "&amp;F26)-COUNTIF(Vertices[In-Degree],"&gt;="&amp;F28)</f>
        <v>0</v>
      </c>
      <c r="H26" s="39">
        <f t="shared" si="3"/>
        <v>6.545454545454541</v>
      </c>
      <c r="I26" s="40">
        <f>COUNTIF(Vertices[Out-Degree],"&gt;= "&amp;H26)-COUNTIF(Vertices[Out-Degree],"&gt;="&amp;H28)</f>
        <v>0</v>
      </c>
      <c r="J26" s="39">
        <f t="shared" si="4"/>
        <v>37.0909090909091</v>
      </c>
      <c r="K26" s="40">
        <f>COUNTIF(Vertices[Betweenness Centrality],"&gt;= "&amp;J26)-COUNTIF(Vertices[Betweenness Centrality],"&gt;="&amp;J28)</f>
        <v>0</v>
      </c>
      <c r="L26" s="39">
        <f t="shared" si="5"/>
        <v>0.04385043636363633</v>
      </c>
      <c r="M26" s="40">
        <f>COUNTIF(Vertices[Closeness Centrality],"&gt;= "&amp;L26)-COUNTIF(Vertices[Closeness Centrality],"&gt;="&amp;L28)</f>
        <v>0</v>
      </c>
      <c r="N26" s="39">
        <f t="shared" si="6"/>
        <v>0.05139289090909089</v>
      </c>
      <c r="O26" s="40">
        <f>COUNTIF(Vertices[Eigenvector Centrality],"&gt;= "&amp;N26)-COUNTIF(Vertices[Eigenvector Centrality],"&gt;="&amp;N28)</f>
        <v>0</v>
      </c>
      <c r="P26" s="39">
        <f t="shared" si="7"/>
        <v>1.2165247272727284</v>
      </c>
      <c r="Q26" s="40">
        <f>COUNTIF(Vertices[PageRank],"&gt;= "&amp;P26)-COUNTIF(Vertices[PageRank],"&gt;="&amp;P28)</f>
        <v>0</v>
      </c>
      <c r="R26" s="39">
        <f t="shared" si="8"/>
        <v>0.32822510822510864</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-3</v>
      </c>
      <c r="F27" s="78"/>
      <c r="G27" s="79">
        <f>COUNTIF(Vertices[In-Degree],"&gt;= "&amp;F27)-COUNTIF(Vertices[In-Degree],"&gt;="&amp;F28)</f>
        <v>-5</v>
      </c>
      <c r="H27" s="78"/>
      <c r="I27" s="79">
        <f>COUNTIF(Vertices[Out-Degree],"&gt;= "&amp;H27)-COUNTIF(Vertices[Out-Degree],"&gt;="&amp;H28)</f>
        <v>-3</v>
      </c>
      <c r="J27" s="78"/>
      <c r="K27" s="79">
        <f>COUNTIF(Vertices[Betweenness Centrality],"&gt;= "&amp;J27)-COUNTIF(Vertices[Betweenness Centrality],"&gt;="&amp;J28)</f>
        <v>-2</v>
      </c>
      <c r="L27" s="78"/>
      <c r="M27" s="79">
        <f>COUNTIF(Vertices[Closeness Centrality],"&gt;= "&amp;L27)-COUNTIF(Vertices[Closeness Centrality],"&gt;="&amp;L28)</f>
        <v>-3</v>
      </c>
      <c r="N27" s="78"/>
      <c r="O27" s="79">
        <f>COUNTIF(Vertices[Eigenvector Centrality],"&gt;= "&amp;N27)-COUNTIF(Vertices[Eigenvector Centrality],"&gt;="&amp;N28)</f>
        <v>-9</v>
      </c>
      <c r="P27" s="78"/>
      <c r="Q27" s="79">
        <f>COUNTIF(Vertices[Eigenvector Centrality],"&gt;= "&amp;P27)-COUNTIF(Vertices[Eigenvector Centrality],"&gt;="&amp;P28)</f>
        <v>0</v>
      </c>
      <c r="R27" s="78"/>
      <c r="S27" s="80">
        <f>COUNTIF(Vertices[Clustering Coefficient],"&gt;= "&amp;R27)-COUNTIF(Vertices[Clustering Coefficient],"&gt;="&amp;R28)</f>
        <v>-14</v>
      </c>
      <c r="T27" s="78"/>
      <c r="U27" s="79">
        <f ca="1">COUNTIF(Vertices[Clustering Coefficient],"&gt;= "&amp;T27)-COUNTIF(Vertices[Clustering Coefficient],"&gt;="&amp;T28)</f>
        <v>0</v>
      </c>
    </row>
    <row r="28" spans="4:21" ht="15">
      <c r="D28" s="34">
        <f>D26+($D$57-$D$2)/BinDivisor</f>
        <v>8.363636363636367</v>
      </c>
      <c r="E28" s="3">
        <f>COUNTIF(Vertices[Degree],"&gt;= "&amp;D28)-COUNTIF(Vertices[Degree],"&gt;="&amp;D40)</f>
        <v>0</v>
      </c>
      <c r="F28" s="41">
        <f>F26+($F$57-$F$2)/BinDivisor</f>
        <v>4.181818181818183</v>
      </c>
      <c r="G28" s="42">
        <f>COUNTIF(Vertices[In-Degree],"&gt;= "&amp;F28)-COUNTIF(Vertices[In-Degree],"&gt;="&amp;F40)</f>
        <v>0</v>
      </c>
      <c r="H28" s="41">
        <f>H26+($H$57-$H$2)/BinDivisor</f>
        <v>6.818181818181814</v>
      </c>
      <c r="I28" s="42">
        <f>COUNTIF(Vertices[Out-Degree],"&gt;= "&amp;H28)-COUNTIF(Vertices[Out-Degree],"&gt;="&amp;H40)</f>
        <v>0</v>
      </c>
      <c r="J28" s="41">
        <f>J26+($J$57-$J$2)/BinDivisor</f>
        <v>38.63636363636365</v>
      </c>
      <c r="K28" s="42">
        <f>COUNTIF(Vertices[Betweenness Centrality],"&gt;= "&amp;J28)-COUNTIF(Vertices[Betweenness Centrality],"&gt;="&amp;J40)</f>
        <v>0</v>
      </c>
      <c r="L28" s="41">
        <f>L26+($L$57-$L$2)/BinDivisor</f>
        <v>0.04433345454545451</v>
      </c>
      <c r="M28" s="42">
        <f>COUNTIF(Vertices[Closeness Centrality],"&gt;= "&amp;L28)-COUNTIF(Vertices[Closeness Centrality],"&gt;="&amp;L40)</f>
        <v>0</v>
      </c>
      <c r="N28" s="41">
        <f>N26+($N$57-$N$2)/BinDivisor</f>
        <v>0.05298963636363634</v>
      </c>
      <c r="O28" s="42">
        <f>COUNTIF(Vertices[Eigenvector Centrality],"&gt;= "&amp;N28)-COUNTIF(Vertices[Eigenvector Centrality],"&gt;="&amp;N40)</f>
        <v>0</v>
      </c>
      <c r="P28" s="41">
        <f>P26+($P$57-$P$2)/BinDivisor</f>
        <v>1.2474160909090921</v>
      </c>
      <c r="Q28" s="42">
        <f>COUNTIF(Vertices[PageRank],"&gt;= "&amp;P28)-COUNTIF(Vertices[PageRank],"&gt;="&amp;P40)</f>
        <v>0</v>
      </c>
      <c r="R28" s="41">
        <f>R26+($R$57-$R$2)/BinDivisor</f>
        <v>0.3337662337662342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-3</v>
      </c>
      <c r="F38" s="78"/>
      <c r="G38" s="79">
        <f>COUNTIF(Vertices[In-Degree],"&gt;= "&amp;F38)-COUNTIF(Vertices[In-Degree],"&gt;="&amp;F40)</f>
        <v>-5</v>
      </c>
      <c r="H38" s="78"/>
      <c r="I38" s="79">
        <f>COUNTIF(Vertices[Out-Degree],"&gt;= "&amp;H38)-COUNTIF(Vertices[Out-Degree],"&gt;="&amp;H40)</f>
        <v>-3</v>
      </c>
      <c r="J38" s="78"/>
      <c r="K38" s="79">
        <f>COUNTIF(Vertices[Betweenness Centrality],"&gt;= "&amp;J38)-COUNTIF(Vertices[Betweenness Centrality],"&gt;="&amp;J40)</f>
        <v>-2</v>
      </c>
      <c r="L38" s="78"/>
      <c r="M38" s="79">
        <f>COUNTIF(Vertices[Closeness Centrality],"&gt;= "&amp;L38)-COUNTIF(Vertices[Closeness Centrality],"&gt;="&amp;L40)</f>
        <v>-3</v>
      </c>
      <c r="N38" s="78"/>
      <c r="O38" s="79">
        <f>COUNTIF(Vertices[Eigenvector Centrality],"&gt;= "&amp;N38)-COUNTIF(Vertices[Eigenvector Centrality],"&gt;="&amp;N40)</f>
        <v>-9</v>
      </c>
      <c r="P38" s="78"/>
      <c r="Q38" s="79">
        <f>COUNTIF(Vertices[Eigenvector Centrality],"&gt;= "&amp;P38)-COUNTIF(Vertices[Eigenvector Centrality],"&gt;="&amp;P40)</f>
        <v>0</v>
      </c>
      <c r="R38" s="78"/>
      <c r="S38" s="80">
        <f>COUNTIF(Vertices[Clustering Coefficient],"&gt;= "&amp;R38)-COUNTIF(Vertices[Clustering Coefficient],"&gt;="&amp;R40)</f>
        <v>-14</v>
      </c>
      <c r="T38" s="78"/>
      <c r="U38" s="79">
        <f ca="1">COUNTIF(Vertices[Clustering Coefficient],"&gt;= "&amp;T38)-COUNTIF(Vertices[Clustering Coefficient],"&gt;="&amp;T40)</f>
        <v>0</v>
      </c>
    </row>
    <row r="39" spans="4:21" ht="15">
      <c r="D39" s="34"/>
      <c r="E39" s="3">
        <f>COUNTIF(Vertices[Degree],"&gt;= "&amp;D39)-COUNTIF(Vertices[Degree],"&gt;="&amp;D40)</f>
        <v>-3</v>
      </c>
      <c r="F39" s="78"/>
      <c r="G39" s="79">
        <f>COUNTIF(Vertices[In-Degree],"&gt;= "&amp;F39)-COUNTIF(Vertices[In-Degree],"&gt;="&amp;F40)</f>
        <v>-5</v>
      </c>
      <c r="H39" s="78"/>
      <c r="I39" s="79">
        <f>COUNTIF(Vertices[Out-Degree],"&gt;= "&amp;H39)-COUNTIF(Vertices[Out-Degree],"&gt;="&amp;H40)</f>
        <v>-3</v>
      </c>
      <c r="J39" s="78"/>
      <c r="K39" s="79">
        <f>COUNTIF(Vertices[Betweenness Centrality],"&gt;= "&amp;J39)-COUNTIF(Vertices[Betweenness Centrality],"&gt;="&amp;J40)</f>
        <v>-2</v>
      </c>
      <c r="L39" s="78"/>
      <c r="M39" s="79">
        <f>COUNTIF(Vertices[Closeness Centrality],"&gt;= "&amp;L39)-COUNTIF(Vertices[Closeness Centrality],"&gt;="&amp;L40)</f>
        <v>-3</v>
      </c>
      <c r="N39" s="78"/>
      <c r="O39" s="79">
        <f>COUNTIF(Vertices[Eigenvector Centrality],"&gt;= "&amp;N39)-COUNTIF(Vertices[Eigenvector Centrality],"&gt;="&amp;N40)</f>
        <v>-9</v>
      </c>
      <c r="P39" s="78"/>
      <c r="Q39" s="79">
        <f>COUNTIF(Vertices[Eigenvector Centrality],"&gt;= "&amp;P39)-COUNTIF(Vertices[Eigenvector Centrality],"&gt;="&amp;P40)</f>
        <v>0</v>
      </c>
      <c r="R39" s="78"/>
      <c r="S39" s="80">
        <f>COUNTIF(Vertices[Clustering Coefficient],"&gt;= "&amp;R39)-COUNTIF(Vertices[Clustering Coefficient],"&gt;="&amp;R40)</f>
        <v>-14</v>
      </c>
      <c r="T39" s="78"/>
      <c r="U39" s="79">
        <f ca="1">COUNTIF(Vertices[Clustering Coefficient],"&gt;= "&amp;T39)-COUNTIF(Vertices[Clustering Coefficient],"&gt;="&amp;T40)</f>
        <v>0</v>
      </c>
    </row>
    <row r="40" spans="4:21" ht="15">
      <c r="D40" s="34">
        <f>D28+($D$57-$D$2)/BinDivisor</f>
        <v>8.61818181818182</v>
      </c>
      <c r="E40" s="3">
        <f>COUNTIF(Vertices[Degree],"&gt;= "&amp;D40)-COUNTIF(Vertices[Degree],"&gt;="&amp;D41)</f>
        <v>0</v>
      </c>
      <c r="F40" s="39">
        <f>F28+($F$57-$F$2)/BinDivisor</f>
        <v>4.30909090909091</v>
      </c>
      <c r="G40" s="40">
        <f>COUNTIF(Vertices[In-Degree],"&gt;= "&amp;F40)-COUNTIF(Vertices[In-Degree],"&gt;="&amp;F41)</f>
        <v>0</v>
      </c>
      <c r="H40" s="39">
        <f>H28+($H$57-$H$2)/BinDivisor</f>
        <v>7.090909090909086</v>
      </c>
      <c r="I40" s="40">
        <f>COUNTIF(Vertices[Out-Degree],"&gt;= "&amp;H40)-COUNTIF(Vertices[Out-Degree],"&gt;="&amp;H41)</f>
        <v>0</v>
      </c>
      <c r="J40" s="39">
        <f>J28+($J$57-$J$2)/BinDivisor</f>
        <v>40.181818181818194</v>
      </c>
      <c r="K40" s="40">
        <f>COUNTIF(Vertices[Betweenness Centrality],"&gt;= "&amp;J40)-COUNTIF(Vertices[Betweenness Centrality],"&gt;="&amp;J41)</f>
        <v>0</v>
      </c>
      <c r="L40" s="39">
        <f>L28+($L$57-$L$2)/BinDivisor</f>
        <v>0.04481647272727269</v>
      </c>
      <c r="M40" s="40">
        <f>COUNTIF(Vertices[Closeness Centrality],"&gt;= "&amp;L40)-COUNTIF(Vertices[Closeness Centrality],"&gt;="&amp;L41)</f>
        <v>0</v>
      </c>
      <c r="N40" s="39">
        <f>N28+($N$57-$N$2)/BinDivisor</f>
        <v>0.054586381818181796</v>
      </c>
      <c r="O40" s="40">
        <f>COUNTIF(Vertices[Eigenvector Centrality],"&gt;= "&amp;N40)-COUNTIF(Vertices[Eigenvector Centrality],"&gt;="&amp;N41)</f>
        <v>0</v>
      </c>
      <c r="P40" s="39">
        <f>P28+($P$57-$P$2)/BinDivisor</f>
        <v>1.2783074545454558</v>
      </c>
      <c r="Q40" s="40">
        <f>COUNTIF(Vertices[PageRank],"&gt;= "&amp;P40)-COUNTIF(Vertices[PageRank],"&gt;="&amp;P41)</f>
        <v>0</v>
      </c>
      <c r="R40" s="39">
        <f>R28+($R$57-$R$2)/BinDivisor</f>
        <v>0.3393073593073598</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8.872727272727275</v>
      </c>
      <c r="E41" s="3">
        <f>COUNTIF(Vertices[Degree],"&gt;= "&amp;D41)-COUNTIF(Vertices[Degree],"&gt;="&amp;D42)</f>
        <v>0</v>
      </c>
      <c r="F41" s="41">
        <f aca="true" t="shared" si="11" ref="F41:F56">F40+($F$57-$F$2)/BinDivisor</f>
        <v>4.436363636363637</v>
      </c>
      <c r="G41" s="42">
        <f>COUNTIF(Vertices[In-Degree],"&gt;= "&amp;F41)-COUNTIF(Vertices[In-Degree],"&gt;="&amp;F42)</f>
        <v>0</v>
      </c>
      <c r="H41" s="41">
        <f aca="true" t="shared" si="12" ref="H41:H56">H40+($H$57-$H$2)/BinDivisor</f>
        <v>7.363636363636359</v>
      </c>
      <c r="I41" s="42">
        <f>COUNTIF(Vertices[Out-Degree],"&gt;= "&amp;H41)-COUNTIF(Vertices[Out-Degree],"&gt;="&amp;H42)</f>
        <v>0</v>
      </c>
      <c r="J41" s="41">
        <f aca="true" t="shared" si="13" ref="J41:J56">J40+($J$57-$J$2)/BinDivisor</f>
        <v>41.72727272727274</v>
      </c>
      <c r="K41" s="42">
        <f>COUNTIF(Vertices[Betweenness Centrality],"&gt;= "&amp;J41)-COUNTIF(Vertices[Betweenness Centrality],"&gt;="&amp;J42)</f>
        <v>0</v>
      </c>
      <c r="L41" s="41">
        <f aca="true" t="shared" si="14" ref="L41:L56">L40+($L$57-$L$2)/BinDivisor</f>
        <v>0.04529949090909087</v>
      </c>
      <c r="M41" s="42">
        <f>COUNTIF(Vertices[Closeness Centrality],"&gt;= "&amp;L41)-COUNTIF(Vertices[Closeness Centrality],"&gt;="&amp;L42)</f>
        <v>0</v>
      </c>
      <c r="N41" s="41">
        <f aca="true" t="shared" si="15" ref="N41:N56">N40+($N$57-$N$2)/BinDivisor</f>
        <v>0.05618312727272725</v>
      </c>
      <c r="O41" s="42">
        <f>COUNTIF(Vertices[Eigenvector Centrality],"&gt;= "&amp;N41)-COUNTIF(Vertices[Eigenvector Centrality],"&gt;="&amp;N42)</f>
        <v>0</v>
      </c>
      <c r="P41" s="41">
        <f aca="true" t="shared" si="16" ref="P41:P56">P40+($P$57-$P$2)/BinDivisor</f>
        <v>1.3091988181818195</v>
      </c>
      <c r="Q41" s="42">
        <f>COUNTIF(Vertices[PageRank],"&gt;= "&amp;P41)-COUNTIF(Vertices[PageRank],"&gt;="&amp;P42)</f>
        <v>0</v>
      </c>
      <c r="R41" s="41">
        <f aca="true" t="shared" si="17" ref="R41:R56">R40+($R$57-$R$2)/BinDivisor</f>
        <v>0.34484848484848535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9.127272727272729</v>
      </c>
      <c r="E42" s="3">
        <f>COUNTIF(Vertices[Degree],"&gt;= "&amp;D42)-COUNTIF(Vertices[Degree],"&gt;="&amp;D43)</f>
        <v>0</v>
      </c>
      <c r="F42" s="39">
        <f t="shared" si="11"/>
        <v>4.563636363636364</v>
      </c>
      <c r="G42" s="40">
        <f>COUNTIF(Vertices[In-Degree],"&gt;= "&amp;F42)-COUNTIF(Vertices[In-Degree],"&gt;="&amp;F43)</f>
        <v>0</v>
      </c>
      <c r="H42" s="39">
        <f t="shared" si="12"/>
        <v>7.636363636363631</v>
      </c>
      <c r="I42" s="40">
        <f>COUNTIF(Vertices[Out-Degree],"&gt;= "&amp;H42)-COUNTIF(Vertices[Out-Degree],"&gt;="&amp;H43)</f>
        <v>0</v>
      </c>
      <c r="J42" s="39">
        <f t="shared" si="13"/>
        <v>43.27272727272729</v>
      </c>
      <c r="K42" s="40">
        <f>COUNTIF(Vertices[Betweenness Centrality],"&gt;= "&amp;J42)-COUNTIF(Vertices[Betweenness Centrality],"&gt;="&amp;J43)</f>
        <v>0</v>
      </c>
      <c r="L42" s="39">
        <f t="shared" si="14"/>
        <v>0.04578250909090905</v>
      </c>
      <c r="M42" s="40">
        <f>COUNTIF(Vertices[Closeness Centrality],"&gt;= "&amp;L42)-COUNTIF(Vertices[Closeness Centrality],"&gt;="&amp;L43)</f>
        <v>0</v>
      </c>
      <c r="N42" s="39">
        <f t="shared" si="15"/>
        <v>0.0577798727272727</v>
      </c>
      <c r="O42" s="40">
        <f>COUNTIF(Vertices[Eigenvector Centrality],"&gt;= "&amp;N42)-COUNTIF(Vertices[Eigenvector Centrality],"&gt;="&amp;N43)</f>
        <v>0</v>
      </c>
      <c r="P42" s="39">
        <f t="shared" si="16"/>
        <v>1.3400901818181832</v>
      </c>
      <c r="Q42" s="40">
        <f>COUNTIF(Vertices[PageRank],"&gt;= "&amp;P42)-COUNTIF(Vertices[PageRank],"&gt;="&amp;P43)</f>
        <v>0</v>
      </c>
      <c r="R42" s="39">
        <f t="shared" si="17"/>
        <v>0.3503896103896109</v>
      </c>
      <c r="S42" s="45">
        <f>COUNTIF(Vertices[Clustering Coefficient],"&gt;= "&amp;R42)-COUNTIF(Vertices[Clustering Coefficient],"&gt;="&amp;R43)</f>
        <v>0</v>
      </c>
      <c r="T42" s="39" t="e">
        <f ca="1" t="shared" si="18"/>
        <v>#REF!</v>
      </c>
      <c r="U42" s="40" t="e">
        <f ca="1" t="shared" si="0"/>
        <v>#REF!</v>
      </c>
    </row>
    <row r="43" spans="1:21" ht="15">
      <c r="A43" s="35"/>
      <c r="B43" s="35"/>
      <c r="D43" s="34">
        <f t="shared" si="10"/>
        <v>9.381818181818183</v>
      </c>
      <c r="E43" s="3">
        <f>COUNTIF(Vertices[Degree],"&gt;= "&amp;D43)-COUNTIF(Vertices[Degree],"&gt;="&amp;D44)</f>
        <v>0</v>
      </c>
      <c r="F43" s="41">
        <f t="shared" si="11"/>
        <v>4.690909090909091</v>
      </c>
      <c r="G43" s="42">
        <f>COUNTIF(Vertices[In-Degree],"&gt;= "&amp;F43)-COUNTIF(Vertices[In-Degree],"&gt;="&amp;F44)</f>
        <v>0</v>
      </c>
      <c r="H43" s="41">
        <f t="shared" si="12"/>
        <v>7.909090909090904</v>
      </c>
      <c r="I43" s="42">
        <f>COUNTIF(Vertices[Out-Degree],"&gt;= "&amp;H43)-COUNTIF(Vertices[Out-Degree],"&gt;="&amp;H44)</f>
        <v>1</v>
      </c>
      <c r="J43" s="41">
        <f t="shared" si="13"/>
        <v>44.818181818181834</v>
      </c>
      <c r="K43" s="42">
        <f>COUNTIF(Vertices[Betweenness Centrality],"&gt;= "&amp;J43)-COUNTIF(Vertices[Betweenness Centrality],"&gt;="&amp;J44)</f>
        <v>0</v>
      </c>
      <c r="L43" s="41">
        <f t="shared" si="14"/>
        <v>0.04626552727272723</v>
      </c>
      <c r="M43" s="42">
        <f>COUNTIF(Vertices[Closeness Centrality],"&gt;= "&amp;L43)-COUNTIF(Vertices[Closeness Centrality],"&gt;="&amp;L44)</f>
        <v>0</v>
      </c>
      <c r="N43" s="41">
        <f t="shared" si="15"/>
        <v>0.05937661818181816</v>
      </c>
      <c r="O43" s="42">
        <f>COUNTIF(Vertices[Eigenvector Centrality],"&gt;= "&amp;N43)-COUNTIF(Vertices[Eigenvector Centrality],"&gt;="&amp;N44)</f>
        <v>0</v>
      </c>
      <c r="P43" s="41">
        <f t="shared" si="16"/>
        <v>1.3709815454545469</v>
      </c>
      <c r="Q43" s="42">
        <f>COUNTIF(Vertices[PageRank],"&gt;= "&amp;P43)-COUNTIF(Vertices[PageRank],"&gt;="&amp;P44)</f>
        <v>0</v>
      </c>
      <c r="R43" s="41">
        <f t="shared" si="17"/>
        <v>0.3559307359307365</v>
      </c>
      <c r="S43" s="46">
        <f>COUNTIF(Vertices[Clustering Coefficient],"&gt;= "&amp;R43)-COUNTIF(Vertices[Clustering Coefficient],"&gt;="&amp;R44)</f>
        <v>0</v>
      </c>
      <c r="T43" s="41" t="e">
        <f ca="1" t="shared" si="18"/>
        <v>#REF!</v>
      </c>
      <c r="U43" s="42" t="e">
        <f ca="1" t="shared" si="0"/>
        <v>#REF!</v>
      </c>
    </row>
    <row r="44" spans="1:21" ht="15">
      <c r="A44" s="35"/>
      <c r="B44" s="35"/>
      <c r="D44" s="34">
        <f t="shared" si="10"/>
        <v>9.636363636363637</v>
      </c>
      <c r="E44" s="3">
        <f>COUNTIF(Vertices[Degree],"&gt;= "&amp;D44)-COUNTIF(Vertices[Degree],"&gt;="&amp;D45)</f>
        <v>0</v>
      </c>
      <c r="F44" s="39">
        <f t="shared" si="11"/>
        <v>4.818181818181818</v>
      </c>
      <c r="G44" s="40">
        <f>COUNTIF(Vertices[In-Degree],"&gt;= "&amp;F44)-COUNTIF(Vertices[In-Degree],"&gt;="&amp;F45)</f>
        <v>0</v>
      </c>
      <c r="H44" s="39">
        <f t="shared" si="12"/>
        <v>8.181818181818176</v>
      </c>
      <c r="I44" s="40">
        <f>COUNTIF(Vertices[Out-Degree],"&gt;= "&amp;H44)-COUNTIF(Vertices[Out-Degree],"&gt;="&amp;H45)</f>
        <v>0</v>
      </c>
      <c r="J44" s="39">
        <f t="shared" si="13"/>
        <v>46.36363636363638</v>
      </c>
      <c r="K44" s="40">
        <f>COUNTIF(Vertices[Betweenness Centrality],"&gt;= "&amp;J44)-COUNTIF(Vertices[Betweenness Centrality],"&gt;="&amp;J45)</f>
        <v>0</v>
      </c>
      <c r="L44" s="39">
        <f t="shared" si="14"/>
        <v>0.04674854545454541</v>
      </c>
      <c r="M44" s="40">
        <f>COUNTIF(Vertices[Closeness Centrality],"&gt;= "&amp;L44)-COUNTIF(Vertices[Closeness Centrality],"&gt;="&amp;L45)</f>
        <v>0</v>
      </c>
      <c r="N44" s="39">
        <f t="shared" si="15"/>
        <v>0.06097336363636361</v>
      </c>
      <c r="O44" s="40">
        <f>COUNTIF(Vertices[Eigenvector Centrality],"&gt;= "&amp;N44)-COUNTIF(Vertices[Eigenvector Centrality],"&gt;="&amp;N45)</f>
        <v>0</v>
      </c>
      <c r="P44" s="39">
        <f t="shared" si="16"/>
        <v>1.4018729090909106</v>
      </c>
      <c r="Q44" s="40">
        <f>COUNTIF(Vertices[PageRank],"&gt;= "&amp;P44)-COUNTIF(Vertices[PageRank],"&gt;="&amp;P45)</f>
        <v>0</v>
      </c>
      <c r="R44" s="39">
        <f t="shared" si="17"/>
        <v>0.36147186147186205</v>
      </c>
      <c r="S44" s="45">
        <f>COUNTIF(Vertices[Clustering Coefficient],"&gt;= "&amp;R44)-COUNTIF(Vertices[Clustering Coefficient],"&gt;="&amp;R45)</f>
        <v>0</v>
      </c>
      <c r="T44" s="39" t="e">
        <f ca="1" t="shared" si="18"/>
        <v>#REF!</v>
      </c>
      <c r="U44" s="40" t="e">
        <f ca="1" t="shared" si="0"/>
        <v>#REF!</v>
      </c>
    </row>
    <row r="45" spans="4:21" ht="15">
      <c r="D45" s="34">
        <f t="shared" si="10"/>
        <v>9.89090909090909</v>
      </c>
      <c r="E45" s="3">
        <f>COUNTIF(Vertices[Degree],"&gt;= "&amp;D45)-COUNTIF(Vertices[Degree],"&gt;="&amp;D46)</f>
        <v>0</v>
      </c>
      <c r="F45" s="41">
        <f t="shared" si="11"/>
        <v>4.945454545454545</v>
      </c>
      <c r="G45" s="42">
        <f>COUNTIF(Vertices[In-Degree],"&gt;= "&amp;F45)-COUNTIF(Vertices[In-Degree],"&gt;="&amp;F46)</f>
        <v>1</v>
      </c>
      <c r="H45" s="41">
        <f t="shared" si="12"/>
        <v>8.45454545454545</v>
      </c>
      <c r="I45" s="42">
        <f>COUNTIF(Vertices[Out-Degree],"&gt;= "&amp;H45)-COUNTIF(Vertices[Out-Degree],"&gt;="&amp;H46)</f>
        <v>0</v>
      </c>
      <c r="J45" s="41">
        <f t="shared" si="13"/>
        <v>47.90909090909093</v>
      </c>
      <c r="K45" s="42">
        <f>COUNTIF(Vertices[Betweenness Centrality],"&gt;= "&amp;J45)-COUNTIF(Vertices[Betweenness Centrality],"&gt;="&amp;J46)</f>
        <v>0</v>
      </c>
      <c r="L45" s="41">
        <f t="shared" si="14"/>
        <v>0.04723156363636359</v>
      </c>
      <c r="M45" s="42">
        <f>COUNTIF(Vertices[Closeness Centrality],"&gt;= "&amp;L45)-COUNTIF(Vertices[Closeness Centrality],"&gt;="&amp;L46)</f>
        <v>0</v>
      </c>
      <c r="N45" s="41">
        <f t="shared" si="15"/>
        <v>0.06257010909090907</v>
      </c>
      <c r="O45" s="42">
        <f>COUNTIF(Vertices[Eigenvector Centrality],"&gt;= "&amp;N45)-COUNTIF(Vertices[Eigenvector Centrality],"&gt;="&amp;N46)</f>
        <v>0</v>
      </c>
      <c r="P45" s="41">
        <f t="shared" si="16"/>
        <v>1.4327642727272742</v>
      </c>
      <c r="Q45" s="42">
        <f>COUNTIF(Vertices[PageRank],"&gt;= "&amp;P45)-COUNTIF(Vertices[PageRank],"&gt;="&amp;P46)</f>
        <v>0</v>
      </c>
      <c r="R45" s="41">
        <f t="shared" si="17"/>
        <v>0.3670129870129876</v>
      </c>
      <c r="S45" s="46">
        <f>COUNTIF(Vertices[Clustering Coefficient],"&gt;= "&amp;R45)-COUNTIF(Vertices[Clustering Coefficient],"&gt;="&amp;R46)</f>
        <v>0</v>
      </c>
      <c r="T45" s="41" t="e">
        <f ca="1" t="shared" si="18"/>
        <v>#REF!</v>
      </c>
      <c r="U45" s="42" t="e">
        <f ca="1" t="shared" si="0"/>
        <v>#REF!</v>
      </c>
    </row>
    <row r="46" spans="4:21" ht="15">
      <c r="D46" s="34">
        <f t="shared" si="10"/>
        <v>10.145454545454545</v>
      </c>
      <c r="E46" s="3">
        <f>COUNTIF(Vertices[Degree],"&gt;= "&amp;D46)-COUNTIF(Vertices[Degree],"&gt;="&amp;D47)</f>
        <v>0</v>
      </c>
      <c r="F46" s="39">
        <f t="shared" si="11"/>
        <v>5.072727272727272</v>
      </c>
      <c r="G46" s="40">
        <f>COUNTIF(Vertices[In-Degree],"&gt;= "&amp;F46)-COUNTIF(Vertices[In-Degree],"&gt;="&amp;F47)</f>
        <v>0</v>
      </c>
      <c r="H46" s="39">
        <f t="shared" si="12"/>
        <v>8.727272727272723</v>
      </c>
      <c r="I46" s="40">
        <f>COUNTIF(Vertices[Out-Degree],"&gt;= "&amp;H46)-COUNTIF(Vertices[Out-Degree],"&gt;="&amp;H47)</f>
        <v>0</v>
      </c>
      <c r="J46" s="39">
        <f t="shared" si="13"/>
        <v>49.454545454545475</v>
      </c>
      <c r="K46" s="40">
        <f>COUNTIF(Vertices[Betweenness Centrality],"&gt;= "&amp;J46)-COUNTIF(Vertices[Betweenness Centrality],"&gt;="&amp;J47)</f>
        <v>1</v>
      </c>
      <c r="L46" s="39">
        <f t="shared" si="14"/>
        <v>0.04771458181818177</v>
      </c>
      <c r="M46" s="40">
        <f>COUNTIF(Vertices[Closeness Centrality],"&gt;= "&amp;L46)-COUNTIF(Vertices[Closeness Centrality],"&gt;="&amp;L47)</f>
        <v>0</v>
      </c>
      <c r="N46" s="39">
        <f t="shared" si="15"/>
        <v>0.06416685454545452</v>
      </c>
      <c r="O46" s="40">
        <f>COUNTIF(Vertices[Eigenvector Centrality],"&gt;= "&amp;N46)-COUNTIF(Vertices[Eigenvector Centrality],"&gt;="&amp;N47)</f>
        <v>0</v>
      </c>
      <c r="P46" s="39">
        <f t="shared" si="16"/>
        <v>1.463655636363638</v>
      </c>
      <c r="Q46" s="40">
        <f>COUNTIF(Vertices[PageRank],"&gt;= "&amp;P46)-COUNTIF(Vertices[PageRank],"&gt;="&amp;P47)</f>
        <v>0</v>
      </c>
      <c r="R46" s="39">
        <f t="shared" si="17"/>
        <v>0.3725541125541132</v>
      </c>
      <c r="S46" s="45">
        <f>COUNTIF(Vertices[Clustering Coefficient],"&gt;= "&amp;R46)-COUNTIF(Vertices[Clustering Coefficient],"&gt;="&amp;R47)</f>
        <v>0</v>
      </c>
      <c r="T46" s="39" t="e">
        <f ca="1" t="shared" si="18"/>
        <v>#REF!</v>
      </c>
      <c r="U46" s="40" t="e">
        <f ca="1" t="shared" si="0"/>
        <v>#REF!</v>
      </c>
    </row>
    <row r="47" spans="4:21" ht="15">
      <c r="D47" s="34">
        <f t="shared" si="10"/>
        <v>10.399999999999999</v>
      </c>
      <c r="E47" s="3">
        <f>COUNTIF(Vertices[Degree],"&gt;= "&amp;D47)-COUNTIF(Vertices[Degree],"&gt;="&amp;D48)</f>
        <v>0</v>
      </c>
      <c r="F47" s="41">
        <f t="shared" si="11"/>
        <v>5.199999999999999</v>
      </c>
      <c r="G47" s="42">
        <f>COUNTIF(Vertices[In-Degree],"&gt;= "&amp;F47)-COUNTIF(Vertices[In-Degree],"&gt;="&amp;F48)</f>
        <v>0</v>
      </c>
      <c r="H47" s="41">
        <f t="shared" si="12"/>
        <v>8.999999999999996</v>
      </c>
      <c r="I47" s="42">
        <f>COUNTIF(Vertices[Out-Degree],"&gt;= "&amp;H47)-COUNTIF(Vertices[Out-Degree],"&gt;="&amp;H48)</f>
        <v>0</v>
      </c>
      <c r="J47" s="41">
        <f t="shared" si="13"/>
        <v>51.00000000000002</v>
      </c>
      <c r="K47" s="42">
        <f>COUNTIF(Vertices[Betweenness Centrality],"&gt;= "&amp;J47)-COUNTIF(Vertices[Betweenness Centrality],"&gt;="&amp;J48)</f>
        <v>0</v>
      </c>
      <c r="L47" s="41">
        <f t="shared" si="14"/>
        <v>0.04819759999999995</v>
      </c>
      <c r="M47" s="42">
        <f>COUNTIF(Vertices[Closeness Centrality],"&gt;= "&amp;L47)-COUNTIF(Vertices[Closeness Centrality],"&gt;="&amp;L48)</f>
        <v>0</v>
      </c>
      <c r="N47" s="41">
        <f t="shared" si="15"/>
        <v>0.06576359999999998</v>
      </c>
      <c r="O47" s="42">
        <f>COUNTIF(Vertices[Eigenvector Centrality],"&gt;= "&amp;N47)-COUNTIF(Vertices[Eigenvector Centrality],"&gt;="&amp;N48)</f>
        <v>0</v>
      </c>
      <c r="P47" s="41">
        <f t="shared" si="16"/>
        <v>1.4945470000000016</v>
      </c>
      <c r="Q47" s="42">
        <f>COUNTIF(Vertices[PageRank],"&gt;= "&amp;P47)-COUNTIF(Vertices[PageRank],"&gt;="&amp;P48)</f>
        <v>0</v>
      </c>
      <c r="R47" s="41">
        <f t="shared" si="17"/>
        <v>0.37809523809523876</v>
      </c>
      <c r="S47" s="46">
        <f>COUNTIF(Vertices[Clustering Coefficient],"&gt;= "&amp;R47)-COUNTIF(Vertices[Clustering Coefficient],"&gt;="&amp;R48)</f>
        <v>0</v>
      </c>
      <c r="T47" s="41" t="e">
        <f ca="1" t="shared" si="18"/>
        <v>#REF!</v>
      </c>
      <c r="U47" s="42" t="e">
        <f ca="1" t="shared" si="0"/>
        <v>#REF!</v>
      </c>
    </row>
    <row r="48" spans="4:21" ht="15">
      <c r="D48" s="34">
        <f t="shared" si="10"/>
        <v>10.654545454545453</v>
      </c>
      <c r="E48" s="3">
        <f>COUNTIF(Vertices[Degree],"&gt;= "&amp;D48)-COUNTIF(Vertices[Degree],"&gt;="&amp;D49)</f>
        <v>0</v>
      </c>
      <c r="F48" s="39">
        <f t="shared" si="11"/>
        <v>5.327272727272726</v>
      </c>
      <c r="G48" s="40">
        <f>COUNTIF(Vertices[In-Degree],"&gt;= "&amp;F48)-COUNTIF(Vertices[In-Degree],"&gt;="&amp;F49)</f>
        <v>0</v>
      </c>
      <c r="H48" s="39">
        <f t="shared" si="12"/>
        <v>9.27272727272727</v>
      </c>
      <c r="I48" s="40">
        <f>COUNTIF(Vertices[Out-Degree],"&gt;= "&amp;H48)-COUNTIF(Vertices[Out-Degree],"&gt;="&amp;H49)</f>
        <v>0</v>
      </c>
      <c r="J48" s="39">
        <f t="shared" si="13"/>
        <v>52.54545454545457</v>
      </c>
      <c r="K48" s="40">
        <f>COUNTIF(Vertices[Betweenness Centrality],"&gt;= "&amp;J48)-COUNTIF(Vertices[Betweenness Centrality],"&gt;="&amp;J49)</f>
        <v>0</v>
      </c>
      <c r="L48" s="39">
        <f t="shared" si="14"/>
        <v>0.04868061818181813</v>
      </c>
      <c r="M48" s="40">
        <f>COUNTIF(Vertices[Closeness Centrality],"&gt;= "&amp;L48)-COUNTIF(Vertices[Closeness Centrality],"&gt;="&amp;L49)</f>
        <v>0</v>
      </c>
      <c r="N48" s="39">
        <f t="shared" si="15"/>
        <v>0.06736034545454543</v>
      </c>
      <c r="O48" s="40">
        <f>COUNTIF(Vertices[Eigenvector Centrality],"&gt;= "&amp;N48)-COUNTIF(Vertices[Eigenvector Centrality],"&gt;="&amp;N49)</f>
        <v>0</v>
      </c>
      <c r="P48" s="39">
        <f t="shared" si="16"/>
        <v>1.5254383636363653</v>
      </c>
      <c r="Q48" s="40">
        <f>COUNTIF(Vertices[PageRank],"&gt;= "&amp;P48)-COUNTIF(Vertices[PageRank],"&gt;="&amp;P49)</f>
        <v>0</v>
      </c>
      <c r="R48" s="39">
        <f t="shared" si="17"/>
        <v>0.38363636363636433</v>
      </c>
      <c r="S48" s="45">
        <f>COUNTIF(Vertices[Clustering Coefficient],"&gt;= "&amp;R48)-COUNTIF(Vertices[Clustering Coefficient],"&gt;="&amp;R49)</f>
        <v>0</v>
      </c>
      <c r="T48" s="39" t="e">
        <f ca="1" t="shared" si="18"/>
        <v>#REF!</v>
      </c>
      <c r="U48" s="40" t="e">
        <f ca="1" t="shared" si="0"/>
        <v>#REF!</v>
      </c>
    </row>
    <row r="49" spans="4:21" ht="15">
      <c r="D49" s="34">
        <f t="shared" si="10"/>
        <v>10.909090909090907</v>
      </c>
      <c r="E49" s="3">
        <f>COUNTIF(Vertices[Degree],"&gt;= "&amp;D49)-COUNTIF(Vertices[Degree],"&gt;="&amp;D50)</f>
        <v>0</v>
      </c>
      <c r="F49" s="41">
        <f t="shared" si="11"/>
        <v>5.454545454545453</v>
      </c>
      <c r="G49" s="42">
        <f>COUNTIF(Vertices[In-Degree],"&gt;= "&amp;F49)-COUNTIF(Vertices[In-Degree],"&gt;="&amp;F50)</f>
        <v>0</v>
      </c>
      <c r="H49" s="41">
        <f t="shared" si="12"/>
        <v>9.545454545454543</v>
      </c>
      <c r="I49" s="42">
        <f>COUNTIF(Vertices[Out-Degree],"&gt;= "&amp;H49)-COUNTIF(Vertices[Out-Degree],"&gt;="&amp;H50)</f>
        <v>0</v>
      </c>
      <c r="J49" s="41">
        <f t="shared" si="13"/>
        <v>54.090909090909115</v>
      </c>
      <c r="K49" s="42">
        <f>COUNTIF(Vertices[Betweenness Centrality],"&gt;= "&amp;J49)-COUNTIF(Vertices[Betweenness Centrality],"&gt;="&amp;J50)</f>
        <v>0</v>
      </c>
      <c r="L49" s="41">
        <f t="shared" si="14"/>
        <v>0.04916363636363631</v>
      </c>
      <c r="M49" s="42">
        <f>COUNTIF(Vertices[Closeness Centrality],"&gt;= "&amp;L49)-COUNTIF(Vertices[Closeness Centrality],"&gt;="&amp;L50)</f>
        <v>0</v>
      </c>
      <c r="N49" s="41">
        <f t="shared" si="15"/>
        <v>0.06895709090909088</v>
      </c>
      <c r="O49" s="42">
        <f>COUNTIF(Vertices[Eigenvector Centrality],"&gt;= "&amp;N49)-COUNTIF(Vertices[Eigenvector Centrality],"&gt;="&amp;N50)</f>
        <v>0</v>
      </c>
      <c r="P49" s="41">
        <f t="shared" si="16"/>
        <v>1.556329727272729</v>
      </c>
      <c r="Q49" s="42">
        <f>COUNTIF(Vertices[PageRank],"&gt;= "&amp;P49)-COUNTIF(Vertices[PageRank],"&gt;="&amp;P50)</f>
        <v>0</v>
      </c>
      <c r="R49" s="41">
        <f t="shared" si="17"/>
        <v>0.3891774891774899</v>
      </c>
      <c r="S49" s="46">
        <f>COUNTIF(Vertices[Clustering Coefficient],"&gt;= "&amp;R49)-COUNTIF(Vertices[Clustering Coefficient],"&gt;="&amp;R50)</f>
        <v>0</v>
      </c>
      <c r="T49" s="41" t="e">
        <f ca="1" t="shared" si="18"/>
        <v>#REF!</v>
      </c>
      <c r="U49" s="42" t="e">
        <f ca="1" t="shared" si="0"/>
        <v>#REF!</v>
      </c>
    </row>
    <row r="50" spans="4:21" ht="15">
      <c r="D50" s="34">
        <f t="shared" si="10"/>
        <v>11.16363636363636</v>
      </c>
      <c r="E50" s="3">
        <f>COUNTIF(Vertices[Degree],"&gt;= "&amp;D50)-COUNTIF(Vertices[Degree],"&gt;="&amp;D51)</f>
        <v>0</v>
      </c>
      <c r="F50" s="39">
        <f t="shared" si="11"/>
        <v>5.58181818181818</v>
      </c>
      <c r="G50" s="40">
        <f>COUNTIF(Vertices[In-Degree],"&gt;= "&amp;F50)-COUNTIF(Vertices[In-Degree],"&gt;="&amp;F51)</f>
        <v>0</v>
      </c>
      <c r="H50" s="39">
        <f t="shared" si="12"/>
        <v>9.818181818181817</v>
      </c>
      <c r="I50" s="40">
        <f>COUNTIF(Vertices[Out-Degree],"&gt;= "&amp;H50)-COUNTIF(Vertices[Out-Degree],"&gt;="&amp;H51)</f>
        <v>1</v>
      </c>
      <c r="J50" s="39">
        <f t="shared" si="13"/>
        <v>55.63636363636366</v>
      </c>
      <c r="K50" s="40">
        <f>COUNTIF(Vertices[Betweenness Centrality],"&gt;= "&amp;J50)-COUNTIF(Vertices[Betweenness Centrality],"&gt;="&amp;J51)</f>
        <v>0</v>
      </c>
      <c r="L50" s="39">
        <f t="shared" si="14"/>
        <v>0.04964665454545449</v>
      </c>
      <c r="M50" s="40">
        <f>COUNTIF(Vertices[Closeness Centrality],"&gt;= "&amp;L50)-COUNTIF(Vertices[Closeness Centrality],"&gt;="&amp;L51)</f>
        <v>1</v>
      </c>
      <c r="N50" s="39">
        <f t="shared" si="15"/>
        <v>0.07055383636363634</v>
      </c>
      <c r="O50" s="40">
        <f>COUNTIF(Vertices[Eigenvector Centrality],"&gt;= "&amp;N50)-COUNTIF(Vertices[Eigenvector Centrality],"&gt;="&amp;N51)</f>
        <v>0</v>
      </c>
      <c r="P50" s="39">
        <f t="shared" si="16"/>
        <v>1.5872210909090927</v>
      </c>
      <c r="Q50" s="40">
        <f>COUNTIF(Vertices[PageRank],"&gt;= "&amp;P50)-COUNTIF(Vertices[PageRank],"&gt;="&amp;P51)</f>
        <v>0</v>
      </c>
      <c r="R50" s="39">
        <f t="shared" si="17"/>
        <v>0.39471861471861547</v>
      </c>
      <c r="S50" s="45">
        <f>COUNTIF(Vertices[Clustering Coefficient],"&gt;= "&amp;R50)-COUNTIF(Vertices[Clustering Coefficient],"&gt;="&amp;R51)</f>
        <v>1</v>
      </c>
      <c r="T50" s="39" t="e">
        <f ca="1" t="shared" si="18"/>
        <v>#REF!</v>
      </c>
      <c r="U50" s="40" t="e">
        <f ca="1" t="shared" si="0"/>
        <v>#REF!</v>
      </c>
    </row>
    <row r="51" spans="4:21" ht="15">
      <c r="D51" s="34">
        <f t="shared" si="10"/>
        <v>11.418181818181814</v>
      </c>
      <c r="E51" s="3">
        <f>COUNTIF(Vertices[Degree],"&gt;= "&amp;D51)-COUNTIF(Vertices[Degree],"&gt;="&amp;D52)</f>
        <v>0</v>
      </c>
      <c r="F51" s="41">
        <f t="shared" si="11"/>
        <v>5.709090909090907</v>
      </c>
      <c r="G51" s="42">
        <f>COUNTIF(Vertices[In-Degree],"&gt;= "&amp;F51)-COUNTIF(Vertices[In-Degree],"&gt;="&amp;F52)</f>
        <v>0</v>
      </c>
      <c r="H51" s="41">
        <f t="shared" si="12"/>
        <v>10.09090909090909</v>
      </c>
      <c r="I51" s="42">
        <f>COUNTIF(Vertices[Out-Degree],"&gt;= "&amp;H51)-COUNTIF(Vertices[Out-Degree],"&gt;="&amp;H52)</f>
        <v>0</v>
      </c>
      <c r="J51" s="41">
        <f t="shared" si="13"/>
        <v>57.18181818181821</v>
      </c>
      <c r="K51" s="42">
        <f>COUNTIF(Vertices[Betweenness Centrality],"&gt;= "&amp;J51)-COUNTIF(Vertices[Betweenness Centrality],"&gt;="&amp;J52)</f>
        <v>0</v>
      </c>
      <c r="L51" s="41">
        <f t="shared" si="14"/>
        <v>0.05012967272727267</v>
      </c>
      <c r="M51" s="42">
        <f>COUNTIF(Vertices[Closeness Centrality],"&gt;= "&amp;L51)-COUNTIF(Vertices[Closeness Centrality],"&gt;="&amp;L52)</f>
        <v>0</v>
      </c>
      <c r="N51" s="41">
        <f t="shared" si="15"/>
        <v>0.07215058181818179</v>
      </c>
      <c r="O51" s="42">
        <f>COUNTIF(Vertices[Eigenvector Centrality],"&gt;= "&amp;N51)-COUNTIF(Vertices[Eigenvector Centrality],"&gt;="&amp;N52)</f>
        <v>0</v>
      </c>
      <c r="P51" s="41">
        <f t="shared" si="16"/>
        <v>1.6181124545454564</v>
      </c>
      <c r="Q51" s="42">
        <f>COUNTIF(Vertices[PageRank],"&gt;= "&amp;P51)-COUNTIF(Vertices[PageRank],"&gt;="&amp;P52)</f>
        <v>1</v>
      </c>
      <c r="R51" s="41">
        <f t="shared" si="17"/>
        <v>0.40025974025974104</v>
      </c>
      <c r="S51" s="46">
        <f>COUNTIF(Vertices[Clustering Coefficient],"&gt;= "&amp;R51)-COUNTIF(Vertices[Clustering Coefficient],"&gt;="&amp;R52)</f>
        <v>0</v>
      </c>
      <c r="T51" s="41" t="e">
        <f ca="1" t="shared" si="18"/>
        <v>#REF!</v>
      </c>
      <c r="U51" s="42" t="e">
        <f ca="1" t="shared" si="0"/>
        <v>#REF!</v>
      </c>
    </row>
    <row r="52" spans="4:21" ht="15">
      <c r="D52" s="34">
        <f t="shared" si="10"/>
        <v>11.672727272727268</v>
      </c>
      <c r="E52" s="3">
        <f>COUNTIF(Vertices[Degree],"&gt;= "&amp;D52)-COUNTIF(Vertices[Degree],"&gt;="&amp;D53)</f>
        <v>0</v>
      </c>
      <c r="F52" s="39">
        <f t="shared" si="11"/>
        <v>5.836363636363634</v>
      </c>
      <c r="G52" s="40">
        <f>COUNTIF(Vertices[In-Degree],"&gt;= "&amp;F52)-COUNTIF(Vertices[In-Degree],"&gt;="&amp;F53)</f>
        <v>0</v>
      </c>
      <c r="H52" s="39">
        <f t="shared" si="12"/>
        <v>10.363636363636363</v>
      </c>
      <c r="I52" s="40">
        <f>COUNTIF(Vertices[Out-Degree],"&gt;= "&amp;H52)-COUNTIF(Vertices[Out-Degree],"&gt;="&amp;H53)</f>
        <v>0</v>
      </c>
      <c r="J52" s="39">
        <f t="shared" si="13"/>
        <v>58.727272727272755</v>
      </c>
      <c r="K52" s="40">
        <f>COUNTIF(Vertices[Betweenness Centrality],"&gt;= "&amp;J52)-COUNTIF(Vertices[Betweenness Centrality],"&gt;="&amp;J53)</f>
        <v>0</v>
      </c>
      <c r="L52" s="39">
        <f t="shared" si="14"/>
        <v>0.05061269090909085</v>
      </c>
      <c r="M52" s="40">
        <f>COUNTIF(Vertices[Closeness Centrality],"&gt;= "&amp;L52)-COUNTIF(Vertices[Closeness Centrality],"&gt;="&amp;L53)</f>
        <v>0</v>
      </c>
      <c r="N52" s="39">
        <f t="shared" si="15"/>
        <v>0.07374732727272724</v>
      </c>
      <c r="O52" s="40">
        <f>COUNTIF(Vertices[Eigenvector Centrality],"&gt;= "&amp;N52)-COUNTIF(Vertices[Eigenvector Centrality],"&gt;="&amp;N53)</f>
        <v>0</v>
      </c>
      <c r="P52" s="39">
        <f t="shared" si="16"/>
        <v>1.64900381818182</v>
      </c>
      <c r="Q52" s="40">
        <f>COUNTIF(Vertices[PageRank],"&gt;= "&amp;P52)-COUNTIF(Vertices[PageRank],"&gt;="&amp;P53)</f>
        <v>0</v>
      </c>
      <c r="R52" s="39">
        <f t="shared" si="17"/>
        <v>0.4058008658008666</v>
      </c>
      <c r="S52" s="45">
        <f>COUNTIF(Vertices[Clustering Coefficient],"&gt;= "&amp;R52)-COUNTIF(Vertices[Clustering Coefficient],"&gt;="&amp;R53)</f>
        <v>0</v>
      </c>
      <c r="T52" s="39" t="e">
        <f ca="1" t="shared" si="18"/>
        <v>#REF!</v>
      </c>
      <c r="U52" s="40" t="e">
        <f ca="1" t="shared" si="0"/>
        <v>#REF!</v>
      </c>
    </row>
    <row r="53" spans="4:21" ht="15">
      <c r="D53" s="34">
        <f t="shared" si="10"/>
        <v>11.927272727272722</v>
      </c>
      <c r="E53" s="3">
        <f>COUNTIF(Vertices[Degree],"&gt;= "&amp;D53)-COUNTIF(Vertices[Degree],"&gt;="&amp;D54)</f>
        <v>1</v>
      </c>
      <c r="F53" s="41">
        <f t="shared" si="11"/>
        <v>5.963636363636361</v>
      </c>
      <c r="G53" s="42">
        <f>COUNTIF(Vertices[In-Degree],"&gt;= "&amp;F53)-COUNTIF(Vertices[In-Degree],"&gt;="&amp;F54)</f>
        <v>1</v>
      </c>
      <c r="H53" s="41">
        <f t="shared" si="12"/>
        <v>10.636363636363637</v>
      </c>
      <c r="I53" s="42">
        <f>COUNTIF(Vertices[Out-Degree],"&gt;= "&amp;H53)-COUNTIF(Vertices[Out-Degree],"&gt;="&amp;H54)</f>
        <v>0</v>
      </c>
      <c r="J53" s="41">
        <f t="shared" si="13"/>
        <v>60.2727272727273</v>
      </c>
      <c r="K53" s="42">
        <f>COUNTIF(Vertices[Betweenness Centrality],"&gt;= "&amp;J53)-COUNTIF(Vertices[Betweenness Centrality],"&gt;="&amp;J54)</f>
        <v>0</v>
      </c>
      <c r="L53" s="41">
        <f t="shared" si="14"/>
        <v>0.05109570909090903</v>
      </c>
      <c r="M53" s="42">
        <f>COUNTIF(Vertices[Closeness Centrality],"&gt;= "&amp;L53)-COUNTIF(Vertices[Closeness Centrality],"&gt;="&amp;L54)</f>
        <v>0</v>
      </c>
      <c r="N53" s="41">
        <f t="shared" si="15"/>
        <v>0.0753440727272727</v>
      </c>
      <c r="O53" s="42">
        <f>COUNTIF(Vertices[Eigenvector Centrality],"&gt;= "&amp;N53)-COUNTIF(Vertices[Eigenvector Centrality],"&gt;="&amp;N54)</f>
        <v>0</v>
      </c>
      <c r="P53" s="41">
        <f t="shared" si="16"/>
        <v>1.6798951818181838</v>
      </c>
      <c r="Q53" s="42">
        <f>COUNTIF(Vertices[PageRank],"&gt;= "&amp;P53)-COUNTIF(Vertices[PageRank],"&gt;="&amp;P54)</f>
        <v>0</v>
      </c>
      <c r="R53" s="41">
        <f t="shared" si="17"/>
        <v>0.4113419913419922</v>
      </c>
      <c r="S53" s="46">
        <f>COUNTIF(Vertices[Clustering Coefficient],"&gt;= "&amp;R53)-COUNTIF(Vertices[Clustering Coefficient],"&gt;="&amp;R54)</f>
        <v>1</v>
      </c>
      <c r="T53" s="41" t="e">
        <f ca="1" t="shared" si="18"/>
        <v>#REF!</v>
      </c>
      <c r="U53" s="42" t="e">
        <f ca="1" t="shared" si="0"/>
        <v>#REF!</v>
      </c>
    </row>
    <row r="54" spans="4:21" ht="15">
      <c r="D54" s="34">
        <f t="shared" si="10"/>
        <v>12.181818181818176</v>
      </c>
      <c r="E54" s="3">
        <f>COUNTIF(Vertices[Degree],"&gt;= "&amp;D54)-COUNTIF(Vertices[Degree],"&gt;="&amp;D55)</f>
        <v>0</v>
      </c>
      <c r="F54" s="39">
        <f t="shared" si="11"/>
        <v>6.090909090909088</v>
      </c>
      <c r="G54" s="40">
        <f>COUNTIF(Vertices[In-Degree],"&gt;= "&amp;F54)-COUNTIF(Vertices[In-Degree],"&gt;="&amp;F55)</f>
        <v>0</v>
      </c>
      <c r="H54" s="39">
        <f t="shared" si="12"/>
        <v>10.90909090909091</v>
      </c>
      <c r="I54" s="40">
        <f>COUNTIF(Vertices[Out-Degree],"&gt;= "&amp;H54)-COUNTIF(Vertices[Out-Degree],"&gt;="&amp;H55)</f>
        <v>0</v>
      </c>
      <c r="J54" s="39">
        <f t="shared" si="13"/>
        <v>61.81818181818185</v>
      </c>
      <c r="K54" s="40">
        <f>COUNTIF(Vertices[Betweenness Centrality],"&gt;= "&amp;J54)-COUNTIF(Vertices[Betweenness Centrality],"&gt;="&amp;J55)</f>
        <v>0</v>
      </c>
      <c r="L54" s="39">
        <f t="shared" si="14"/>
        <v>0.051578727272727214</v>
      </c>
      <c r="M54" s="40">
        <f>COUNTIF(Vertices[Closeness Centrality],"&gt;= "&amp;L54)-COUNTIF(Vertices[Closeness Centrality],"&gt;="&amp;L55)</f>
        <v>0</v>
      </c>
      <c r="N54" s="39">
        <f t="shared" si="15"/>
        <v>0.07694081818181815</v>
      </c>
      <c r="O54" s="40">
        <f>COUNTIF(Vertices[Eigenvector Centrality],"&gt;= "&amp;N54)-COUNTIF(Vertices[Eigenvector Centrality],"&gt;="&amp;N55)</f>
        <v>0</v>
      </c>
      <c r="P54" s="39">
        <f t="shared" si="16"/>
        <v>1.7107865454545474</v>
      </c>
      <c r="Q54" s="40">
        <f>COUNTIF(Vertices[PageRank],"&gt;= "&amp;P54)-COUNTIF(Vertices[PageRank],"&gt;="&amp;P55)</f>
        <v>0</v>
      </c>
      <c r="R54" s="39">
        <f t="shared" si="17"/>
        <v>0.41688311688311774</v>
      </c>
      <c r="S54" s="45">
        <f>COUNTIF(Vertices[Clustering Coefficient],"&gt;= "&amp;R54)-COUNTIF(Vertices[Clustering Coefficient],"&gt;="&amp;R55)</f>
        <v>0</v>
      </c>
      <c r="T54" s="39" t="e">
        <f ca="1" t="shared" si="18"/>
        <v>#REF!</v>
      </c>
      <c r="U54" s="40" t="e">
        <f ca="1" t="shared" si="0"/>
        <v>#REF!</v>
      </c>
    </row>
    <row r="55" spans="1:21" ht="15">
      <c r="A55" s="35" t="s">
        <v>81</v>
      </c>
      <c r="B55" s="48">
        <f>IF(COUNT(Vertices[Degree])&gt;0,D2,NoMetricMessage)</f>
        <v>2</v>
      </c>
      <c r="D55" s="34">
        <f t="shared" si="10"/>
        <v>12.43636363636363</v>
      </c>
      <c r="E55" s="3">
        <f>COUNTIF(Vertices[Degree],"&gt;= "&amp;D55)-COUNTIF(Vertices[Degree],"&gt;="&amp;D56)</f>
        <v>0</v>
      </c>
      <c r="F55" s="41">
        <f t="shared" si="11"/>
        <v>6.218181818181815</v>
      </c>
      <c r="G55" s="42">
        <f>COUNTIF(Vertices[In-Degree],"&gt;= "&amp;F55)-COUNTIF(Vertices[In-Degree],"&gt;="&amp;F56)</f>
        <v>0</v>
      </c>
      <c r="H55" s="41">
        <f t="shared" si="12"/>
        <v>11.181818181818183</v>
      </c>
      <c r="I55" s="42">
        <f>COUNTIF(Vertices[Out-Degree],"&gt;= "&amp;H55)-COUNTIF(Vertices[Out-Degree],"&gt;="&amp;H56)</f>
        <v>0</v>
      </c>
      <c r="J55" s="41">
        <f t="shared" si="13"/>
        <v>63.363636363636395</v>
      </c>
      <c r="K55" s="42">
        <f>COUNTIF(Vertices[Betweenness Centrality],"&gt;= "&amp;J55)-COUNTIF(Vertices[Betweenness Centrality],"&gt;="&amp;J56)</f>
        <v>0</v>
      </c>
      <c r="L55" s="41">
        <f t="shared" si="14"/>
        <v>0.052061745454545394</v>
      </c>
      <c r="M55" s="42">
        <f>COUNTIF(Vertices[Closeness Centrality],"&gt;= "&amp;L55)-COUNTIF(Vertices[Closeness Centrality],"&gt;="&amp;L56)</f>
        <v>0</v>
      </c>
      <c r="N55" s="41">
        <f t="shared" si="15"/>
        <v>0.0785375636363636</v>
      </c>
      <c r="O55" s="42">
        <f>COUNTIF(Vertices[Eigenvector Centrality],"&gt;= "&amp;N55)-COUNTIF(Vertices[Eigenvector Centrality],"&gt;="&amp;N56)</f>
        <v>6</v>
      </c>
      <c r="P55" s="41">
        <f t="shared" si="16"/>
        <v>1.7416779090909111</v>
      </c>
      <c r="Q55" s="42">
        <f>COUNTIF(Vertices[PageRank],"&gt;= "&amp;P55)-COUNTIF(Vertices[PageRank],"&gt;="&amp;P56)</f>
        <v>0</v>
      </c>
      <c r="R55" s="41">
        <f t="shared" si="17"/>
        <v>0.4224242424242433</v>
      </c>
      <c r="S55" s="46">
        <f>COUNTIF(Vertices[Clustering Coefficient],"&gt;= "&amp;R55)-COUNTIF(Vertices[Clustering Coefficient],"&gt;="&amp;R56)</f>
        <v>0</v>
      </c>
      <c r="T55" s="41" t="e">
        <f ca="1" t="shared" si="18"/>
        <v>#REF!</v>
      </c>
      <c r="U55" s="42" t="e">
        <f ca="1" t="shared" si="0"/>
        <v>#REF!</v>
      </c>
    </row>
    <row r="56" spans="1:21" ht="15">
      <c r="A56" s="35" t="s">
        <v>82</v>
      </c>
      <c r="B56" s="48">
        <f>IF(COUNT(Vertices[Degree])&gt;0,D57,NoMetricMessage)</f>
        <v>16</v>
      </c>
      <c r="D56" s="34">
        <f t="shared" si="10"/>
        <v>12.690909090909084</v>
      </c>
      <c r="E56" s="3">
        <f>COUNTIF(Vertices[Degree],"&gt;= "&amp;D56)-COUNTIF(Vertices[Degree],"&gt;="&amp;D57)</f>
        <v>1</v>
      </c>
      <c r="F56" s="39">
        <f t="shared" si="11"/>
        <v>6.345454545454542</v>
      </c>
      <c r="G56" s="40">
        <f>COUNTIF(Vertices[In-Degree],"&gt;= "&amp;F56)-COUNTIF(Vertices[In-Degree],"&gt;="&amp;F57)</f>
        <v>2</v>
      </c>
      <c r="H56" s="39">
        <f t="shared" si="12"/>
        <v>11.454545454545457</v>
      </c>
      <c r="I56" s="40">
        <f>COUNTIF(Vertices[Out-Degree],"&gt;= "&amp;H56)-COUNTIF(Vertices[Out-Degree],"&gt;="&amp;H57)</f>
        <v>0</v>
      </c>
      <c r="J56" s="39">
        <f t="shared" si="13"/>
        <v>64.90909090909093</v>
      </c>
      <c r="K56" s="40">
        <f>COUNTIF(Vertices[Betweenness Centrality],"&gt;= "&amp;J56)-COUNTIF(Vertices[Betweenness Centrality],"&gt;="&amp;J57)</f>
        <v>0</v>
      </c>
      <c r="L56" s="39">
        <f t="shared" si="14"/>
        <v>0.052544763636363574</v>
      </c>
      <c r="M56" s="40">
        <f>COUNTIF(Vertices[Closeness Centrality],"&gt;= "&amp;L56)-COUNTIF(Vertices[Closeness Centrality],"&gt;="&amp;L57)</f>
        <v>1</v>
      </c>
      <c r="N56" s="39">
        <f t="shared" si="15"/>
        <v>0.08013430909090906</v>
      </c>
      <c r="O56" s="40">
        <f>COUNTIF(Vertices[Eigenvector Centrality],"&gt;= "&amp;N56)-COUNTIF(Vertices[Eigenvector Centrality],"&gt;="&amp;N57)</f>
        <v>2</v>
      </c>
      <c r="P56" s="39">
        <f t="shared" si="16"/>
        <v>1.7725692727272748</v>
      </c>
      <c r="Q56" s="40">
        <f>COUNTIF(Vertices[PageRank],"&gt;= "&amp;P56)-COUNTIF(Vertices[PageRank],"&gt;="&amp;P57)</f>
        <v>1</v>
      </c>
      <c r="R56" s="39">
        <f t="shared" si="17"/>
        <v>0.4279653679653689</v>
      </c>
      <c r="S56" s="45">
        <f>COUNTIF(Vertices[Clustering Coefficient],"&gt;= "&amp;R56)-COUNTIF(Vertices[Clustering Coefficient],"&gt;="&amp;R57)</f>
        <v>0</v>
      </c>
      <c r="T56" s="39" t="e">
        <f ca="1" t="shared" si="18"/>
        <v>#REF!</v>
      </c>
      <c r="U56" s="40" t="e">
        <f ca="1" t="shared" si="0"/>
        <v>#REF!</v>
      </c>
    </row>
    <row r="57" spans="1:21" ht="15">
      <c r="A57" s="35" t="s">
        <v>83</v>
      </c>
      <c r="B57" s="49">
        <f>_xlfn.IFERROR(AVERAGE(Vertices[Degree]),NoMetricMessage)</f>
        <v>7.0588235294117645</v>
      </c>
      <c r="D57" s="34">
        <f>MAX(Vertices[Degree])</f>
        <v>16</v>
      </c>
      <c r="E57" s="3">
        <f>COUNTIF(Vertices[Degree],"&gt;= "&amp;D57)-COUNTIF(Vertices[Degree],"&gt;="&amp;D58)</f>
        <v>1</v>
      </c>
      <c r="F57" s="43">
        <f>MAX(Vertices[In-Degree])</f>
        <v>8</v>
      </c>
      <c r="G57" s="44">
        <f>COUNTIF(Vertices[In-Degree],"&gt;= "&amp;F57)-COUNTIF(Vertices[In-Degree],"&gt;="&amp;F58)</f>
        <v>1</v>
      </c>
      <c r="H57" s="43">
        <f>MAX(Vertices[Out-Degree])</f>
        <v>15</v>
      </c>
      <c r="I57" s="44">
        <f>COUNTIF(Vertices[Out-Degree],"&gt;= "&amp;H57)-COUNTIF(Vertices[Out-Degree],"&gt;="&amp;H58)</f>
        <v>1</v>
      </c>
      <c r="J57" s="43">
        <f>MAX(Vertices[Betweenness Centrality])</f>
        <v>85</v>
      </c>
      <c r="K57" s="44">
        <f>COUNTIF(Vertices[Betweenness Centrality],"&gt;= "&amp;J57)-COUNTIF(Vertices[Betweenness Centrality],"&gt;="&amp;J58)</f>
        <v>1</v>
      </c>
      <c r="L57" s="43">
        <f>MAX(Vertices[Closeness Centrality])</f>
        <v>0.058824</v>
      </c>
      <c r="M57" s="44">
        <f>COUNTIF(Vertices[Closeness Centrality],"&gt;= "&amp;L57)-COUNTIF(Vertices[Closeness Centrality],"&gt;="&amp;L58)</f>
        <v>1</v>
      </c>
      <c r="N57" s="43">
        <f>MAX(Vertices[Eigenvector Centrality])</f>
        <v>0.100892</v>
      </c>
      <c r="O57" s="44">
        <f>COUNTIF(Vertices[Eigenvector Centrality],"&gt;= "&amp;N57)-COUNTIF(Vertices[Eigenvector Centrality],"&gt;="&amp;N58)</f>
        <v>1</v>
      </c>
      <c r="P57" s="43">
        <f>MAX(Vertices[PageRank])</f>
        <v>2.174157</v>
      </c>
      <c r="Q57" s="44">
        <f>COUNTIF(Vertices[PageRank],"&gt;= "&amp;P57)-COUNTIF(Vertices[PageRank],"&gt;="&amp;P58)</f>
        <v>1</v>
      </c>
      <c r="R57" s="43">
        <f>MAX(Vertices[Clustering Coefficient])</f>
        <v>0.5</v>
      </c>
      <c r="S57" s="47">
        <f>COUNTIF(Vertices[Clustering Coefficient],"&gt;= "&amp;R57)-COUNTIF(Vertices[Clustering Coefficient],"&gt;="&amp;R58)</f>
        <v>12</v>
      </c>
      <c r="T57" s="43" t="e">
        <f ca="1">MAX(INDIRECT(DynamicFilterSourceColumnRange))</f>
        <v>#REF!</v>
      </c>
      <c r="U57" s="44" t="e">
        <f ca="1" t="shared" si="0"/>
        <v>#REF!</v>
      </c>
    </row>
    <row r="58" spans="1:2" ht="15">
      <c r="A58" s="35" t="s">
        <v>84</v>
      </c>
      <c r="B58" s="49">
        <f>_xlfn.IFERROR(MEDIAN(Vertices[Degree]),NoMetricMessage)</f>
        <v>8</v>
      </c>
    </row>
    <row r="69" spans="1:2" ht="15">
      <c r="A69" s="35" t="s">
        <v>88</v>
      </c>
      <c r="B69" s="48">
        <f>IF(COUNT(Vertices[In-Degree])&gt;0,F2,NoMetricMessage)</f>
        <v>1</v>
      </c>
    </row>
    <row r="70" spans="1:2" ht="15">
      <c r="A70" s="35" t="s">
        <v>89</v>
      </c>
      <c r="B70" s="48">
        <f>IF(COUNT(Vertices[In-Degree])&gt;0,F57,NoMetricMessage)</f>
        <v>8</v>
      </c>
    </row>
    <row r="71" spans="1:2" ht="15">
      <c r="A71" s="35" t="s">
        <v>90</v>
      </c>
      <c r="B71" s="49">
        <f>_xlfn.IFERROR(AVERAGE(Vertices[In-Degree]),NoMetricMessage)</f>
        <v>3.5294117647058822</v>
      </c>
    </row>
    <row r="72" spans="1:2" ht="15">
      <c r="A72" s="35" t="s">
        <v>91</v>
      </c>
      <c r="B72" s="49">
        <f>_xlfn.IFERROR(MEDIAN(Vertices[In-Degree]),NoMetricMessage)</f>
        <v>3</v>
      </c>
    </row>
    <row r="83" spans="1:2" ht="15">
      <c r="A83" s="35" t="s">
        <v>94</v>
      </c>
      <c r="B83" s="48">
        <f>IF(COUNT(Vertices[Out-Degree])&gt;0,H2,NoMetricMessage)</f>
        <v>0</v>
      </c>
    </row>
    <row r="84" spans="1:2" ht="15">
      <c r="A84" s="35" t="s">
        <v>95</v>
      </c>
      <c r="B84" s="48">
        <f>IF(COUNT(Vertices[Out-Degree])&gt;0,H57,NoMetricMessage)</f>
        <v>15</v>
      </c>
    </row>
    <row r="85" spans="1:2" ht="15">
      <c r="A85" s="35" t="s">
        <v>96</v>
      </c>
      <c r="B85" s="49">
        <f>_xlfn.IFERROR(AVERAGE(Vertices[Out-Degree]),NoMetricMessage)</f>
        <v>3.5294117647058822</v>
      </c>
    </row>
    <row r="86" spans="1:2" ht="15">
      <c r="A86" s="35" t="s">
        <v>97</v>
      </c>
      <c r="B86" s="49">
        <f>_xlfn.IFERROR(MEDIAN(Vertices[Out-Degree]),NoMetricMessage)</f>
        <v>2</v>
      </c>
    </row>
    <row r="97" spans="1:2" ht="15">
      <c r="A97" s="35" t="s">
        <v>100</v>
      </c>
      <c r="B97" s="49">
        <f>IF(COUNT(Vertices[Betweenness Centrality])&gt;0,J2,NoMetricMessage)</f>
        <v>0</v>
      </c>
    </row>
    <row r="98" spans="1:2" ht="15">
      <c r="A98" s="35" t="s">
        <v>101</v>
      </c>
      <c r="B98" s="49">
        <f>IF(COUNT(Vertices[Betweenness Centrality])&gt;0,J57,NoMetricMessage)</f>
        <v>85</v>
      </c>
    </row>
    <row r="99" spans="1:2" ht="15">
      <c r="A99" s="35" t="s">
        <v>102</v>
      </c>
      <c r="B99" s="49">
        <f>_xlfn.IFERROR(AVERAGE(Vertices[Betweenness Centrality]),NoMetricMessage)</f>
        <v>9.411764705882351</v>
      </c>
    </row>
    <row r="100" spans="1:2" ht="15">
      <c r="A100" s="35" t="s">
        <v>103</v>
      </c>
      <c r="B100" s="49">
        <f>_xlfn.IFERROR(MEDIAN(Vertices[Betweenness Centrality]),NoMetricMessage)</f>
        <v>0</v>
      </c>
    </row>
    <row r="111" spans="1:2" ht="15">
      <c r="A111" s="35" t="s">
        <v>106</v>
      </c>
      <c r="B111" s="49">
        <f>IF(COUNT(Vertices[Closeness Centrality])&gt;0,L2,NoMetricMessage)</f>
        <v>0.032258</v>
      </c>
    </row>
    <row r="112" spans="1:2" ht="15">
      <c r="A112" s="35" t="s">
        <v>107</v>
      </c>
      <c r="B112" s="49">
        <f>IF(COUNT(Vertices[Closeness Centrality])&gt;0,L57,NoMetricMessage)</f>
        <v>0.058824</v>
      </c>
    </row>
    <row r="113" spans="1:2" ht="15">
      <c r="A113" s="35" t="s">
        <v>108</v>
      </c>
      <c r="B113" s="49">
        <f>_xlfn.IFERROR(AVERAGE(Vertices[Closeness Centrality]),NoMetricMessage)</f>
        <v>0.040577529411764714</v>
      </c>
    </row>
    <row r="114" spans="1:2" ht="15">
      <c r="A114" s="35" t="s">
        <v>109</v>
      </c>
      <c r="B114" s="49">
        <f>_xlfn.IFERROR(MEDIAN(Vertices[Closeness Centrality]),NoMetricMessage)</f>
        <v>0.041667</v>
      </c>
    </row>
    <row r="125" spans="1:2" ht="15">
      <c r="A125" s="35" t="s">
        <v>112</v>
      </c>
      <c r="B125" s="49">
        <f>IF(COUNT(Vertices[Eigenvector Centrality])&gt;0,N2,NoMetricMessage)</f>
        <v>0.013071</v>
      </c>
    </row>
    <row r="126" spans="1:2" ht="15">
      <c r="A126" s="35" t="s">
        <v>113</v>
      </c>
      <c r="B126" s="49">
        <f>IF(COUNT(Vertices[Eigenvector Centrality])&gt;0,N57,NoMetricMessage)</f>
        <v>0.100892</v>
      </c>
    </row>
    <row r="127" spans="1:2" ht="15">
      <c r="A127" s="35" t="s">
        <v>114</v>
      </c>
      <c r="B127" s="49">
        <f>_xlfn.IFERROR(AVERAGE(Vertices[Eigenvector Centrality]),NoMetricMessage)</f>
        <v>0.058823470588235276</v>
      </c>
    </row>
    <row r="128" spans="1:2" ht="15">
      <c r="A128" s="35" t="s">
        <v>115</v>
      </c>
      <c r="B128" s="49">
        <f>_xlfn.IFERROR(MEDIAN(Vertices[Eigenvector Centrality]),NoMetricMessage)</f>
        <v>0.07966</v>
      </c>
    </row>
    <row r="139" spans="1:2" ht="15">
      <c r="A139" s="35" t="s">
        <v>140</v>
      </c>
      <c r="B139" s="49">
        <f>IF(COUNT(Vertices[PageRank])&gt;0,P2,NoMetricMessage)</f>
        <v>0.475132</v>
      </c>
    </row>
    <row r="140" spans="1:2" ht="15">
      <c r="A140" s="35" t="s">
        <v>141</v>
      </c>
      <c r="B140" s="49">
        <f>IF(COUNT(Vertices[PageRank])&gt;0,P57,NoMetricMessage)</f>
        <v>2.174157</v>
      </c>
    </row>
    <row r="141" spans="1:2" ht="15">
      <c r="A141" s="35" t="s">
        <v>142</v>
      </c>
      <c r="B141" s="49">
        <f>_xlfn.IFERROR(AVERAGE(Vertices[PageRank]),NoMetricMessage)</f>
        <v>0.9999713529411765</v>
      </c>
    </row>
    <row r="142" spans="1:2" ht="15">
      <c r="A142" s="35" t="s">
        <v>143</v>
      </c>
      <c r="B142" s="49">
        <f>_xlfn.IFERROR(MEDIAN(Vertices[PageRank]),NoMetricMessage)</f>
        <v>1.079762</v>
      </c>
    </row>
    <row r="153" spans="1:2" ht="15">
      <c r="A153" s="35" t="s">
        <v>118</v>
      </c>
      <c r="B153" s="49">
        <f>IF(COUNT(Vertices[Clustering Coefficient])&gt;0,R2,NoMetricMessage)</f>
        <v>0.19523809523809524</v>
      </c>
    </row>
    <row r="154" spans="1:2" ht="15">
      <c r="A154" s="35" t="s">
        <v>119</v>
      </c>
      <c r="B154" s="49">
        <f>IF(COUNT(Vertices[Clustering Coefficient])&gt;0,R57,NoMetricMessage)</f>
        <v>0.5</v>
      </c>
    </row>
    <row r="155" spans="1:2" ht="15">
      <c r="A155" s="35" t="s">
        <v>120</v>
      </c>
      <c r="B155" s="49">
        <f>_xlfn.IFERROR(AVERAGE(Vertices[Clustering Coefficient]),NoMetricMessage)</f>
        <v>0.44297369297369293</v>
      </c>
    </row>
    <row r="156" spans="1:2" ht="15">
      <c r="A156" s="35" t="s">
        <v>121</v>
      </c>
      <c r="B156"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305</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190</v>
      </c>
      <c r="K7" t="s">
        <v>259</v>
      </c>
    </row>
    <row r="8" spans="1:11" ht="15">
      <c r="A8"/>
      <c r="B8">
        <v>2</v>
      </c>
      <c r="C8">
        <v>2</v>
      </c>
      <c r="D8" t="s">
        <v>61</v>
      </c>
      <c r="E8" t="s">
        <v>61</v>
      </c>
      <c r="H8" t="s">
        <v>73</v>
      </c>
      <c r="J8" t="s">
        <v>202</v>
      </c>
      <c r="K8" t="s">
        <v>303</v>
      </c>
    </row>
    <row r="9" spans="1:11" ht="409.5">
      <c r="A9"/>
      <c r="B9">
        <v>3</v>
      </c>
      <c r="C9">
        <v>4</v>
      </c>
      <c r="D9" t="s">
        <v>62</v>
      </c>
      <c r="E9" t="s">
        <v>62</v>
      </c>
      <c r="H9" t="s">
        <v>74</v>
      </c>
      <c r="J9" t="s">
        <v>203</v>
      </c>
      <c r="K9" s="13" t="s">
        <v>306</v>
      </c>
    </row>
    <row r="10" spans="1:11" ht="409.5">
      <c r="A10"/>
      <c r="B10">
        <v>4</v>
      </c>
      <c r="D10" t="s">
        <v>63</v>
      </c>
      <c r="E10" t="s">
        <v>63</v>
      </c>
      <c r="H10" t="s">
        <v>75</v>
      </c>
      <c r="J10" t="s">
        <v>258</v>
      </c>
      <c r="K10" s="127" t="s">
        <v>315</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06" t="s">
        <v>208</v>
      </c>
      <c r="B1" s="106" t="s">
        <v>209</v>
      </c>
      <c r="C1" s="106" t="s">
        <v>267</v>
      </c>
      <c r="D1" s="106" t="s">
        <v>269</v>
      </c>
      <c r="E1" s="106" t="s">
        <v>268</v>
      </c>
      <c r="F1" s="106" t="s">
        <v>271</v>
      </c>
      <c r="G1" s="106" t="s">
        <v>270</v>
      </c>
      <c r="H1" s="106" t="s">
        <v>273</v>
      </c>
      <c r="I1" s="106" t="s">
        <v>272</v>
      </c>
      <c r="J1" s="106" t="s">
        <v>274</v>
      </c>
    </row>
    <row r="2" spans="1:10" ht="15">
      <c r="A2" s="106"/>
      <c r="B2" s="106"/>
      <c r="C2" s="106"/>
      <c r="D2" s="106"/>
      <c r="E2" s="106"/>
      <c r="F2" s="106"/>
      <c r="G2" s="106"/>
      <c r="H2" s="106"/>
      <c r="I2" s="106"/>
      <c r="J2" s="106"/>
    </row>
    <row r="4" spans="1:10" ht="15" customHeight="1">
      <c r="A4" s="106" t="s">
        <v>211</v>
      </c>
      <c r="B4" s="106" t="s">
        <v>209</v>
      </c>
      <c r="C4" s="106" t="s">
        <v>275</v>
      </c>
      <c r="D4" s="106" t="s">
        <v>269</v>
      </c>
      <c r="E4" s="106" t="s">
        <v>276</v>
      </c>
      <c r="F4" s="106" t="s">
        <v>271</v>
      </c>
      <c r="G4" s="106" t="s">
        <v>277</v>
      </c>
      <c r="H4" s="106" t="s">
        <v>273</v>
      </c>
      <c r="I4" s="106" t="s">
        <v>278</v>
      </c>
      <c r="J4" s="106" t="s">
        <v>274</v>
      </c>
    </row>
    <row r="5" spans="1:10" ht="15">
      <c r="A5" s="106"/>
      <c r="B5" s="106"/>
      <c r="C5" s="106"/>
      <c r="D5" s="106"/>
      <c r="E5" s="106"/>
      <c r="F5" s="106"/>
      <c r="G5" s="106"/>
      <c r="H5" s="106"/>
      <c r="I5" s="106"/>
      <c r="J5" s="106"/>
    </row>
    <row r="7" spans="1:10" ht="15" customHeight="1">
      <c r="A7" s="106" t="s">
        <v>213</v>
      </c>
      <c r="B7" s="106" t="s">
        <v>209</v>
      </c>
      <c r="C7" s="106" t="s">
        <v>279</v>
      </c>
      <c r="D7" s="106" t="s">
        <v>269</v>
      </c>
      <c r="E7" s="106" t="s">
        <v>280</v>
      </c>
      <c r="F7" s="106" t="s">
        <v>271</v>
      </c>
      <c r="G7" s="106" t="s">
        <v>281</v>
      </c>
      <c r="H7" s="106" t="s">
        <v>273</v>
      </c>
      <c r="I7" s="106" t="s">
        <v>282</v>
      </c>
      <c r="J7" s="106" t="s">
        <v>274</v>
      </c>
    </row>
    <row r="8" spans="1:10" ht="15">
      <c r="A8" s="106"/>
      <c r="B8" s="106"/>
      <c r="C8" s="106"/>
      <c r="D8" s="106"/>
      <c r="E8" s="106"/>
      <c r="F8" s="106"/>
      <c r="G8" s="106"/>
      <c r="H8" s="106"/>
      <c r="I8" s="106"/>
      <c r="J8" s="106"/>
    </row>
    <row r="10" spans="1:10" ht="15" customHeight="1">
      <c r="A10" s="13" t="s">
        <v>215</v>
      </c>
      <c r="B10" s="13" t="s">
        <v>209</v>
      </c>
      <c r="C10" s="106" t="s">
        <v>283</v>
      </c>
      <c r="D10" s="106" t="s">
        <v>269</v>
      </c>
      <c r="E10" s="106" t="s">
        <v>284</v>
      </c>
      <c r="F10" s="106" t="s">
        <v>271</v>
      </c>
      <c r="G10" s="106" t="s">
        <v>285</v>
      </c>
      <c r="H10" s="106" t="s">
        <v>273</v>
      </c>
      <c r="I10" s="106" t="s">
        <v>286</v>
      </c>
      <c r="J10" s="106" t="s">
        <v>274</v>
      </c>
    </row>
    <row r="11" spans="1:10" ht="15">
      <c r="A11" s="109" t="s">
        <v>216</v>
      </c>
      <c r="B11" s="109">
        <v>0</v>
      </c>
      <c r="C11" s="109"/>
      <c r="D11" s="109"/>
      <c r="E11" s="109"/>
      <c r="F11" s="109"/>
      <c r="G11" s="109"/>
      <c r="H11" s="109"/>
      <c r="I11" s="109"/>
      <c r="J11" s="109"/>
    </row>
    <row r="12" spans="1:10" ht="15">
      <c r="A12" s="109" t="s">
        <v>217</v>
      </c>
      <c r="B12" s="109">
        <v>0</v>
      </c>
      <c r="C12" s="109"/>
      <c r="D12" s="109"/>
      <c r="E12" s="109"/>
      <c r="F12" s="109"/>
      <c r="G12" s="109"/>
      <c r="H12" s="109"/>
      <c r="I12" s="109"/>
      <c r="J12" s="109"/>
    </row>
    <row r="13" spans="1:10" ht="15">
      <c r="A13" s="109" t="s">
        <v>218</v>
      </c>
      <c r="B13" s="109">
        <v>0</v>
      </c>
      <c r="C13" s="109"/>
      <c r="D13" s="109"/>
      <c r="E13" s="109"/>
      <c r="F13" s="109"/>
      <c r="G13" s="109"/>
      <c r="H13" s="109"/>
      <c r="I13" s="109"/>
      <c r="J13" s="109"/>
    </row>
    <row r="14" spans="1:10" ht="15">
      <c r="A14" s="109" t="s">
        <v>219</v>
      </c>
      <c r="B14" s="109">
        <v>0</v>
      </c>
      <c r="C14" s="109"/>
      <c r="D14" s="109"/>
      <c r="E14" s="109"/>
      <c r="F14" s="109"/>
      <c r="G14" s="109"/>
      <c r="H14" s="109"/>
      <c r="I14" s="109"/>
      <c r="J14" s="109"/>
    </row>
    <row r="15" spans="1:10" ht="15">
      <c r="A15" s="109" t="s">
        <v>220</v>
      </c>
      <c r="B15" s="109">
        <v>0</v>
      </c>
      <c r="C15" s="109"/>
      <c r="D15" s="109"/>
      <c r="E15" s="109"/>
      <c r="F15" s="109"/>
      <c r="G15" s="109"/>
      <c r="H15" s="109"/>
      <c r="I15" s="109"/>
      <c r="J15" s="109"/>
    </row>
    <row r="18" spans="1:10" ht="15" customHeight="1">
      <c r="A18" s="106" t="s">
        <v>222</v>
      </c>
      <c r="B18" s="106" t="s">
        <v>209</v>
      </c>
      <c r="C18" s="106" t="s">
        <v>287</v>
      </c>
      <c r="D18" s="106" t="s">
        <v>269</v>
      </c>
      <c r="E18" s="106" t="s">
        <v>288</v>
      </c>
      <c r="F18" s="106" t="s">
        <v>271</v>
      </c>
      <c r="G18" s="106" t="s">
        <v>289</v>
      </c>
      <c r="H18" s="106" t="s">
        <v>273</v>
      </c>
      <c r="I18" s="106" t="s">
        <v>290</v>
      </c>
      <c r="J18" s="106" t="s">
        <v>274</v>
      </c>
    </row>
    <row r="19" spans="1:10" ht="15">
      <c r="A19" s="106"/>
      <c r="B19" s="106"/>
      <c r="C19" s="106"/>
      <c r="D19" s="106"/>
      <c r="E19" s="106"/>
      <c r="F19" s="106"/>
      <c r="G19" s="106"/>
      <c r="H19" s="106"/>
      <c r="I19" s="106"/>
      <c r="J19" s="106"/>
    </row>
    <row r="21" spans="1:10" ht="15" customHeight="1">
      <c r="A21" s="106" t="s">
        <v>224</v>
      </c>
      <c r="B21" s="106" t="s">
        <v>209</v>
      </c>
      <c r="C21" s="106" t="s">
        <v>291</v>
      </c>
      <c r="D21" s="106" t="s">
        <v>269</v>
      </c>
      <c r="E21" s="106" t="s">
        <v>292</v>
      </c>
      <c r="F21" s="106" t="s">
        <v>271</v>
      </c>
      <c r="G21" s="106" t="s">
        <v>295</v>
      </c>
      <c r="H21" s="106" t="s">
        <v>273</v>
      </c>
      <c r="I21" s="106" t="s">
        <v>297</v>
      </c>
      <c r="J21" s="106" t="s">
        <v>274</v>
      </c>
    </row>
    <row r="22" spans="1:10" ht="15">
      <c r="A22" s="106"/>
      <c r="B22" s="106"/>
      <c r="C22" s="106"/>
      <c r="D22" s="106"/>
      <c r="E22" s="106"/>
      <c r="F22" s="106"/>
      <c r="G22" s="106"/>
      <c r="H22" s="106"/>
      <c r="I22" s="106"/>
      <c r="J22" s="106"/>
    </row>
    <row r="24" spans="1:10" ht="15" customHeight="1">
      <c r="A24" s="106" t="s">
        <v>225</v>
      </c>
      <c r="B24" s="106" t="s">
        <v>209</v>
      </c>
      <c r="C24" s="106" t="s">
        <v>293</v>
      </c>
      <c r="D24" s="106" t="s">
        <v>269</v>
      </c>
      <c r="E24" s="106" t="s">
        <v>294</v>
      </c>
      <c r="F24" s="106" t="s">
        <v>271</v>
      </c>
      <c r="G24" s="106" t="s">
        <v>296</v>
      </c>
      <c r="H24" s="106" t="s">
        <v>273</v>
      </c>
      <c r="I24" s="106" t="s">
        <v>298</v>
      </c>
      <c r="J24" s="106" t="s">
        <v>274</v>
      </c>
    </row>
    <row r="25" spans="1:10" ht="15">
      <c r="A25" s="106"/>
      <c r="B25" s="106"/>
      <c r="C25" s="106"/>
      <c r="D25" s="106"/>
      <c r="E25" s="106"/>
      <c r="F25" s="106"/>
      <c r="G25" s="106"/>
      <c r="H25" s="106"/>
      <c r="I25" s="106"/>
      <c r="J25" s="106"/>
    </row>
    <row r="27" spans="1:10" ht="15" customHeight="1">
      <c r="A27" s="106" t="s">
        <v>228</v>
      </c>
      <c r="B27" s="106" t="s">
        <v>209</v>
      </c>
      <c r="C27" s="106" t="s">
        <v>299</v>
      </c>
      <c r="D27" s="106" t="s">
        <v>269</v>
      </c>
      <c r="E27" s="106" t="s">
        <v>300</v>
      </c>
      <c r="F27" s="106" t="s">
        <v>271</v>
      </c>
      <c r="G27" s="106" t="s">
        <v>301</v>
      </c>
      <c r="H27" s="106" t="s">
        <v>273</v>
      </c>
      <c r="I27" s="106" t="s">
        <v>302</v>
      </c>
      <c r="J27" s="106" t="s">
        <v>274</v>
      </c>
    </row>
    <row r="28" spans="1:10" ht="15">
      <c r="A28" s="110"/>
      <c r="B28" s="106"/>
      <c r="C28" s="110"/>
      <c r="D28" s="106"/>
      <c r="E28" s="110"/>
      <c r="F28" s="106"/>
      <c r="G28" s="110"/>
      <c r="H28" s="106"/>
      <c r="I28" s="110"/>
      <c r="J28" s="106"/>
    </row>
  </sheetData>
  <printOptions/>
  <pageMargins left="0.7" right="0.7" top="0.75" bottom="0.75" header="0.3" footer="0.3"/>
  <pageSetup orientation="portrait" paperSize="9"/>
  <tableParts>
    <tablePart r:id="rId4"/>
    <tablePart r:id="rId3"/>
    <tablePart r:id="rId5"/>
    <tablePart r:id="rId6"/>
    <tablePart r:id="rId7"/>
    <tablePart r:id="rId2"/>
    <tablePart r:id="rId8"/>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264</v>
      </c>
      <c r="B2" s="126" t="s">
        <v>265</v>
      </c>
      <c r="C2" s="67" t="s">
        <v>266</v>
      </c>
    </row>
    <row r="3" spans="1:3" ht="15">
      <c r="A3" s="125" t="s">
        <v>241</v>
      </c>
      <c r="B3" s="125" t="s">
        <v>241</v>
      </c>
      <c r="C3" s="36">
        <v>30</v>
      </c>
    </row>
    <row r="4" spans="1:3" ht="15">
      <c r="A4" s="125" t="s">
        <v>242</v>
      </c>
      <c r="B4" s="125" t="s">
        <v>241</v>
      </c>
      <c r="C4" s="36">
        <v>12</v>
      </c>
    </row>
    <row r="5" spans="1:3" ht="15">
      <c r="A5" s="125" t="s">
        <v>242</v>
      </c>
      <c r="B5" s="125" t="s">
        <v>242</v>
      </c>
      <c r="C5" s="36">
        <v>9</v>
      </c>
    </row>
    <row r="6" spans="1:3" ht="15">
      <c r="A6" s="125" t="s">
        <v>242</v>
      </c>
      <c r="B6" s="125" t="s">
        <v>243</v>
      </c>
      <c r="C6" s="36">
        <v>2</v>
      </c>
    </row>
    <row r="7" spans="1:3" ht="15">
      <c r="A7" s="125" t="s">
        <v>242</v>
      </c>
      <c r="B7" s="125" t="s">
        <v>250</v>
      </c>
      <c r="C7" s="36">
        <v>1</v>
      </c>
    </row>
    <row r="8" spans="1:3" ht="15">
      <c r="A8" s="125" t="s">
        <v>243</v>
      </c>
      <c r="B8" s="125" t="s">
        <v>241</v>
      </c>
      <c r="C8" s="36">
        <v>6</v>
      </c>
    </row>
    <row r="9" spans="1:3" ht="15">
      <c r="A9" s="125" t="s">
        <v>243</v>
      </c>
      <c r="B9" s="125" t="s">
        <v>242</v>
      </c>
      <c r="C9" s="36">
        <v>5</v>
      </c>
    </row>
    <row r="10" spans="1:3" ht="15">
      <c r="A10" s="125" t="s">
        <v>243</v>
      </c>
      <c r="B10" s="125" t="s">
        <v>243</v>
      </c>
      <c r="C10" s="36">
        <v>6</v>
      </c>
    </row>
    <row r="11" spans="1:3" ht="15">
      <c r="A11" s="125" t="s">
        <v>243</v>
      </c>
      <c r="B11" s="125" t="s">
        <v>250</v>
      </c>
      <c r="C11" s="36">
        <v>3</v>
      </c>
    </row>
    <row r="12" spans="1:3" ht="15">
      <c r="A12" s="125" t="s">
        <v>250</v>
      </c>
      <c r="B12" s="125" t="s">
        <v>241</v>
      </c>
      <c r="C12" s="36">
        <v>12</v>
      </c>
    </row>
    <row r="13" spans="1:3" ht="15">
      <c r="A13" s="125" t="s">
        <v>250</v>
      </c>
      <c r="B13" s="125" t="s">
        <v>242</v>
      </c>
      <c r="C13" s="36">
        <v>4</v>
      </c>
    </row>
    <row r="14" spans="1:3" ht="15">
      <c r="A14" s="125" t="s">
        <v>250</v>
      </c>
      <c r="B14" s="125" t="s">
        <v>243</v>
      </c>
      <c r="C14" s="36">
        <v>3</v>
      </c>
    </row>
    <row r="15" spans="1:3" ht="15">
      <c r="A15" s="125" t="s">
        <v>250</v>
      </c>
      <c r="B15" s="125" t="s">
        <v>250</v>
      </c>
      <c r="C15" s="36">
        <v>6</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41F4584-98CA-4018-BC07-85D9C8C7248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dc:creator>
  <cp:keywords/>
  <dc:description/>
  <cp:lastModifiedBy>lab</cp:lastModifiedBy>
  <dcterms:created xsi:type="dcterms:W3CDTF">2008-01-30T00:41:58Z</dcterms:created>
  <dcterms:modified xsi:type="dcterms:W3CDTF">2019-02-27T17:56:35Z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