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Group Edge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<sst xmlns="http://schemas.openxmlformats.org/spreadsheetml/2006/main" count="600" uniqueCount="312">
  <si>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</si>
  <si>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</si>
  <si>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</si>
  <si>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</si>
  <si>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</si>
  <si>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</si>
  <si>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</si>
  <si>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</si>
  <si>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</si>
  <si>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</si>
  <si>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</si>
  <si>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</si>
  <si>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</si>
  <si>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</si>
  <si>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</si>
  <si>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</si>
  <si>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</si>
  <si>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</si>
  <si>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</si>
  <si>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</si>
  <si>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</si>
  <si>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</si>
  <si>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</si>
  <si>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</si>
  <si>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</si>
  <si>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</si>
  <si>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</si>
  <si>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</si>
  <si>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</si>
  <si>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</si>
  <si>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</si>
  <si>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</si>
  <si>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</si>
  <si>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</si>
  <si>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</si>
  <si>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</si>
  <si>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</si>
  <si>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</si>
  <si>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</si>
  <si>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</si>
  <si>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</si>
  <si>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</si>
  <si>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</si>
  <si>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</si>
  <si>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</si>
  <si>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</si>
  <si>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</si>
  <si>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</si>
  <si>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</si>
  <si>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</si>
  <si>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</si>
  <si>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</si>
  <si>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</si>
  <si>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</si>
  <si>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</si>
  <si>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</si>
  <si>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</si>
  <si>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</si>
  <si>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</si>
  <si>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</si>
  <si>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</si>
  <si>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</si>
  <si>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</si>
  <si>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</si>
  <si>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</si>
  <si>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</si>
  <si>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</si>
  <si>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</si>
  <si>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</si>
  <si>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</si>
  <si>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</si>
  <si>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</si>
  <si>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</si>
  <si>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</si>
  <si>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</si>
  <si>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</si>
  <si>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</si>
  <si>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</si>
  <si>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</si>
  <si>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</si>
  <si>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</si>
  <si>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</si>
  <si>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</si>
  <si>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</si>
  <si>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</si>
  <si>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</si>
  <si>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</si>
  <si>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</si>
  <si>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</si>
  <si>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</si>
  <si>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</si>
  <si>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</si>
  <si>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</si>
  <si>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</si>
  <si>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</si>
  <si>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</si>
  <si>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</si>
  <si>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</si>
  <si>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</si>
  <si>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</si>
  <si>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</si>
  <si>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</si>
  <si>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</si>
  <si>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</si>
  <si>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</si>
  <si>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</si>
  <si>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</si>
  <si>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</si>
  <si>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</si>
  <si>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</si>
  <si>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</si>
  <si>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</si>
  <si>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</si>
  <si>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</si>
  <si>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</si>
  <si>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</si>
  <si>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</si>
  <si>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</si>
  <si>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</si>
  <si>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</si>
  <si>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</si>
  <si>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</si>
  <si>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</si>
  <si>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</si>
  <si>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</si>
  <si>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</si>
  <si>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</si>
  <si>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</si>
  <si>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</si>
  <si>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</si>
  <si>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</si>
  <si>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</si>
  <si>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</si>
  <si>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</si>
  <si>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</si>
  <si>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</si>
  <si>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</si>
  <si>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</si>
  <si>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</si>
  <si>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</si>
  <si>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</si>
  <si>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</si>
  <si>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</si>
  <si>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</si>
  <si>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</si>
  <si>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</si>
  <si>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</si>
  <si>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</si>
  <si>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</si>
  <si>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</si>
  <si>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</si>
  <si>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</si>
  <si>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</si>
  <si>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</si>
  <si>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</si>
  <si>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</si>
  <si>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</si>
  <si>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</si>
  <si>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</si>
  <si>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</si>
  <si>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</si>
  <si>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</si>
  <si>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</si>
  <si>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</si>
  <si>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</si>
  <si>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</si>
  <si>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</si>
  <si>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</si>
  <si>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</si>
  <si>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</si>
  <si>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</si>
  <si>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</si>
  <si>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</si>
  <si>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Graph History</t>
  </si>
  <si>
    <t xml:space="preserve">Zoey </t>
  </si>
  <si>
    <t xml:space="preserve">Quinn </t>
  </si>
  <si>
    <t xml:space="preserve">Lola </t>
  </si>
  <si>
    <t>Chase</t>
  </si>
  <si>
    <t xml:space="preserve">Michael </t>
  </si>
  <si>
    <t xml:space="preserve">Lisa </t>
  </si>
  <si>
    <t xml:space="preserve">Craig </t>
  </si>
  <si>
    <t xml:space="preserve">Logan </t>
  </si>
  <si>
    <t xml:space="preserve">Chase </t>
  </si>
  <si>
    <t>Zoey</t>
  </si>
  <si>
    <t>Lisa</t>
  </si>
  <si>
    <t>Michael</t>
  </si>
  <si>
    <t>Lola</t>
  </si>
  <si>
    <t>Quinn</t>
  </si>
  <si>
    <t>Craig</t>
  </si>
  <si>
    <t>Logan</t>
  </si>
  <si>
    <t>Graph Type</t>
  </si>
  <si>
    <t>Modularity</t>
  </si>
  <si>
    <t>NodeXL Version</t>
  </si>
  <si>
    <t>1.0.1.409</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</si>
  <si>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</si>
  <si>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</si>
  <si>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</si>
  <si>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</si>
  <si>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</si>
  <si>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</si>
  <si>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</si>
  <si>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</si>
  <si>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</si>
  <si>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</si>
  <si>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</si>
  <si>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</si>
  <si>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</si>
  <si>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</si>
  <si>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</si>
  <si>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</si>
  <si>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</si>
  <si>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</si>
  <si>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</si>
  <si>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</si>
  <si>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</si>
  <si>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</si>
  <si>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</si>
  <si>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</si>
  <si>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</si>
  <si>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</si>
  <si>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</si>
  <si>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</si>
  <si>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</si>
  <si>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</si>
  <si>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</si>
  <si>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</si>
  <si>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</si>
  <si>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G1</t>
  </si>
  <si>
    <t>G2</t>
  </si>
  <si>
    <t>0, 12, 96</t>
  </si>
  <si>
    <t>0, 136, 227</t>
  </si>
  <si>
    <t>Vertex Group</t>
  </si>
  <si>
    <t>Vertex 1 Group</t>
  </si>
  <si>
    <t>Vertex 2 Group</t>
  </si>
  <si>
    <t>G3</t>
  </si>
  <si>
    <t>0, 100, 50</t>
  </si>
  <si>
    <t>Group 1</t>
  </si>
  <si>
    <t>Group 2</t>
  </si>
  <si>
    <t>Edges</t>
  </si>
  <si>
    <t>Top URLs in Tweet in G1</t>
  </si>
  <si>
    <t>Top URLs in Tweet in G2</t>
  </si>
  <si>
    <t>G1 Count</t>
  </si>
  <si>
    <t>Top URLs in Tweet in G3</t>
  </si>
  <si>
    <t>G2 Count</t>
  </si>
  <si>
    <t>G3 Count</t>
  </si>
  <si>
    <t>Top Domains in Tweet in G1</t>
  </si>
  <si>
    <t>Top Domains in Tweet in G2</t>
  </si>
  <si>
    <t>Top Domains in Tweet in G3</t>
  </si>
  <si>
    <t>Top Hashtags in Tweet in G1</t>
  </si>
  <si>
    <t>Top Hashtags in Tweet in G2</t>
  </si>
  <si>
    <t>Top Hashtags in Tweet in G3</t>
  </si>
  <si>
    <t>Top Words in Tweet in G1</t>
  </si>
  <si>
    <t>Top Words in Tweet in G2</t>
  </si>
  <si>
    <t>Top Words in Tweet in G3</t>
  </si>
  <si>
    <t>Top Word Pairs in Tweet in G1</t>
  </si>
  <si>
    <t>Top Word Pairs in Tweet in G2</t>
  </si>
  <si>
    <t>Top Word Pairs in Tweet in G3</t>
  </si>
  <si>
    <t>Top Replied-To in G1</t>
  </si>
  <si>
    <t>Top Replied-To in G2</t>
  </si>
  <si>
    <t>Top Mentioned in G1</t>
  </si>
  <si>
    <t>Top Mentioned in G2</t>
  </si>
  <si>
    <t>Top Replied-To in G3</t>
  </si>
  <si>
    <t>Top Mentioned in G3</t>
  </si>
  <si>
    <t>Top Tweeters in G1</t>
  </si>
  <si>
    <t>Top Tweeters in G2</t>
  </si>
  <si>
    <t>Top Tweeters in G3</t>
  </si>
  <si>
    <t xml:space="preserve">Frequency </t>
  </si>
  <si>
    <t>Workbook Settings 2</t>
  </si>
  <si>
    <t>Autofill Workbook Results</t>
  </si>
  <si>
    <t>Workbook Settings 3</t>
  </si>
  <si>
    <t>Directed</t>
  </si>
  <si>
    <t>LayoutAlgorithm░The graph was laid out using the Fruchterman-Reingold layout algorithm.▓GraphDirectedness░The graph is directed.▓GroupingDescription░The graph's vertices were grouped by cluster using the Girvan-Newman cluster algorithm.</t>
  </si>
  <si>
    <t>Boy Roommates</t>
  </si>
  <si>
    <t xml:space="preserve">Girl Roommates </t>
  </si>
  <si>
    <t xml:space="preserve">Friends </t>
  </si>
  <si>
    <t>Vertices[Clustering Coefficient]</t>
  </si>
  <si>
    <t>Names</t>
  </si>
  <si>
    <t xml:space="preserve">Talk </t>
  </si>
  <si>
    <t xml:space="preserve">Playing Video Games </t>
  </si>
  <si>
    <t xml:space="preserve">Go Kart Racing </t>
  </si>
  <si>
    <t>Playing Video Games</t>
  </si>
  <si>
    <t xml:space="preserve">Go-Kart Racing </t>
  </si>
  <si>
    <t xml:space="preserve">Yoga in the Lawn </t>
  </si>
  <si>
    <t xml:space="preserve">Yoga in the Lawn  </t>
  </si>
  <si>
    <t xml:space="preserve">Talk  </t>
  </si>
  <si>
    <t>Talk</t>
  </si>
  <si>
    <t>Zoey Gives Advice</t>
  </si>
  <si>
    <t xml:space="preserve">Interaction  Type </t>
  </si>
  <si>
    <t xml:space="preserve">Blue </t>
  </si>
  <si>
    <t>Purple</t>
  </si>
  <si>
    <t>Silver</t>
  </si>
  <si>
    <t>Pink</t>
  </si>
  <si>
    <t>Hula Hoop</t>
  </si>
  <si>
    <t xml:space="preserve">Hula Hoop </t>
  </si>
  <si>
    <t>Flirts</t>
  </si>
  <si>
    <t>Sings Karoke Together</t>
  </si>
  <si>
    <t>Black</t>
  </si>
  <si>
    <t>19.000</t>
  </si>
  <si>
    <t>20.000</t>
  </si>
  <si>
    <t>3.000</t>
  </si>
  <si>
    <t>1.000</t>
  </si>
  <si>
    <t>0.000</t>
  </si>
  <si>
    <t>12.000</t>
  </si>
  <si>
    <t>Friends</t>
  </si>
  <si>
    <t>Girl Roommates</t>
  </si>
  <si>
    <t>▓0▓0▓0▓True▓Black▓Black▓▓Frequency ▓1▓5▓2▓1▓5▓False▓▓0▓0▓0▓0▓0▓False▓▓0▓0▓0▓True▓Black▓Black▓▓Eigenvector Centrality▓0.013549▓0.221391▓3▓1▓20▓True▓Closeness Centrality▓0.047619▓0.1▓3▓50▓100▓True▓▓0▓0▓0▓0▓0▓False▓▓0▓0▓0▓0▓0▓False</t>
  </si>
  <si>
    <t>128, 0, 64</t>
  </si>
  <si>
    <t>255, 128, 128</t>
  </si>
  <si>
    <t>64, 128, 128</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</si>
  <si>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name="UseCredentials" serializeAs="String"&gt;
        &lt;value&gt;True&lt;/value&gt;
      &lt;/setting&gt;
      &lt;setting name="ExportGraphML" serializeAs="String"&gt;
        &lt;value&gt;False&lt;/value&gt;
      &lt;/setting&gt;
      &lt;setting name="UseFixedAspectRatio" serializeAs="String"&gt;
        &lt;value&gt;False&lt;/value&gt;
      &lt;/setting&gt;
      &lt;setting name="ExportWorkbookAndSettings" serializeAs="String"&gt;
        &lt;value&gt;False&lt;/value&gt;
      &lt;/setting&gt;
      &lt;setting name="Author" serializeAs="String"&gt;
        &lt;value&gt;karab22&lt;/value&gt;
      &lt;/setting&gt;
      &lt;setting name="SpaceDelimitedTags" serializeAs="String"&gt;
        &lt;value /&gt;
      &lt;/setting&gt;
    &lt;/ExportToNodeXLGraphGalleryUserSettings&gt;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&lt;DynamicFiltersUserSettings&gt;
      &lt;setting name="FilterNonNumericCells" serializeAs="String"&gt;
        &lt;value&gt;False&lt;/value&gt;
      &lt;/setting&gt;
      &lt;setting name="FilteredAlpha" serializeAs="String"&gt;
        &lt;value&gt;0&lt;/value&gt;
      &lt;/setting&gt;
    &lt;/DynamicFiltersUserSettings&gt;
    &lt;GeneralUserSettings4&gt;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9.75pt, style=Bold White BottomCenter 2147483647 2147483647 Black True 200 Black 86 TopRight Microsoft Sans Serif, 8.25pt Microsoft Sans Serif, 14.25pt, style=Bold&lt;/value&gt;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t>
  </si>
  <si>
    <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&lt;setting name="NewWorkbookGraphDirectedness" serializeAs="String"&gt;
        &lt;value&gt;Directed&lt;/value&gt;
      &lt;/setting&gt;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&lt;/GeneralUserSettings4&gt;
    &lt;LayoutUserSettings&gt;
      &lt;setting name="Layout" serializeAs="String"&gt;
        &lt;value&gt;FruchtermanReingold&lt;/value&gt;
      &lt;/setting&gt;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&lt;/LayoutUserSettings&gt;
    &lt;AutoFillUserSettings3&gt;
      &lt;setting name="VertexLabelSourceColumnName" serializeAs="String"&gt;
        &lt;value&gt;Vertex&lt;/value&gt;
      &lt;/setting&gt;
      &lt;setting name="VertexPolarRSourceColumnName" serializeAs="String"&gt;
        &lt;value /&gt;
      &lt;/setting&gt;
      &lt;setting name="VertexLabelPositionSourceColumnName" serializeAs="String"&gt;
        &lt;value /&gt;
      &lt;/setting&gt;
      &lt;setting name="VertexShapeSourceColumnName" serializeAs="String"&gt;
        &lt;value /&gt;
      &lt;/setting&gt;
      &lt;setting name="VertexXSourceColumnName" serializeAs="String"&gt;
        &lt;value /&gt;
      &lt;/setting&gt;
      &lt;setting name="VertexColorSourceColumnName" serializeAs="String"&gt;
        &lt;value /&gt;
      &lt;/setting&gt;
      &lt;setting name="EdgeColorSourceColumnName" serializeAs="String"&gt;
        &lt;value&gt;Interaction  Type &lt;/value&gt;
      &lt;/setting&gt;
      &lt;setting name="VertexVisibilitySourceColumnName" serializeAs="String"&gt;
        &lt;value /&gt;
      &lt;/setting&gt;
      &lt;setting name="EdgeWidthSourceColumnName" serializeAs="String"&gt;
        &lt;value&gt;Frequency &lt;/value&gt;
      &lt;/setting&gt;
      &lt;setting name="EdgeLabelSourceColumnName" serializeAs="String"&gt;
        &lt;value /&gt;
      &lt;/setting&gt;
      &lt;setting name="GroupCollapsedSourceColumnName" serializeAs="String"&gt;
        &lt;value /&gt;
      &lt;/setting&gt;
      &lt;setting name="VertexLayoutOrderSourceColumnName" serializeAs="String"&gt;
        &lt;value /&gt;
      &lt;/setting&gt;
      &lt;setting name="EdgeVisibilitySourceColumnName" serializeAs="String"&gt;
        &lt;value /&gt;
      &lt;/setting&gt;
      &lt;setting name="EdgeStyleSourceColumnName" serializeAs="String"&gt;
        &lt;value /&gt;
      &lt;/setting&gt;
      &lt;setting name="VertexPolarAngleSourceColumnName" serializeAs="String"&gt;
        &lt;value /&gt;
      &lt;/setting&gt;
      &lt;setting name="GroupLabelSourceColumnName" serializeAs="String"&gt;
        &lt;value&gt;Names&lt;/value&gt;
      &lt;/setting&gt;
      &lt;setting name="EdgeAlphaSourceColumnName" serializeAs="String"&gt;
        &lt;value /&gt;
      &lt;/setting&gt;
      &lt;setting name="VertexAlphaSourceColumnName" serializeAs="String"&gt;
        &lt;value&gt;Closeness Centrality&lt;/value&gt;
      &lt;/setting&gt;
      &lt;setting name="VertexRadiusSourceColumnName" serializeAs="String"&gt;
        &lt;value&gt;Eigenvector Centrality&lt;/value&gt;
      &lt;/setting&gt;
      &lt;setting name="VertexToolTipSourceColumnName" serializeAs="String"&gt;
        &lt;value&gt;Betweenness Centrality&lt;/value&gt;
      &lt;/setting&gt;
      &lt;setting name="VertexYSourceColumnName" serializeAs="String"&gt;
        &lt;value /&gt;
      &lt;/setting&gt;
      &lt;setting name="VertexLabelFillColorSourceColumnName" serializeAs="String"&gt;
        &lt;value /&gt;
      &lt;/setting&gt;
      &lt;setting name="VertexLabelPositionDetails" serializeAs="String"&gt;
        &lt;value&gt;GreaterThan 0 Top Center &lt;/value&gt;
      &lt;/setting&gt;
      &lt;setting name="VertexYDetails" serializeAs="String"&gt;
        &lt;value&gt;False False 0 0 0 9999 False False&lt;/value&gt;
      &lt;/setting&gt;
      &lt;setting name="VertexRadiusDetails" serializeAs="String"&gt;
        &lt;value&gt;False False 0 0 1 20 False True&lt;/value&gt;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t>
  </si>
  <si>
    <t>izeAs="String"&gt;
        &lt;value&gt;False False 0 0 0 359 False False&lt;/value&gt;
      &lt;/setting&gt;
      &lt;setting name="VertexLayoutOrderDetails" serializeAs="String"&gt;
        &lt;value&gt;False False 0 0 1 9999 False False&lt;/value&gt;
      &lt;/setting&gt;
      &lt;setting name="EdgeStyleDetails" serializeAs="String"&gt;
        &lt;value&gt;GreaterThan 0 Solid Dash&lt;/value&gt;
      &lt;/setting&gt;
      &lt;setting name="EdgeVisibilityDetails" serializeAs="String"&gt;
        &lt;value&gt;GreaterThan 0 Show Skip&lt;/value&gt;
      &lt;/setting&gt;
      &lt;setting name="VertexColorDetails" serializeAs="String"&gt;
        &lt;value&gt;False False 0 10 241, 137, 4 46, 7, 195 False False True&lt;/value&gt;
      &lt;/setting&gt;
      &lt;setting name="VertexPolarRDetails" serializeAs="String"&gt;
        &lt;value&gt;False False 0 0 0 1 False False&lt;/value&gt;
      &lt;/setting&gt;
      &lt;setting name="VertexShapeDetails" serializeAs="String"&gt;
        &lt;value&gt;GreaterThan 0 Solid Square Disk&lt;/value&gt;
      &lt;/setting&gt;
      &lt;setting name="VertexLabelFillColorDetails" serializeAs="String"&gt;
        &lt;value&gt;False False 0 10 241, 137, 4 46, 7, 195 False False True&lt;/value&gt;
      &lt;/setting&gt;
      &lt;setting name="VertexAlphaDetails" serializeAs="String"&gt;
        &lt;value&gt;False False 0 0 50 100 False True&lt;/value&gt;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1 5 False False&lt;/value&gt;
      &lt;/setting&gt;
      &lt;setting name="EdgeColorDetails" serializeAs="String"&gt;
        &lt;value&gt;False False 0 0 241, 137, 4 46, 7, 195 False False True&lt;/value&gt;
      &lt;/setting&gt;
      &lt;setting name="GroupLabelDetails" serializeAs="String"&gt;
        &lt;value&gt;True&lt;/value&gt;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&lt;ClusterUserSettings&gt;
      &lt;setting name="ClusterAlgorithm" serializeAs="String"&gt;
        &lt;value&gt;GirvanNewman&lt;/value&gt;
      &lt;/setting&gt;
      &lt;setting name="PutNeighborlessVerticesInOneCluster" serializeAs="String"&gt;
        &lt;value&gt;False&lt;/value&gt;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</si>
</sst>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0"/>
    <numFmt numFmtId="178" formatCode="General"/>
    <numFmt numFmtId="179" formatCode="@"/>
    <numFmt numFmtId="180" formatCode="#,##0.00"/>
    <numFmt numFmtId="181"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0" fontId="0" fillId="2" borderId="11" xfId="20" applyNumberFormat="1" applyFont="1" applyBorder="1"/>
    <xf numFmtId="0" fontId="0" fillId="0" borderId="0" xfId="21" applyNumberFormat="1" applyFont="1" applyBorder="1"/>
    <xf numFmtId="0" fontId="0" fillId="0" borderId="0" xfId="0" applyAlignment="1">
      <alignment/>
    </xf>
    <xf numFmtId="0" fontId="0" fillId="3" borderId="1" xfId="27" applyNumberFormat="1" applyAlignment="1">
      <alignment/>
    </xf>
    <xf numFmtId="0" fontId="0" fillId="0" borderId="0" xfId="0" applyFill="1" applyAlignment="1">
      <alignment/>
    </xf>
    <xf numFmtId="0" fontId="0" fillId="0" borderId="0" xfId="0" applyAlignment="1" quotePrefix="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49" fontId="0" fillId="0" borderId="7" xfId="22" applyNumberFormat="1" applyFont="1" applyBorder="1" applyAlignment="1">
      <alignment/>
    </xf>
    <xf numFmtId="0" fontId="0" fillId="0" borderId="0" xfId="22" applyFont="1" applyAlignment="1">
      <alignment/>
    </xf>
    <xf numFmtId="0" fontId="0" fillId="0" borderId="0" xfId="22" applyFont="1" applyAlignment="1">
      <alignment wrapText="1"/>
    </xf>
    <xf numFmtId="0" fontId="0" fillId="0" borderId="7" xfId="22" applyFont="1" applyBorder="1" applyAlignment="1">
      <alignment/>
    </xf>
    <xf numFmtId="0" fontId="0" fillId="0" borderId="0" xfId="22" applyFont="1" applyBorder="1" applyAlignment="1">
      <alignment/>
    </xf>
    <xf numFmtId="2" fontId="0" fillId="0" borderId="0" xfId="0" applyNumberFormat="1"/>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2" borderId="11" xfId="20" applyNumberFormat="1" applyFont="1" applyBorder="1" applyAlignment="1">
      <alignment wrapText="1"/>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07">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dxf>
    <dxf>
      <numFmt numFmtId="179" formatCode="@"/>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dxf>
    <dxf>
      <numFmt numFmtId="178" formatCode="General"/>
    </dxf>
    <dxf>
      <numFmt numFmtId="166" formatCode="#,##0.000"/>
      <border>
        <right style="thin">
          <color theme="0"/>
        </right>
      </border>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numFmt numFmtId="181" formatCode="0.0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06"/>
      <tableStyleElement type="headerRow" dxfId="205"/>
    </tableStyle>
    <tableStyle name="NodeXL Table" pivot="0" count="1">
      <tableStyleElement type="headerRow" dxfId="20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0786710"/>
        <c:axId val="52862663"/>
      </c:barChart>
      <c:catAx>
        <c:axId val="207867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862663"/>
        <c:crosses val="autoZero"/>
        <c:auto val="1"/>
        <c:lblOffset val="100"/>
        <c:noMultiLvlLbl val="0"/>
      </c:catAx>
      <c:valAx>
        <c:axId val="52862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86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01920"/>
        <c:axId val="54017281"/>
      </c:barChart>
      <c:catAx>
        <c:axId val="60019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017281"/>
        <c:crosses val="autoZero"/>
        <c:auto val="1"/>
        <c:lblOffset val="100"/>
        <c:noMultiLvlLbl val="0"/>
      </c:catAx>
      <c:valAx>
        <c:axId val="54017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1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6393482"/>
        <c:axId val="13323611"/>
      </c:barChart>
      <c:catAx>
        <c:axId val="163934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323611"/>
        <c:crosses val="autoZero"/>
        <c:auto val="1"/>
        <c:lblOffset val="100"/>
        <c:noMultiLvlLbl val="0"/>
      </c:catAx>
      <c:valAx>
        <c:axId val="13323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93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2803636"/>
        <c:axId val="5470677"/>
      </c:barChart>
      <c:catAx>
        <c:axId val="528036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70677"/>
        <c:crosses val="autoZero"/>
        <c:auto val="1"/>
        <c:lblOffset val="100"/>
        <c:noMultiLvlLbl val="0"/>
      </c:catAx>
      <c:valAx>
        <c:axId val="5470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03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9236094"/>
        <c:axId val="40471663"/>
      </c:barChart>
      <c:catAx>
        <c:axId val="492360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471663"/>
        <c:crosses val="autoZero"/>
        <c:auto val="1"/>
        <c:lblOffset val="100"/>
        <c:noMultiLvlLbl val="0"/>
      </c:catAx>
      <c:valAx>
        <c:axId val="40471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36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8700648"/>
        <c:axId val="56979241"/>
      </c:barChart>
      <c:catAx>
        <c:axId val="287006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979241"/>
        <c:crosses val="autoZero"/>
        <c:auto val="1"/>
        <c:lblOffset val="100"/>
        <c:noMultiLvlLbl val="0"/>
      </c:catAx>
      <c:valAx>
        <c:axId val="56979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00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3051122"/>
        <c:axId val="51915779"/>
      </c:barChart>
      <c:catAx>
        <c:axId val="430511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915779"/>
        <c:crosses val="autoZero"/>
        <c:auto val="1"/>
        <c:lblOffset val="100"/>
        <c:noMultiLvlLbl val="0"/>
      </c:catAx>
      <c:valAx>
        <c:axId val="51915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51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4588828"/>
        <c:axId val="44428541"/>
      </c:barChart>
      <c:catAx>
        <c:axId val="645888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428541"/>
        <c:crosses val="autoZero"/>
        <c:auto val="1"/>
        <c:lblOffset val="100"/>
        <c:noMultiLvlLbl val="0"/>
      </c:catAx>
      <c:valAx>
        <c:axId val="44428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88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4312550"/>
        <c:axId val="41942039"/>
      </c:barChart>
      <c:catAx>
        <c:axId val="64312550"/>
        <c:scaling>
          <c:orientation val="minMax"/>
        </c:scaling>
        <c:axPos val="b"/>
        <c:delete val="1"/>
        <c:majorTickMark val="out"/>
        <c:minorTickMark val="none"/>
        <c:tickLblPos val="none"/>
        <c:crossAx val="41942039"/>
        <c:crosses val="autoZero"/>
        <c:auto val="1"/>
        <c:lblOffset val="100"/>
        <c:noMultiLvlLbl val="0"/>
      </c:catAx>
      <c:valAx>
        <c:axId val="41942039"/>
        <c:scaling>
          <c:orientation val="minMax"/>
        </c:scaling>
        <c:axPos val="l"/>
        <c:delete val="1"/>
        <c:majorTickMark val="out"/>
        <c:minorTickMark val="none"/>
        <c:tickLblPos val="none"/>
        <c:crossAx val="643125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Q26" totalsRowShown="0" headerRowDxfId="203" dataDxfId="202">
  <autoFilter ref="A2:Q26"/>
  <sortState ref="A3:Q29">
    <sortCondition descending="1" sortBy="value" ref="N3:N29"/>
  </sortState>
  <tableColumns count="17">
    <tableColumn id="1" name="Vertex 1" dataDxfId="201"/>
    <tableColumn id="2" name="Vertex 2" dataDxfId="200"/>
    <tableColumn id="3" name="Color" dataDxfId="199"/>
    <tableColumn id="4" name="Width" dataDxfId="198"/>
    <tableColumn id="11" name="Style" dataDxfId="197"/>
    <tableColumn id="5" name="Opacity" dataDxfId="196"/>
    <tableColumn id="6" name="Visibility" dataDxfId="195"/>
    <tableColumn id="10" name="Label" dataDxfId="194"/>
    <tableColumn id="12" name="Label Text Color" dataDxfId="193"/>
    <tableColumn id="13" name="Label Font Size" dataDxfId="192"/>
    <tableColumn id="14" name="Reciprocated?" dataDxfId="25"/>
    <tableColumn id="7" name="ID" dataDxfId="191"/>
    <tableColumn id="9" name="Dynamic Filter" dataDxfId="190">
      <calculatedColumnFormula> IF(AND(OR(NOT(ISNUMBER(Edges[[Frequency ]])), Edges[[Frequency ]] &gt;= Misc!$O$2), OR(NOT(ISNUMBER(Edges[[Frequency ]])), Edges[[Frequency ]] &lt;= Misc!$P$2),TRUE), TRUE, FALSE)</calculatedColumnFormula>
    </tableColumn>
    <tableColumn id="8" name="Frequency " dataDxfId="189"/>
    <tableColumn id="15" name="Vertex 1 Group" dataDxfId="188">
      <calculatedColumnFormula>REPLACE(INDEX(GroupVertices[Group], MATCH(Edges[[#This Row],[Vertex 1]],GroupVertices[Vertex],0)),1,1,"")</calculatedColumnFormula>
    </tableColumn>
    <tableColumn id="16" name="Vertex 2 Group" dataDxfId="132">
      <calculatedColumnFormula>REPLACE(INDEX(GroupVertices[Group], MATCH(Edges[[#This Row],[Vertex 2]],GroupVertices[Vertex],0)),1,1,"")</calculatedColumnFormula>
    </tableColumn>
    <tableColumn id="17" name="Interaction  Type " dataDxfId="1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11" totalsRowShown="0" headerRowDxfId="135">
  <autoFilter ref="M1:P11"/>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2" totalsRowShown="0" headerRowDxfId="125" dataDxfId="124">
  <autoFilter ref="A1:H2"/>
  <tableColumns count="8">
    <tableColumn id="1" name="Top URLs in Tweet in Entire Graph" dataDxfId="123"/>
    <tableColumn id="2" name="Entire Graph Count" dataDxfId="122"/>
    <tableColumn id="3" name="Top URLs in Tweet in G1" dataDxfId="121"/>
    <tableColumn id="4" name="G1 Count" dataDxfId="120"/>
    <tableColumn id="5" name="Top URLs in Tweet in G2" dataDxfId="119"/>
    <tableColumn id="6" name="G2 Count" dataDxfId="118"/>
    <tableColumn id="7" name="Top URLs in Tweet in G3" dataDxfId="117"/>
    <tableColumn id="8" name="G3 Count" dataDxfId="11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H5" totalsRowShown="0" headerRowDxfId="115" dataDxfId="114">
  <autoFilter ref="A4:H5"/>
  <tableColumns count="8">
    <tableColumn id="1" name="Top Domains in Tweet in Entire Graph" dataDxfId="113"/>
    <tableColumn id="2" name="Entire Graph Count" dataDxfId="112"/>
    <tableColumn id="3" name="Top Domains in Tweet in G1" dataDxfId="111"/>
    <tableColumn id="4" name="G1 Count" dataDxfId="110"/>
    <tableColumn id="5" name="Top Domains in Tweet in G2" dataDxfId="109"/>
    <tableColumn id="6" name="G2 Count" dataDxfId="108"/>
    <tableColumn id="7" name="Top Domains in Tweet in G3" dataDxfId="107"/>
    <tableColumn id="8" name="G3 Count" dataDxfId="10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H8" totalsRowShown="0" headerRowDxfId="105" dataDxfId="104">
  <autoFilter ref="A7:H8"/>
  <tableColumns count="8">
    <tableColumn id="1" name="Top Hashtags in Tweet in Entire Graph" dataDxfId="103"/>
    <tableColumn id="2" name="Entire Graph Count" dataDxfId="102"/>
    <tableColumn id="3" name="Top Hashtags in Tweet in G1" dataDxfId="101"/>
    <tableColumn id="4" name="G1 Count" dataDxfId="100"/>
    <tableColumn id="5" name="Top Hashtags in Tweet in G2" dataDxfId="99"/>
    <tableColumn id="6" name="G2 Count" dataDxfId="98"/>
    <tableColumn id="7" name="Top Hashtags in Tweet in G3" dataDxfId="97"/>
    <tableColumn id="8" name="G3 Count" dataDxfId="96"/>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H15" totalsRowShown="0" headerRowDxfId="94" dataDxfId="93">
  <autoFilter ref="A10:H15"/>
  <tableColumns count="8">
    <tableColumn id="1" name="Top Words in Tweet in Entire Graph" dataDxfId="92"/>
    <tableColumn id="2" name="Entire Graph Count" dataDxfId="91"/>
    <tableColumn id="3" name="Top Words in Tweet in G1" dataDxfId="90"/>
    <tableColumn id="4" name="G1 Count" dataDxfId="89"/>
    <tableColumn id="5" name="Top Words in Tweet in G2" dataDxfId="88"/>
    <tableColumn id="6" name="G2 Count" dataDxfId="87"/>
    <tableColumn id="7" name="Top Words in Tweet in G3" dataDxfId="86"/>
    <tableColumn id="8" name="G3 Count" dataDxfId="8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H19" totalsRowShown="0" headerRowDxfId="83" dataDxfId="82">
  <autoFilter ref="A18:H19"/>
  <tableColumns count="8">
    <tableColumn id="1" name="Top Word Pairs in Tweet in Entire Graph" dataDxfId="81"/>
    <tableColumn id="2" name="Entire Graph Count" dataDxfId="80"/>
    <tableColumn id="3" name="Top Word Pairs in Tweet in G1" dataDxfId="79"/>
    <tableColumn id="4" name="G1 Count" dataDxfId="78"/>
    <tableColumn id="5" name="Top Word Pairs in Tweet in G2" dataDxfId="77"/>
    <tableColumn id="6" name="G2 Count" dataDxfId="76"/>
    <tableColumn id="7" name="Top Word Pairs in Tweet in G3" dataDxfId="75"/>
    <tableColumn id="8" name="G3 Count" dataDxfId="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H22" totalsRowShown="0" headerRowDxfId="72" dataDxfId="71">
  <autoFilter ref="A21:H22"/>
  <tableColumns count="8">
    <tableColumn id="1" name="Top Replied-To in Entire Graph" dataDxfId="70"/>
    <tableColumn id="2" name="Entire Graph Count" dataDxfId="66"/>
    <tableColumn id="3" name="Top Replied-To in G1" dataDxfId="65"/>
    <tableColumn id="4" name="G1 Count" dataDxfId="62"/>
    <tableColumn id="5" name="Top Replied-To in G2" dataDxfId="61"/>
    <tableColumn id="6" name="G2 Count" dataDxfId="58"/>
    <tableColumn id="7" name="Top Replied-To in G3" dataDxfId="57"/>
    <tableColumn id="8" name="G3 Count" dataDxfId="5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H25" totalsRowShown="0" headerRowDxfId="69" dataDxfId="68">
  <autoFilter ref="A24:H25"/>
  <tableColumns count="8">
    <tableColumn id="1" name="Top Mentioned in Entire Graph" dataDxfId="67"/>
    <tableColumn id="2" name="Entire Graph Count" dataDxfId="64"/>
    <tableColumn id="3" name="Top Mentioned in G1" dataDxfId="63"/>
    <tableColumn id="4" name="G1 Count" dataDxfId="60"/>
    <tableColumn id="5" name="Top Mentioned in G2" dataDxfId="59"/>
    <tableColumn id="6" name="G2 Count" dataDxfId="55"/>
    <tableColumn id="7" name="Top Mentioned in G3" dataDxfId="54"/>
    <tableColumn id="8" name="G3 Count" dataDxfId="5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H28" totalsRowShown="0" headerRowDxfId="50" dataDxfId="49">
  <autoFilter ref="A27:H28"/>
  <tableColumns count="8">
    <tableColumn id="1" name="Top Tweeters in Entire Graph" dataDxfId="48"/>
    <tableColumn id="2" name="Entire Graph Count" dataDxfId="47"/>
    <tableColumn id="3" name="Top Tweeters in G1" dataDxfId="46"/>
    <tableColumn id="4" name="G1 Count" dataDxfId="45"/>
    <tableColumn id="5" name="Top Tweeters in G2" dataDxfId="44"/>
    <tableColumn id="6" name="G2 Count" dataDxfId="43"/>
    <tableColumn id="7" name="Top Tweeters in G3" dataDxfId="42"/>
    <tableColumn id="8" name="G3 Count" dataDxfId="41"/>
  </tableColumns>
  <tableStyleInfo name="NodeXL Table" showFirstColumn="0" showLastColumn="0" showRowStripes="1" showColumnStripes="0"/>
</table>
</file>

<file path=xl/tables/table19.xml><?xml version="1.0" encoding="utf-8"?>
<table xmlns="http://schemas.openxmlformats.org/spreadsheetml/2006/main" id="27" name="GroupEdges" displayName="GroupEdges" ref="A2:C9" totalsRowShown="0" headerRowDxfId="134" dataDxfId="133">
  <autoFilter ref="A2:C9"/>
  <tableColumns count="3">
    <tableColumn id="1" name="Group 1" dataDxfId="130"/>
    <tableColumn id="2" name="Group 2" dataDxfId="129"/>
    <tableColumn id="3" name="Edges"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10" totalsRowShown="0" headerRowDxfId="187" dataDxfId="186">
  <autoFilter ref="A2:AN10"/>
  <sortState ref="A3:AN10">
    <sortCondition descending="1" sortBy="value" ref="W3:W10"/>
  </sortState>
  <tableColumns count="40">
    <tableColumn id="1" name="Vertex" dataDxfId="185"/>
    <tableColumn id="2" name="Color" dataDxfId="184"/>
    <tableColumn id="5" name="Shape" dataDxfId="183"/>
    <tableColumn id="6" name="Size" dataDxfId="182"/>
    <tableColumn id="4" name="Opacity" dataDxfId="181"/>
    <tableColumn id="7" name="Image File" dataDxfId="180"/>
    <tableColumn id="3" name="Visibility" dataDxfId="179"/>
    <tableColumn id="10" name="Label" dataDxfId="178"/>
    <tableColumn id="16" name="Label Fill Color" dataDxfId="177"/>
    <tableColumn id="9" name="Label Position" dataDxfId="176"/>
    <tableColumn id="8" name="Tooltip" dataDxfId="175"/>
    <tableColumn id="18" name="Layout Order" dataDxfId="174"/>
    <tableColumn id="13" name="X" dataDxfId="173"/>
    <tableColumn id="14" name="Y" dataDxfId="172"/>
    <tableColumn id="12" name="Locked?" dataDxfId="171"/>
    <tableColumn id="19" name="Polar R" dataDxfId="170"/>
    <tableColumn id="20" name="Polar Angle" dataDxfId="169"/>
    <tableColumn id="21" name="Degree" dataDxfId="8"/>
    <tableColumn id="22" name="In-Degree" dataDxfId="7"/>
    <tableColumn id="23" name="Out-Degree" dataDxfId="4"/>
    <tableColumn id="24" name="Betweenness Centrality" dataDxfId="3"/>
    <tableColumn id="25" name="Closeness Centrality" dataDxfId="2"/>
    <tableColumn id="26" name="Eigenvector Centrality" dataDxfId="0"/>
    <tableColumn id="15" name="PageRank" dataDxfId="1"/>
    <tableColumn id="27" name="Clustering Coefficient" dataDxfId="5"/>
    <tableColumn id="29" name="Reciprocated Vertex Pair Ratio" dataDxfId="6"/>
    <tableColumn id="11" name="ID" dataDxfId="168"/>
    <tableColumn id="28" name="Dynamic Filter" dataDxfId="167">
      <calculatedColumnFormula> IF(AND(OR(NOT(ISNUMBER(Vertices[Size])), Vertices[Size] &gt;= Misc!$O$3), OR(NOT(ISNUMBER(Vertices[Size])), Vertices[Size] &lt;= Misc!$P$3),OR(NOT(ISNUMBER(Vertices[X])), Vertices[X] &gt;= Misc!$O$4), OR(NOT(ISNUMBER(Vertices[X])), Vertices[X] &lt;= Misc!$P$4),OR(NOT(ISNUMBER(Vertices[Y])), Vertices[Y] &gt;= Misc!$O$5), OR(NOT(ISNUMBER(Vertices[Y])), Vertices[Y] &lt;= Misc!$P$5),OR(NOT(ISNUMBER(Vertices[Degree])), Vertices[Degree] &gt;= Misc!$O$6), OR(NOT(ISNUMBER(Vertices[Degree])), Vertices[Degree] &lt;= Misc!$P$6),OR(NOT(ISNUMBER(Vertices[Betweenness Centrality])), Vertices[Betweenness Centrality] &gt;= Misc!$O$7), OR(NOT(ISNUMBER(Vertices[Betweenness Centrality])), Vertices[Betweenness Centrality] &lt;= Misc!$P$7),OR(NOT(ISNUMBER(Vertices[Closeness Centrality])), Vertices[Closeness Centrality] &gt;= Misc!$O$8), OR(NOT(ISNUMBER(Vertices[Closeness Centrality])), Vertices[Closeness Centrality] &lt;= Misc!$P$8),OR(NOT(ISNUMBER(Vertices[Eigenvector Centrality])), Vertices[Eigenvector Centrality] &gt;= Misc!$O$9), OR(NOT(ISNUMBER(Vertices[Eigenvector Centrality])), Vertices[Eigenvector Centrality] &lt;= Misc!$P$9),OR(NOT(ISNUMBER(Vertices[PageRank])), Vertices[PageRank] &gt;= Misc!$O$10), OR(NOT(ISNUMBER(Vertices[PageRank])), Vertices[PageRank] &lt;= Misc!$P$10),OR(NOT(ISNUMBER(Vertices[Clustering Coefficient])), Vertices[Clustering Coefficient] &gt;= Misc!$O$11), OR(NOT(ISNUMBER(Vertices[Clustering Coefficient])), Vertices[Clustering Coefficient] &lt;= Misc!$P$11),TRUE), TRUE, FALSE)</calculatedColumnFormula>
    </tableColumn>
    <tableColumn id="17" name="Add Your Own Columns Here" dataDxfId="37"/>
    <tableColumn id="30" name="Top URLs in Tweet by Count" dataDxfId="36"/>
    <tableColumn id="31" name="Top URLs in Tweet by Salience" dataDxfId="35"/>
    <tableColumn id="32" name="Top Domains in Tweet by Count" dataDxfId="34"/>
    <tableColumn id="33" name="Top Domains in Tweet by Salience" dataDxfId="33"/>
    <tableColumn id="34" name="Top Hashtags in Tweet by Count" dataDxfId="32"/>
    <tableColumn id="35" name="Top Hashtags in Tweet by Salience" dataDxfId="31"/>
    <tableColumn id="36" name="Top Words in Tweet by Count" dataDxfId="30"/>
    <tableColumn id="37" name="Top Words in Tweet by Salience" dataDxfId="29"/>
    <tableColumn id="38" name="Top Word Pairs in Tweet by Count" dataDxfId="28"/>
    <tableColumn id="39" name="Top Word Pairs in Tweet by Salience" dataDxfId="26"/>
    <tableColumn id="40" name="Vertex Group" dataDxfId="2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AG5" totalsRowShown="0" headerRowDxfId="166">
  <autoFilter ref="A2:AG5"/>
  <tableColumns count="33">
    <tableColumn id="1" name="Group" dataDxfId="165"/>
    <tableColumn id="2" name="Vertex Color" dataDxfId="164"/>
    <tableColumn id="3" name="Vertex Shape" dataDxfId="163"/>
    <tableColumn id="22" name="Visibility" dataDxfId="162"/>
    <tableColumn id="4" name="Collapsed?"/>
    <tableColumn id="18" name="Label" dataDxfId="161"/>
    <tableColumn id="20" name="Collapsed X"/>
    <tableColumn id="21" name="Collapsed Y"/>
    <tableColumn id="6" name="ID" dataDxfId="160"/>
    <tableColumn id="19" name="Collapsed Properties" dataDxfId="24"/>
    <tableColumn id="5" name="Vertices" dataDxfId="23"/>
    <tableColumn id="7" name="Unique Edges" dataDxfId="22"/>
    <tableColumn id="8" name="Edges With Duplicates" dataDxfId="21"/>
    <tableColumn id="9" name="Total Edges" dataDxfId="20"/>
    <tableColumn id="10" name="Self-Loops" dataDxfId="19"/>
    <tableColumn id="24" name="Reciprocated Vertex Pair Ratio" dataDxfId="18"/>
    <tableColumn id="25" name="Reciprocated Edge Ratio" dataDxfId="17"/>
    <tableColumn id="11" name="Connected Components" dataDxfId="16"/>
    <tableColumn id="12" name="Single-Vertex Connected Components" dataDxfId="15"/>
    <tableColumn id="13" name="Maximum Vertices in a Connected Component" dataDxfId="14"/>
    <tableColumn id="14" name="Maximum Edges in a Connected Component" dataDxfId="13"/>
    <tableColumn id="15" name="Maximum Geodesic Distance (Diameter)" dataDxfId="12"/>
    <tableColumn id="16" name="Average Geodesic Distance" dataDxfId="11"/>
    <tableColumn id="17" name="Graph Density" dataDxfId="9"/>
    <tableColumn id="23" name="Top URLs in Tweet" dataDxfId="10"/>
    <tableColumn id="26" name="Top Domains in Tweet" dataDxfId="95"/>
    <tableColumn id="27" name="Top Hashtags in Tweet" dataDxfId="84"/>
    <tableColumn id="28" name="Top Words in Tweet" dataDxfId="73"/>
    <tableColumn id="29" name="Top Word Pairs in Tweet" dataDxfId="52"/>
    <tableColumn id="30" name="Top Replied-To in Tweet" dataDxfId="51"/>
    <tableColumn id="31" name="Top Mentioned in Tweet" dataDxfId="40"/>
    <tableColumn id="32" name="Top Tweeters" dataDxfId="38"/>
    <tableColumn id="33" name="Names" dataDxfId="3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159" dataDxfId="158">
  <autoFilter ref="A1:C9"/>
  <tableColumns count="3">
    <tableColumn id="1" name="Group" dataDxfId="157"/>
    <tableColumn id="2" name="Vertex" dataDxfId="156"/>
    <tableColumn id="3" name="Vertex ID" dataDxfId="15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27"/>
    <tableColumn id="2" name="Value" dataDxfId="12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54"/>
    <tableColumn id="2" name="Degree Frequency" dataDxfId="153">
      <calculatedColumnFormula>COUNTIF(Vertices[Degree], "&gt;= " &amp; D2) - COUNTIF(Vertices[Degree], "&gt;=" &amp; D3)</calculatedColumnFormula>
    </tableColumn>
    <tableColumn id="3" name="In-Degree Bin" dataDxfId="152"/>
    <tableColumn id="4" name="In-Degree Frequency" dataDxfId="151">
      <calculatedColumnFormula>COUNTIF(Vertices[In-Degree], "&gt;= " &amp; F2) - COUNTIF(Vertices[In-Degree], "&gt;=" &amp; F3)</calculatedColumnFormula>
    </tableColumn>
    <tableColumn id="5" name="Out-Degree Bin" dataDxfId="150"/>
    <tableColumn id="6" name="Out-Degree Frequency" dataDxfId="149">
      <calculatedColumnFormula>COUNTIF(Vertices[Out-Degree], "&gt;= " &amp; H2) - COUNTIF(Vertices[Out-Degree], "&gt;=" &amp; H3)</calculatedColumnFormula>
    </tableColumn>
    <tableColumn id="7" name="Betweenness Centrality Bin" dataDxfId="148"/>
    <tableColumn id="8" name="Betweenness Centrality Frequency" dataDxfId="147">
      <calculatedColumnFormula>COUNTIF(Vertices[Betweenness Centrality], "&gt;= " &amp; J2) - COUNTIF(Vertices[Betweenness Centrality], "&gt;=" &amp; J3)</calculatedColumnFormula>
    </tableColumn>
    <tableColumn id="9" name="Closeness Centrality Bin" dataDxfId="146"/>
    <tableColumn id="10" name="Closeness Centrality Frequency" dataDxfId="145">
      <calculatedColumnFormula>COUNTIF(Vertices[Closeness Centrality], "&gt;= " &amp; L2) - COUNTIF(Vertices[Closeness Centrality], "&gt;=" &amp; L3)</calculatedColumnFormula>
    </tableColumn>
    <tableColumn id="11" name="Eigenvector Centrality Bin" dataDxfId="144"/>
    <tableColumn id="12" name="Eigenvector Centrality Frequency" dataDxfId="143">
      <calculatedColumnFormula>COUNTIF(Vertices[Eigenvector Centrality], "&gt;= " &amp; N2) - COUNTIF(Vertices[Eigenvector Centrality], "&gt;=" &amp; N3)</calculatedColumnFormula>
    </tableColumn>
    <tableColumn id="18" name="PageRank Bin" dataDxfId="142"/>
    <tableColumn id="17" name="PageRank Frequency" dataDxfId="141">
      <calculatedColumnFormula>COUNTIF(Vertices[Eigenvector Centrality], "&gt;= " &amp; P2) - COUNTIF(Vertices[Eigenvector Centrality], "&gt;=" &amp; P3)</calculatedColumnFormula>
    </tableColumn>
    <tableColumn id="13" name="Clustering Coefficient Bin" dataDxfId="140"/>
    <tableColumn id="14" name="Clustering Coefficient Frequency" dataDxfId="139">
      <calculatedColumnFormula>COUNTIF(Vertices[Clustering Coefficient], "&gt;= " &amp; R2) - COUNTIF(Vertices[Clustering Coefficient], "&gt;=" &amp; R3)</calculatedColumnFormula>
    </tableColumn>
    <tableColumn id="15" name="Dynamic Filter Bin" dataDxfId="138"/>
    <tableColumn id="16" name="Dynamic Filter Frequency" dataDxfId="13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36">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6"/>
  <sheetViews>
    <sheetView tabSelected="1" workbookViewId="0" topLeftCell="A1">
      <pane xSplit="2" ySplit="2" topLeftCell="C3" activePane="bottomRight" state="frozen"/>
      <selection pane="topRight" activeCell="C1" sqref="C1"/>
      <selection pane="bottomLeft" activeCell="A3" sqref="A3"/>
      <selection pane="bottomRight" activeCell="I39" sqref="I39"/>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6" width="10.7109375" style="0" bestFit="1" customWidth="1"/>
    <col min="17" max="17" width="9.140625" style="3" customWidth="1"/>
  </cols>
  <sheetData>
    <row r="1" spans="3:14" ht="15">
      <c r="C1" s="18" t="s">
        <v>39</v>
      </c>
      <c r="D1" s="19"/>
      <c r="E1" s="19"/>
      <c r="F1" s="19"/>
      <c r="G1" s="18"/>
      <c r="H1" s="16" t="s">
        <v>43</v>
      </c>
      <c r="I1" s="64"/>
      <c r="J1" s="64"/>
      <c r="K1" s="35" t="s">
        <v>42</v>
      </c>
      <c r="L1" s="20" t="s">
        <v>40</v>
      </c>
      <c r="M1" s="20"/>
      <c r="N1" s="17" t="s">
        <v>41</v>
      </c>
    </row>
    <row r="2" spans="1:17" ht="30" customHeight="1">
      <c r="A2" s="11" t="s">
        <v>0</v>
      </c>
      <c r="B2" s="11" t="s">
        <v>1</v>
      </c>
      <c r="C2" s="13" t="s">
        <v>2</v>
      </c>
      <c r="D2" s="13" t="s">
        <v>3</v>
      </c>
      <c r="E2" s="13" t="s">
        <v>129</v>
      </c>
      <c r="F2" s="13" t="s">
        <v>4</v>
      </c>
      <c r="G2" s="13" t="s">
        <v>11</v>
      </c>
      <c r="H2" s="11" t="s">
        <v>46</v>
      </c>
      <c r="I2" s="13" t="s">
        <v>159</v>
      </c>
      <c r="J2" s="13" t="s">
        <v>160</v>
      </c>
      <c r="K2" s="13" t="s">
        <v>164</v>
      </c>
      <c r="L2" s="13" t="s">
        <v>12</v>
      </c>
      <c r="M2" s="13" t="s">
        <v>38</v>
      </c>
      <c r="N2" s="13" t="s">
        <v>266</v>
      </c>
      <c r="O2" s="13" t="s">
        <v>232</v>
      </c>
      <c r="P2" s="13" t="s">
        <v>233</v>
      </c>
      <c r="Q2" s="8" t="s">
        <v>287</v>
      </c>
    </row>
    <row r="3" spans="1:17" ht="15" customHeight="1">
      <c r="A3" t="s">
        <v>174</v>
      </c>
      <c r="B3" t="s">
        <v>178</v>
      </c>
      <c r="C3" s="131" t="s">
        <v>291</v>
      </c>
      <c r="D3" s="132">
        <v>5</v>
      </c>
      <c r="E3" s="133"/>
      <c r="F3" s="134"/>
      <c r="G3" s="131"/>
      <c r="H3" s="135"/>
      <c r="I3" s="136"/>
      <c r="J3" s="136"/>
      <c r="K3" s="36" t="s">
        <v>66</v>
      </c>
      <c r="L3" s="137">
        <v>3</v>
      </c>
      <c r="M3" s="137" t="b">
        <f>IF(AND(OR(NOT(ISNUMBER(#REF!)),#REF!&gt;=Misc!$O$2),OR(NOT(ISNUMBER(#REF!)),#REF!&lt;=Misc!$P$2),TRUE),TRUE,FALSE)</f>
        <v>1</v>
      </c>
      <c r="N3" s="130">
        <v>5</v>
      </c>
      <c r="O3" s="108" t="e">
        <f>REPLACE(INDEX(GroupVertices[Group],MATCH(Edges[[#This Row],[Vertex 1]],GroupVertices[Vertex],0)),1,1,"")</f>
        <v>#N/A</v>
      </c>
      <c r="P3" s="108" t="e">
        <f>REPLACE(INDEX(GroupVertices[Group],MATCH(Edges[[#This Row],[Vertex 2]],GroupVertices[Vertex],0)),1,1,"")</f>
        <v>#N/A</v>
      </c>
      <c r="Q3" s="3" t="s">
        <v>286</v>
      </c>
    </row>
    <row r="4" spans="1:17" ht="15" customHeight="1">
      <c r="A4" t="s">
        <v>178</v>
      </c>
      <c r="B4" t="s">
        <v>174</v>
      </c>
      <c r="C4" s="131" t="s">
        <v>291</v>
      </c>
      <c r="D4" s="85">
        <v>5</v>
      </c>
      <c r="E4" s="86"/>
      <c r="F4" s="87"/>
      <c r="G4" s="84"/>
      <c r="H4" s="88"/>
      <c r="I4" s="89"/>
      <c r="J4" s="89"/>
      <c r="K4" s="36" t="s">
        <v>66</v>
      </c>
      <c r="L4" s="90">
        <v>4</v>
      </c>
      <c r="M4" s="90" t="b">
        <f>IF(AND(OR(NOT(ISNUMBER(#REF!)),#REF!&gt;=Misc!$O$2),OR(NOT(ISNUMBER(#REF!)),#REF!&lt;=Misc!$P$2),TRUE),TRUE,FALSE)</f>
        <v>1</v>
      </c>
      <c r="N4" s="130">
        <v>5</v>
      </c>
      <c r="O4" s="108" t="e">
        <f>REPLACE(INDEX(GroupVertices[Group],MATCH(Edges[[#This Row],[Vertex 1]],GroupVertices[Vertex],0)),1,1,"")</f>
        <v>#N/A</v>
      </c>
      <c r="P4" s="108" t="e">
        <f>REPLACE(INDEX(GroupVertices[Group],MATCH(Edges[[#This Row],[Vertex 2]],GroupVertices[Vertex],0)),1,1,"")</f>
        <v>#N/A</v>
      </c>
      <c r="Q4" s="3" t="s">
        <v>286</v>
      </c>
    </row>
    <row r="5" spans="1:17" ht="15">
      <c r="A5" t="s">
        <v>174</v>
      </c>
      <c r="B5" t="s">
        <v>175</v>
      </c>
      <c r="C5" s="131" t="s">
        <v>290</v>
      </c>
      <c r="D5" s="85">
        <v>4</v>
      </c>
      <c r="E5" s="86"/>
      <c r="F5" s="87"/>
      <c r="G5" s="84"/>
      <c r="H5" s="88"/>
      <c r="I5" s="89"/>
      <c r="J5" s="89"/>
      <c r="K5" s="36" t="s">
        <v>66</v>
      </c>
      <c r="L5" s="90">
        <v>5</v>
      </c>
      <c r="M5" s="90" t="b">
        <f>IF(AND(OR(NOT(ISNUMBER(#REF!)),#REF!&gt;=Misc!$O$2),OR(NOT(ISNUMBER(#REF!)),#REF!&lt;=Misc!$P$2),TRUE),TRUE,FALSE)</f>
        <v>1</v>
      </c>
      <c r="N5" s="130">
        <v>4</v>
      </c>
      <c r="O5" s="108" t="e">
        <f>REPLACE(INDEX(GroupVertices[Group],MATCH(Edges[[#This Row],[Vertex 1]],GroupVertices[Vertex],0)),1,1,"")</f>
        <v>#N/A</v>
      </c>
      <c r="P5" s="108" t="e">
        <f>REPLACE(INDEX(GroupVertices[Group],MATCH(Edges[[#This Row],[Vertex 2]],GroupVertices[Vertex],0)),1,1,"")</f>
        <v>#N/A</v>
      </c>
      <c r="Q5" s="3" t="s">
        <v>285</v>
      </c>
    </row>
    <row r="6" spans="1:17" ht="15">
      <c r="A6" t="s">
        <v>175</v>
      </c>
      <c r="B6" t="s">
        <v>174</v>
      </c>
      <c r="C6" s="131" t="s">
        <v>290</v>
      </c>
      <c r="D6" s="85">
        <v>4</v>
      </c>
      <c r="E6" s="86"/>
      <c r="F6" s="87"/>
      <c r="G6" s="84"/>
      <c r="H6" s="88"/>
      <c r="I6" s="89"/>
      <c r="J6" s="89"/>
      <c r="K6" s="36" t="s">
        <v>66</v>
      </c>
      <c r="L6" s="90">
        <v>6</v>
      </c>
      <c r="M6" s="90" t="b">
        <f>IF(AND(OR(NOT(ISNUMBER(#REF!)),#REF!&gt;=Misc!$O$2),OR(NOT(ISNUMBER(#REF!)),#REF!&lt;=Misc!$P$2),TRUE),TRUE,FALSE)</f>
        <v>1</v>
      </c>
      <c r="N6" s="130">
        <v>4</v>
      </c>
      <c r="O6" s="108" t="e">
        <f>REPLACE(INDEX(GroupVertices[Group],MATCH(Edges[[#This Row],[Vertex 1]],GroupVertices[Vertex],0)),1,1,"")</f>
        <v>#N/A</v>
      </c>
      <c r="P6" s="108" t="e">
        <f>REPLACE(INDEX(GroupVertices[Group],MATCH(Edges[[#This Row],[Vertex 2]],GroupVertices[Vertex],0)),1,1,"")</f>
        <v>#N/A</v>
      </c>
      <c r="Q6" s="3" t="s">
        <v>277</v>
      </c>
    </row>
    <row r="7" spans="1:17" ht="15">
      <c r="A7" t="s">
        <v>175</v>
      </c>
      <c r="B7" t="s">
        <v>176</v>
      </c>
      <c r="C7" s="131" t="s">
        <v>289</v>
      </c>
      <c r="D7" s="85">
        <v>3</v>
      </c>
      <c r="E7" s="86"/>
      <c r="F7" s="87"/>
      <c r="G7" s="84"/>
      <c r="H7" s="88"/>
      <c r="I7" s="89"/>
      <c r="J7" s="89"/>
      <c r="K7" s="36" t="s">
        <v>66</v>
      </c>
      <c r="L7" s="90">
        <v>7</v>
      </c>
      <c r="M7" s="90" t="b">
        <f>IF(AND(OR(NOT(ISNUMBER(#REF!)),#REF!&gt;=Misc!$O$2),OR(NOT(ISNUMBER(#REF!)),#REF!&lt;=Misc!$P$2),TRUE),TRUE,FALSE)</f>
        <v>1</v>
      </c>
      <c r="N7" s="130">
        <v>3</v>
      </c>
      <c r="O7" s="108" t="e">
        <f>REPLACE(INDEX(GroupVertices[Group],MATCH(Edges[[#This Row],[Vertex 1]],GroupVertices[Vertex],0)),1,1,"")</f>
        <v>#N/A</v>
      </c>
      <c r="P7" s="108" t="e">
        <f>REPLACE(INDEX(GroupVertices[Group],MATCH(Edges[[#This Row],[Vertex 2]],GroupVertices[Vertex],0)),1,1,"")</f>
        <v>#N/A</v>
      </c>
      <c r="Q7" s="3" t="s">
        <v>292</v>
      </c>
    </row>
    <row r="8" spans="1:17" ht="15">
      <c r="A8" t="s">
        <v>176</v>
      </c>
      <c r="B8" t="s">
        <v>175</v>
      </c>
      <c r="C8" s="131" t="s">
        <v>289</v>
      </c>
      <c r="D8" s="85">
        <v>3</v>
      </c>
      <c r="E8" s="86"/>
      <c r="F8" s="87"/>
      <c r="G8" s="84"/>
      <c r="H8" s="88"/>
      <c r="I8" s="89"/>
      <c r="J8" s="89"/>
      <c r="K8" s="36" t="s">
        <v>66</v>
      </c>
      <c r="L8" s="90">
        <v>8</v>
      </c>
      <c r="M8" s="90" t="b">
        <f>IF(AND(OR(NOT(ISNUMBER(#REF!)),#REF!&gt;=Misc!$O$2),OR(NOT(ISNUMBER(#REF!)),#REF!&lt;=Misc!$P$2),TRUE),TRUE,FALSE)</f>
        <v>1</v>
      </c>
      <c r="N8" s="130">
        <v>3</v>
      </c>
      <c r="O8" s="108" t="e">
        <f>REPLACE(INDEX(GroupVertices[Group],MATCH(Edges[[#This Row],[Vertex 1]],GroupVertices[Vertex],0)),1,1,"")</f>
        <v>#N/A</v>
      </c>
      <c r="P8" s="108" t="e">
        <f>REPLACE(INDEX(GroupVertices[Group],MATCH(Edges[[#This Row],[Vertex 2]],GroupVertices[Vertex],0)),1,1,"")</f>
        <v>#N/A</v>
      </c>
      <c r="Q8" s="3" t="s">
        <v>293</v>
      </c>
    </row>
    <row r="9" spans="1:17" ht="15">
      <c r="A9" t="s">
        <v>174</v>
      </c>
      <c r="B9" t="s">
        <v>179</v>
      </c>
      <c r="C9" s="131" t="s">
        <v>290</v>
      </c>
      <c r="D9" s="85">
        <v>1</v>
      </c>
      <c r="E9" s="86"/>
      <c r="F9" s="87"/>
      <c r="G9" s="84"/>
      <c r="H9" s="88"/>
      <c r="I9" s="89"/>
      <c r="J9" s="89"/>
      <c r="K9" s="36" t="s">
        <v>66</v>
      </c>
      <c r="L9" s="138">
        <v>9</v>
      </c>
      <c r="M9" s="138" t="b">
        <f>IF(AND(OR(NOT(ISNUMBER(#REF!)),#REF!&gt;=Misc!$O$2),OR(NOT(ISNUMBER(#REF!)),#REF!&lt;=Misc!$P$2),TRUE),TRUE,FALSE)</f>
        <v>1</v>
      </c>
      <c r="N9" s="130">
        <v>2</v>
      </c>
      <c r="O9" s="108" t="e">
        <f>REPLACE(INDEX(GroupVertices[Group],MATCH(Edges[[#This Row],[Vertex 1]],GroupVertices[Vertex],0)),1,1,"")</f>
        <v>#N/A</v>
      </c>
      <c r="P9" s="108" t="e">
        <f>REPLACE(INDEX(GroupVertices[Group],MATCH(Edges[[#This Row],[Vertex 2]],GroupVertices[Vertex],0)),1,1,"")</f>
        <v>#N/A</v>
      </c>
      <c r="Q9" s="3" t="s">
        <v>277</v>
      </c>
    </row>
    <row r="10" spans="1:17" ht="15">
      <c r="A10" t="s">
        <v>175</v>
      </c>
      <c r="B10" t="s">
        <v>177</v>
      </c>
      <c r="C10" s="131" t="s">
        <v>290</v>
      </c>
      <c r="D10" s="85">
        <v>3</v>
      </c>
      <c r="E10" s="86"/>
      <c r="F10" s="87"/>
      <c r="G10" s="84"/>
      <c r="H10" s="88"/>
      <c r="I10" s="89"/>
      <c r="J10" s="89"/>
      <c r="K10" s="36" t="s">
        <v>66</v>
      </c>
      <c r="L10" s="90">
        <v>10</v>
      </c>
      <c r="M10" s="90" t="b">
        <f>IF(AND(OR(NOT(ISNUMBER(#REF!)),#REF!&gt;=Misc!$O$2),OR(NOT(ISNUMBER(#REF!)),#REF!&lt;=Misc!$P$2),TRUE),TRUE,FALSE)</f>
        <v>1</v>
      </c>
      <c r="N10" s="130">
        <v>2</v>
      </c>
      <c r="O10" s="108" t="e">
        <f>REPLACE(INDEX(GroupVertices[Group],MATCH(Edges[[#This Row],[Vertex 1]],GroupVertices[Vertex],0)),1,1,"")</f>
        <v>#N/A</v>
      </c>
      <c r="P10" s="108" t="str">
        <f>REPLACE(INDEX(GroupVertices[Group],MATCH(Edges[[#This Row],[Vertex 2]],GroupVertices[Vertex],0)),1,1,"")</f>
        <v>2</v>
      </c>
      <c r="Q10" s="3" t="s">
        <v>277</v>
      </c>
    </row>
    <row r="11" spans="1:17" ht="15">
      <c r="A11" t="s">
        <v>176</v>
      </c>
      <c r="B11" t="s">
        <v>174</v>
      </c>
      <c r="C11" s="131" t="s">
        <v>290</v>
      </c>
      <c r="D11" s="54">
        <v>2</v>
      </c>
      <c r="E11" s="65"/>
      <c r="F11" s="55"/>
      <c r="G11" s="53"/>
      <c r="H11" s="57"/>
      <c r="I11" s="56"/>
      <c r="J11" s="56"/>
      <c r="K11" s="36" t="s">
        <v>66</v>
      </c>
      <c r="L11" s="83">
        <v>11</v>
      </c>
      <c r="M11" s="83" t="b">
        <f>IF(AND(OR(NOT(ISNUMBER(#REF!)),#REF!&gt;=Misc!$O$2),OR(NOT(ISNUMBER(#REF!)),#REF!&lt;=Misc!$P$2),TRUE),TRUE,FALSE)</f>
        <v>1</v>
      </c>
      <c r="N11" s="130">
        <v>2</v>
      </c>
      <c r="O11" s="108" t="e">
        <f>REPLACE(INDEX(GroupVertices[Group],MATCH(Edges[[#This Row],[Vertex 1]],GroupVertices[Vertex],0)),1,1,"")</f>
        <v>#N/A</v>
      </c>
      <c r="P11" s="108" t="e">
        <f>REPLACE(INDEX(GroupVertices[Group],MATCH(Edges[[#This Row],[Vertex 2]],GroupVertices[Vertex],0)),1,1,"")</f>
        <v>#N/A</v>
      </c>
      <c r="Q11" s="3" t="s">
        <v>277</v>
      </c>
    </row>
    <row r="12" spans="1:17" ht="15">
      <c r="A12" t="s">
        <v>182</v>
      </c>
      <c r="B12" t="s">
        <v>175</v>
      </c>
      <c r="C12" s="131" t="s">
        <v>290</v>
      </c>
      <c r="D12" s="54">
        <v>2</v>
      </c>
      <c r="E12" s="65" t="s">
        <v>133</v>
      </c>
      <c r="F12" s="55"/>
      <c r="G12" s="53"/>
      <c r="H12" s="57"/>
      <c r="I12" s="56"/>
      <c r="J12" s="56"/>
      <c r="K12" s="36" t="s">
        <v>66</v>
      </c>
      <c r="L12" s="83">
        <v>12</v>
      </c>
      <c r="M12" s="83" t="b">
        <f>IF(AND(OR(NOT(ISNUMBER(#REF!)),#REF!&gt;=Misc!$O$2),OR(NOT(ISNUMBER(#REF!)),#REF!&lt;=Misc!$P$2),TRUE),TRUE,FALSE)</f>
        <v>1</v>
      </c>
      <c r="N12" s="130">
        <v>2</v>
      </c>
      <c r="O12" s="108" t="e">
        <f>REPLACE(INDEX(GroupVertices[Group],MATCH(Edges[[#This Row],[Vertex 1]],GroupVertices[Vertex],0)),1,1,"")</f>
        <v>#N/A</v>
      </c>
      <c r="P12" s="108" t="e">
        <f>REPLACE(INDEX(GroupVertices[Group],MATCH(Edges[[#This Row],[Vertex 2]],GroupVertices[Vertex],0)),1,1,"")</f>
        <v>#N/A</v>
      </c>
      <c r="Q12" s="3" t="s">
        <v>277</v>
      </c>
    </row>
    <row r="13" spans="1:17" ht="15">
      <c r="A13" t="s">
        <v>178</v>
      </c>
      <c r="B13" t="s">
        <v>179</v>
      </c>
      <c r="C13" s="131" t="s">
        <v>288</v>
      </c>
      <c r="D13" s="54">
        <v>2</v>
      </c>
      <c r="E13" s="65"/>
      <c r="F13" s="55"/>
      <c r="G13" s="53"/>
      <c r="H13" s="57"/>
      <c r="I13" s="56"/>
      <c r="J13" s="56"/>
      <c r="K13" s="36" t="s">
        <v>66</v>
      </c>
      <c r="L13" s="83">
        <v>13</v>
      </c>
      <c r="M13" s="83" t="b">
        <f>IF(AND(OR(NOT(ISNUMBER(#REF!)),#REF!&gt;=Misc!$O$2),OR(NOT(ISNUMBER(#REF!)),#REF!&lt;=Misc!$P$2),TRUE),TRUE,FALSE)</f>
        <v>1</v>
      </c>
      <c r="N13" s="130">
        <v>2</v>
      </c>
      <c r="O13" s="108" t="e">
        <f>REPLACE(INDEX(GroupVertices[Group],MATCH(Edges[[#This Row],[Vertex 1]],GroupVertices[Vertex],0)),1,1,"")</f>
        <v>#N/A</v>
      </c>
      <c r="P13" s="108" t="e">
        <f>REPLACE(INDEX(GroupVertices[Group],MATCH(Edges[[#This Row],[Vertex 2]],GroupVertices[Vertex],0)),1,1,"")</f>
        <v>#N/A</v>
      </c>
      <c r="Q13" s="3" t="s">
        <v>294</v>
      </c>
    </row>
    <row r="14" spans="1:17" ht="15">
      <c r="A14" t="s">
        <v>179</v>
      </c>
      <c r="B14" t="s">
        <v>178</v>
      </c>
      <c r="C14" s="131" t="s">
        <v>288</v>
      </c>
      <c r="D14" s="54">
        <v>2</v>
      </c>
      <c r="E14" s="65" t="s">
        <v>132</v>
      </c>
      <c r="F14" s="55"/>
      <c r="G14" s="53"/>
      <c r="H14" s="57"/>
      <c r="I14" s="56"/>
      <c r="J14" s="56"/>
      <c r="K14" s="36" t="s">
        <v>66</v>
      </c>
      <c r="L14" s="83">
        <v>14</v>
      </c>
      <c r="M14" s="83" t="b">
        <f>IF(AND(OR(NOT(ISNUMBER(#REF!)),#REF!&gt;=Misc!$O$2),OR(NOT(ISNUMBER(#REF!)),#REF!&lt;=Misc!$P$2),TRUE),TRUE,FALSE)</f>
        <v>1</v>
      </c>
      <c r="N14" s="130">
        <v>2</v>
      </c>
      <c r="O14" s="108" t="e">
        <f>REPLACE(INDEX(GroupVertices[Group],MATCH(Edges[[#This Row],[Vertex 1]],GroupVertices[Vertex],0)),1,1,"")</f>
        <v>#N/A</v>
      </c>
      <c r="P14" s="108" t="e">
        <f>REPLACE(INDEX(GroupVertices[Group],MATCH(Edges[[#This Row],[Vertex 2]],GroupVertices[Vertex],0)),1,1,"")</f>
        <v>#N/A</v>
      </c>
      <c r="Q14" s="3" t="s">
        <v>294</v>
      </c>
    </row>
    <row r="15" spans="1:17" ht="30">
      <c r="A15" t="s">
        <v>179</v>
      </c>
      <c r="B15" t="s">
        <v>174</v>
      </c>
      <c r="C15" s="131" t="s">
        <v>306</v>
      </c>
      <c r="D15" s="54">
        <v>3</v>
      </c>
      <c r="E15" s="65" t="s">
        <v>132</v>
      </c>
      <c r="F15" s="55"/>
      <c r="G15" s="53"/>
      <c r="H15" s="57"/>
      <c r="I15" s="56"/>
      <c r="J15" s="56"/>
      <c r="K15" s="36" t="s">
        <v>66</v>
      </c>
      <c r="L15" s="83">
        <v>15</v>
      </c>
      <c r="M15" s="83" t="b">
        <f>IF(AND(OR(NOT(ISNUMBER(#REF!)),#REF!&gt;=Misc!$O$2),OR(NOT(ISNUMBER(#REF!)),#REF!&lt;=Misc!$P$2),TRUE),TRUE,FALSE)</f>
        <v>1</v>
      </c>
      <c r="N15" s="130">
        <v>2</v>
      </c>
      <c r="O15" s="108" t="e">
        <f>REPLACE(INDEX(GroupVertices[Group],MATCH(Edges[[#This Row],[Vertex 1]],GroupVertices[Vertex],0)),1,1,"")</f>
        <v>#N/A</v>
      </c>
      <c r="P15" s="108" t="e">
        <f>REPLACE(INDEX(GroupVertices[Group],MATCH(Edges[[#This Row],[Vertex 2]],GroupVertices[Vertex],0)),1,1,"")</f>
        <v>#N/A</v>
      </c>
      <c r="Q15" s="3" t="s">
        <v>282</v>
      </c>
    </row>
    <row r="16" spans="1:17" ht="15">
      <c r="A16" t="s">
        <v>174</v>
      </c>
      <c r="B16" t="s">
        <v>176</v>
      </c>
      <c r="C16" s="131" t="s">
        <v>290</v>
      </c>
      <c r="D16" s="132">
        <v>3</v>
      </c>
      <c r="E16" s="133"/>
      <c r="F16" s="134"/>
      <c r="G16" s="131"/>
      <c r="H16" s="135"/>
      <c r="I16" s="136"/>
      <c r="J16" s="136"/>
      <c r="K16" s="36" t="s">
        <v>66</v>
      </c>
      <c r="L16" s="137">
        <v>16</v>
      </c>
      <c r="M16" s="137" t="b">
        <f>IF(AND(OR(NOT(ISNUMBER(#REF!)),#REF!&gt;=Misc!$O$2),OR(NOT(ISNUMBER(#REF!)),#REF!&lt;=Misc!$P$2),TRUE),TRUE,FALSE)</f>
        <v>1</v>
      </c>
      <c r="N16" s="130">
        <v>2</v>
      </c>
      <c r="O16" s="108" t="e">
        <f>REPLACE(INDEX(GroupVertices[Group],MATCH(Edges[[#This Row],[Vertex 1]],GroupVertices[Vertex],0)),1,1,"")</f>
        <v>#N/A</v>
      </c>
      <c r="P16" s="108" t="e">
        <f>REPLACE(INDEX(GroupVertices[Group],MATCH(Edges[[#This Row],[Vertex 2]],GroupVertices[Vertex],0)),1,1,"")</f>
        <v>#N/A</v>
      </c>
      <c r="Q16" s="3" t="s">
        <v>284</v>
      </c>
    </row>
    <row r="17" spans="1:17" ht="30">
      <c r="A17" t="s">
        <v>179</v>
      </c>
      <c r="B17" t="s">
        <v>180</v>
      </c>
      <c r="C17" s="131" t="s">
        <v>306</v>
      </c>
      <c r="D17" s="54">
        <v>2</v>
      </c>
      <c r="E17" s="65"/>
      <c r="F17" s="55"/>
      <c r="G17" s="53"/>
      <c r="H17" s="57"/>
      <c r="I17" s="56"/>
      <c r="J17" s="56"/>
      <c r="K17" s="36" t="s">
        <v>66</v>
      </c>
      <c r="L17" s="83">
        <v>17</v>
      </c>
      <c r="M17" s="83" t="b">
        <f>IF(AND(OR(NOT(ISNUMBER(#REF!)),#REF!&gt;=Misc!$O$2),OR(NOT(ISNUMBER(#REF!)),#REF!&lt;=Misc!$P$2),TRUE),TRUE,FALSE)</f>
        <v>1</v>
      </c>
      <c r="N17" s="130">
        <v>2</v>
      </c>
      <c r="O17" s="108" t="e">
        <f>REPLACE(INDEX(GroupVertices[Group],MATCH(Edges[[#This Row],[Vertex 1]],GroupVertices[Vertex],0)),1,1,"")</f>
        <v>#N/A</v>
      </c>
      <c r="P17" s="108" t="e">
        <f>REPLACE(INDEX(GroupVertices[Group],MATCH(Edges[[#This Row],[Vertex 2]],GroupVertices[Vertex],0)),1,1,"")</f>
        <v>#N/A</v>
      </c>
      <c r="Q17" s="3" t="s">
        <v>282</v>
      </c>
    </row>
    <row r="18" spans="1:17" ht="30">
      <c r="A18" t="s">
        <v>180</v>
      </c>
      <c r="B18" t="s">
        <v>179</v>
      </c>
      <c r="C18" s="131" t="s">
        <v>306</v>
      </c>
      <c r="D18" s="54">
        <v>2</v>
      </c>
      <c r="E18" s="65"/>
      <c r="F18" s="55"/>
      <c r="G18" s="53"/>
      <c r="H18" s="57"/>
      <c r="I18" s="56"/>
      <c r="J18" s="56"/>
      <c r="K18" s="36" t="s">
        <v>66</v>
      </c>
      <c r="L18" s="83">
        <v>18</v>
      </c>
      <c r="M18" s="83" t="b">
        <f>IF(AND(OR(NOT(ISNUMBER(#REF!)),#REF!&gt;=Misc!$O$2),OR(NOT(ISNUMBER(#REF!)),#REF!&lt;=Misc!$P$2),TRUE),TRUE,FALSE)</f>
        <v>1</v>
      </c>
      <c r="N18" s="130">
        <v>2</v>
      </c>
      <c r="O18" s="108" t="e">
        <f>REPLACE(INDEX(GroupVertices[Group],MATCH(Edges[[#This Row],[Vertex 1]],GroupVertices[Vertex],0)),1,1,"")</f>
        <v>#N/A</v>
      </c>
      <c r="P18" s="108" t="e">
        <f>REPLACE(INDEX(GroupVertices[Group],MATCH(Edges[[#This Row],[Vertex 2]],GroupVertices[Vertex],0)),1,1,"")</f>
        <v>#N/A</v>
      </c>
      <c r="Q18" s="3" t="s">
        <v>283</v>
      </c>
    </row>
    <row r="19" spans="1:17" ht="45">
      <c r="A19" t="s">
        <v>182</v>
      </c>
      <c r="B19" t="s">
        <v>181</v>
      </c>
      <c r="C19" s="131" t="s">
        <v>307</v>
      </c>
      <c r="D19" s="54">
        <v>2</v>
      </c>
      <c r="E19" s="65" t="s">
        <v>133</v>
      </c>
      <c r="F19" s="55"/>
      <c r="G19" s="53"/>
      <c r="H19" s="57"/>
      <c r="I19" s="56"/>
      <c r="J19" s="56"/>
      <c r="K19" s="36" t="s">
        <v>66</v>
      </c>
      <c r="L19" s="83">
        <v>19</v>
      </c>
      <c r="M19" s="83" t="b">
        <f>IF(AND(OR(NOT(ISNUMBER(#REF!)),#REF!&gt;=Misc!$O$2),OR(NOT(ISNUMBER(#REF!)),#REF!&lt;=Misc!$P$2),TRUE),TRUE,FALSE)</f>
        <v>1</v>
      </c>
      <c r="N19" s="130">
        <v>1</v>
      </c>
      <c r="O19" s="108" t="e">
        <f>REPLACE(INDEX(GroupVertices[Group],MATCH(Edges[[#This Row],[Vertex 1]],GroupVertices[Vertex],0)),1,1,"")</f>
        <v>#N/A</v>
      </c>
      <c r="P19" s="108" t="e">
        <f>REPLACE(INDEX(GroupVertices[Group],MATCH(Edges[[#This Row],[Vertex 2]],GroupVertices[Vertex],0)),1,1,"")</f>
        <v>#N/A</v>
      </c>
      <c r="Q19" s="3" t="s">
        <v>279</v>
      </c>
    </row>
    <row r="20" spans="1:17" ht="45">
      <c r="A20" t="s">
        <v>181</v>
      </c>
      <c r="B20" t="s">
        <v>177</v>
      </c>
      <c r="C20" s="131" t="s">
        <v>307</v>
      </c>
      <c r="D20" s="132">
        <v>1</v>
      </c>
      <c r="E20" s="133"/>
      <c r="F20" s="134"/>
      <c r="G20" s="131"/>
      <c r="H20" s="135"/>
      <c r="I20" s="136"/>
      <c r="J20" s="136"/>
      <c r="K20" s="36" t="s">
        <v>66</v>
      </c>
      <c r="L20" s="137">
        <v>20</v>
      </c>
      <c r="M20" s="137" t="b">
        <f>IF(AND(OR(NOT(ISNUMBER(#REF!)),#REF!&gt;=Misc!$O$2),OR(NOT(ISNUMBER(#REF!)),#REF!&lt;=Misc!$P$2),TRUE),TRUE,FALSE)</f>
        <v>1</v>
      </c>
      <c r="N20" s="130">
        <v>1</v>
      </c>
      <c r="O20" s="108" t="e">
        <f>REPLACE(INDEX(GroupVertices[Group],MATCH(Edges[[#This Row],[Vertex 1]],GroupVertices[Vertex],0)),1,1,"")</f>
        <v>#N/A</v>
      </c>
      <c r="P20" s="108" t="str">
        <f>REPLACE(INDEX(GroupVertices[Group],MATCH(Edges[[#This Row],[Vertex 2]],GroupVertices[Vertex],0)),1,1,"")</f>
        <v>2</v>
      </c>
      <c r="Q20" s="3" t="s">
        <v>281</v>
      </c>
    </row>
    <row r="21" spans="1:17" ht="30">
      <c r="A21" t="s">
        <v>181</v>
      </c>
      <c r="B21" t="s">
        <v>177</v>
      </c>
      <c r="C21" s="131" t="s">
        <v>308</v>
      </c>
      <c r="D21" s="132">
        <v>1</v>
      </c>
      <c r="E21" s="133"/>
      <c r="F21" s="134"/>
      <c r="G21" s="131"/>
      <c r="H21" s="135"/>
      <c r="I21" s="136"/>
      <c r="J21" s="136"/>
      <c r="K21" s="36" t="s">
        <v>66</v>
      </c>
      <c r="L21" s="137">
        <v>21</v>
      </c>
      <c r="M21" s="137" t="b">
        <f>IF(AND(OR(NOT(ISNUMBER(#REF!)),#REF!&gt;=Misc!$O$2),OR(NOT(ISNUMBER(#REF!)),#REF!&lt;=Misc!$P$2),TRUE),TRUE,FALSE)</f>
        <v>1</v>
      </c>
      <c r="N21" s="130">
        <v>1</v>
      </c>
      <c r="O21" s="108" t="e">
        <f>REPLACE(INDEX(GroupVertices[Group],MATCH(Edges[[#This Row],[Vertex 1]],GroupVertices[Vertex],0)),1,1,"")</f>
        <v>#N/A</v>
      </c>
      <c r="P21" s="108" t="str">
        <f>REPLACE(INDEX(GroupVertices[Group],MATCH(Edges[[#This Row],[Vertex 2]],GroupVertices[Vertex],0)),1,1,"")</f>
        <v>2</v>
      </c>
      <c r="Q21" s="3" t="s">
        <v>280</v>
      </c>
    </row>
    <row r="22" spans="1:17" ht="30">
      <c r="A22" t="s">
        <v>182</v>
      </c>
      <c r="B22" t="s">
        <v>181</v>
      </c>
      <c r="C22" s="131" t="s">
        <v>308</v>
      </c>
      <c r="D22" s="132">
        <v>1</v>
      </c>
      <c r="E22" s="133"/>
      <c r="F22" s="134"/>
      <c r="G22" s="131"/>
      <c r="H22" s="135"/>
      <c r="I22" s="136"/>
      <c r="J22" s="136"/>
      <c r="K22" s="36" t="s">
        <v>66</v>
      </c>
      <c r="L22" s="137">
        <v>22</v>
      </c>
      <c r="M22" s="137" t="b">
        <f>IF(AND(OR(NOT(ISNUMBER(#REF!)),#REF!&gt;=Misc!$O$2),OR(NOT(ISNUMBER(#REF!)),#REF!&lt;=Misc!$P$2),TRUE),TRUE,FALSE)</f>
        <v>1</v>
      </c>
      <c r="N22" s="130">
        <v>1</v>
      </c>
      <c r="O22" s="108" t="e">
        <f>REPLACE(INDEX(GroupVertices[Group],MATCH(Edges[[#This Row],[Vertex 1]],GroupVertices[Vertex],0)),1,1,"")</f>
        <v>#N/A</v>
      </c>
      <c r="P22" s="108" t="e">
        <f>REPLACE(INDEX(GroupVertices[Group],MATCH(Edges[[#This Row],[Vertex 2]],GroupVertices[Vertex],0)),1,1,"")</f>
        <v>#N/A</v>
      </c>
      <c r="Q22" s="3" t="s">
        <v>278</v>
      </c>
    </row>
    <row r="23" spans="1:17" ht="15">
      <c r="A23" t="s">
        <v>178</v>
      </c>
      <c r="B23" t="s">
        <v>179</v>
      </c>
      <c r="C23" s="131" t="s">
        <v>296</v>
      </c>
      <c r="D23" s="132">
        <v>1</v>
      </c>
      <c r="E23" s="133"/>
      <c r="F23" s="134"/>
      <c r="G23" s="131"/>
      <c r="H23" s="135"/>
      <c r="I23" s="136"/>
      <c r="J23" s="136"/>
      <c r="K23" s="36" t="s">
        <v>66</v>
      </c>
      <c r="L23" s="137">
        <v>23</v>
      </c>
      <c r="M23" s="137" t="b">
        <f>IF(AND(OR(NOT(ISNUMBER(#REF!)),#REF!&gt;=Misc!$O$2),OR(NOT(ISNUMBER(#REF!)),#REF!&lt;=Misc!$P$2),TRUE),TRUE,FALSE)</f>
        <v>1</v>
      </c>
      <c r="N23" s="130">
        <v>1</v>
      </c>
      <c r="O23" s="108" t="e">
        <f>REPLACE(INDEX(GroupVertices[Group],MATCH(Edges[[#This Row],[Vertex 1]],GroupVertices[Vertex],0)),1,1,"")</f>
        <v>#N/A</v>
      </c>
      <c r="P23" s="108" t="e">
        <f>REPLACE(INDEX(GroupVertices[Group],MATCH(Edges[[#This Row],[Vertex 2]],GroupVertices[Vertex],0)),1,1,"")</f>
        <v>#N/A</v>
      </c>
      <c r="Q23" s="3" t="s">
        <v>295</v>
      </c>
    </row>
    <row r="24" spans="1:17" ht="15">
      <c r="A24" t="s">
        <v>176</v>
      </c>
      <c r="B24" t="s">
        <v>178</v>
      </c>
      <c r="C24" s="131" t="s">
        <v>290</v>
      </c>
      <c r="D24" s="54">
        <v>1</v>
      </c>
      <c r="E24" s="65"/>
      <c r="F24" s="55"/>
      <c r="G24" s="53"/>
      <c r="H24" s="57"/>
      <c r="I24" s="56"/>
      <c r="J24" s="56"/>
      <c r="K24" s="36" t="s">
        <v>65</v>
      </c>
      <c r="L24" s="83">
        <v>24</v>
      </c>
      <c r="M24" s="83" t="b">
        <f>IF(AND(OR(NOT(ISNUMBER(#REF!)),#REF!&gt;=Misc!$O$2),OR(NOT(ISNUMBER(#REF!)),#REF!&lt;=Misc!$P$2),TRUE),TRUE,FALSE)</f>
        <v>1</v>
      </c>
      <c r="N24" s="130">
        <v>1</v>
      </c>
      <c r="O24" s="108" t="e">
        <f>REPLACE(INDEX(GroupVertices[Group],MATCH(Edges[[#This Row],[Vertex 1]],GroupVertices[Vertex],0)),1,1,"")</f>
        <v>#N/A</v>
      </c>
      <c r="P24" s="108" t="e">
        <f>REPLACE(INDEX(GroupVertices[Group],MATCH(Edges[[#This Row],[Vertex 2]],GroupVertices[Vertex],0)),1,1,"")</f>
        <v>#N/A</v>
      </c>
      <c r="Q24" s="3" t="s">
        <v>277</v>
      </c>
    </row>
    <row r="25" spans="1:17" ht="15">
      <c r="A25" t="s">
        <v>180</v>
      </c>
      <c r="B25" t="s">
        <v>174</v>
      </c>
      <c r="C25" s="131" t="s">
        <v>290</v>
      </c>
      <c r="D25" s="54">
        <v>1</v>
      </c>
      <c r="E25" s="65"/>
      <c r="F25" s="55"/>
      <c r="G25" s="53"/>
      <c r="H25" s="57"/>
      <c r="I25" s="56"/>
      <c r="J25" s="56"/>
      <c r="K25" s="36" t="s">
        <v>66</v>
      </c>
      <c r="L25" s="83">
        <v>25</v>
      </c>
      <c r="M25" s="83" t="b">
        <f>IF(AND(OR(NOT(ISNUMBER(#REF!)),#REF!&gt;=Misc!$O$2),OR(NOT(ISNUMBER(#REF!)),#REF!&lt;=Misc!$P$2),TRUE),TRUE,FALSE)</f>
        <v>1</v>
      </c>
      <c r="N25" s="130">
        <v>1</v>
      </c>
      <c r="O25" s="108" t="e">
        <f>REPLACE(INDEX(GroupVertices[Group],MATCH(Edges[[#This Row],[Vertex 1]],GroupVertices[Vertex],0)),1,1,"")</f>
        <v>#N/A</v>
      </c>
      <c r="P25" s="108" t="e">
        <f>REPLACE(INDEX(GroupVertices[Group],MATCH(Edges[[#This Row],[Vertex 2]],GroupVertices[Vertex],0)),1,1,"")</f>
        <v>#N/A</v>
      </c>
      <c r="Q25" s="3" t="s">
        <v>277</v>
      </c>
    </row>
    <row r="26" spans="1:17" ht="15">
      <c r="A26" t="s">
        <v>174</v>
      </c>
      <c r="B26" t="s">
        <v>180</v>
      </c>
      <c r="C26" s="131" t="s">
        <v>290</v>
      </c>
      <c r="D26" s="132">
        <v>1</v>
      </c>
      <c r="E26" s="133"/>
      <c r="F26" s="134"/>
      <c r="G26" s="131"/>
      <c r="H26" s="135"/>
      <c r="I26" s="136"/>
      <c r="J26" s="136"/>
      <c r="K26" s="36" t="s">
        <v>66</v>
      </c>
      <c r="L26" s="137">
        <v>26</v>
      </c>
      <c r="M26" s="137" t="b">
        <f>IF(AND(OR(NOT(ISNUMBER(#REF!)),#REF!&gt;=Misc!$O$2),OR(NOT(ISNUMBER(#REF!)),#REF!&lt;=Misc!$P$2),TRUE),TRUE,FALSE)</f>
        <v>1</v>
      </c>
      <c r="N26" s="130">
        <v>1</v>
      </c>
      <c r="O26" s="108" t="e">
        <f>REPLACE(INDEX(GroupVertices[Group],MATCH(Edges[[#This Row],[Vertex 1]],GroupVertices[Vertex],0)),1,1,"")</f>
        <v>#N/A</v>
      </c>
      <c r="P26" s="108" t="e">
        <f>REPLACE(INDEX(GroupVertices[Group],MATCH(Edges[[#This Row],[Vertex 2]],GroupVertices[Vertex],0)),1,1,"")</f>
        <v>#N/A</v>
      </c>
      <c r="Q26" s="3" t="s">
        <v>284</v>
      </c>
    </row>
  </sheetData>
  <dataValidations count="14" xWindow="315" yWindow="563">
    <dataValidation allowBlank="1" showErrorMessage="1" sqref="N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Color" prompt="To select an optional edge color, right-click and select Select Color on the right-click menu." sqref="C3:C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Opacity" prompt="Enter an optional edge opacity between 0 (transparent) and 100 (opaque)." errorTitle="Invalid Edge Opacity" error="The optional edge opacity must be a whole number between 0 and 10." sqref="F3:F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showErrorMessage="1" promptTitle="Vertex 1 Name" prompt="Enter the name of the edge's first vertex." sqref="A3:A26"/>
    <dataValidation allowBlank="1" showInputMessage="1" showErrorMessage="1" promptTitle="Vertex 2 Name" prompt="Enter the name of the edge's second vertex." sqref="B3:B26"/>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0"/>
  <sheetViews>
    <sheetView workbookViewId="0" topLeftCell="A1">
      <pane xSplit="1" ySplit="2" topLeftCell="B3" activePane="bottomRight" state="frozen"/>
      <selection pane="topRight" activeCell="B1" sqref="B1"/>
      <selection pane="bottomLeft" activeCell="A3" sqref="A3"/>
      <selection pane="bottomRight" activeCell="A2" sqref="A2:AN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7.28125" style="2" bestFit="1" customWidth="1"/>
    <col min="31" max="31" width="19.57421875" style="3" bestFit="1" customWidth="1"/>
    <col min="32" max="32" width="17.28125" style="3" bestFit="1" customWidth="1"/>
    <col min="33" max="33" width="19.57421875" style="3" bestFit="1" customWidth="1"/>
    <col min="34" max="34" width="17.28125" style="3" bestFit="1" customWidth="1"/>
    <col min="35" max="35" width="19.57421875" style="0" bestFit="1" customWidth="1"/>
    <col min="36" max="36" width="17.28125" style="0" bestFit="1" customWidth="1"/>
    <col min="37" max="37" width="19.57421875" style="0" bestFit="1" customWidth="1"/>
    <col min="38" max="38" width="18.8515625" style="0" bestFit="1" customWidth="1"/>
    <col min="39" max="39" width="19.57421875" style="0" bestFit="1" customWidth="1"/>
    <col min="40" max="40"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2"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136</v>
      </c>
      <c r="Y2" s="13" t="s">
        <v>37</v>
      </c>
      <c r="Z2" s="13" t="s">
        <v>169</v>
      </c>
      <c r="AA2" s="11" t="s">
        <v>12</v>
      </c>
      <c r="AB2" s="11" t="s">
        <v>38</v>
      </c>
      <c r="AC2" s="8" t="s">
        <v>26</v>
      </c>
      <c r="AD2" s="113" t="s">
        <v>216</v>
      </c>
      <c r="AE2" s="113" t="s">
        <v>217</v>
      </c>
      <c r="AF2" s="113" t="s">
        <v>218</v>
      </c>
      <c r="AG2" s="113" t="s">
        <v>219</v>
      </c>
      <c r="AH2" s="113" t="s">
        <v>220</v>
      </c>
      <c r="AI2" s="113" t="s">
        <v>221</v>
      </c>
      <c r="AJ2" s="113" t="s">
        <v>222</v>
      </c>
      <c r="AK2" s="113" t="s">
        <v>224</v>
      </c>
      <c r="AL2" s="113" t="s">
        <v>225</v>
      </c>
      <c r="AM2" s="113" t="s">
        <v>226</v>
      </c>
      <c r="AN2" s="13" t="s">
        <v>231</v>
      </c>
      <c r="AO2" s="3"/>
      <c r="AP2" s="3"/>
    </row>
    <row r="3" spans="1:42" ht="15" customHeight="1">
      <c r="A3" s="50" t="s">
        <v>183</v>
      </c>
      <c r="B3" s="53"/>
      <c r="C3" s="53"/>
      <c r="D3" s="54">
        <v>20</v>
      </c>
      <c r="E3" s="55">
        <v>100</v>
      </c>
      <c r="F3" s="53"/>
      <c r="G3" s="53"/>
      <c r="H3" s="50" t="s">
        <v>183</v>
      </c>
      <c r="I3" s="56"/>
      <c r="J3" s="56" t="s">
        <v>74</v>
      </c>
      <c r="K3" s="57" t="s">
        <v>297</v>
      </c>
      <c r="L3" s="59"/>
      <c r="M3" s="60">
        <v>217.17599487304688</v>
      </c>
      <c r="N3" s="60">
        <v>9745.6279296875</v>
      </c>
      <c r="O3" s="58"/>
      <c r="P3" s="61"/>
      <c r="Q3" s="61"/>
      <c r="R3" s="51">
        <v>5</v>
      </c>
      <c r="S3" s="51">
        <v>5</v>
      </c>
      <c r="T3" s="51">
        <v>5</v>
      </c>
      <c r="U3" s="52">
        <v>19</v>
      </c>
      <c r="V3" s="52">
        <v>0.1</v>
      </c>
      <c r="W3" s="52">
        <v>0.221391</v>
      </c>
      <c r="X3" s="52">
        <v>1.636742</v>
      </c>
      <c r="Y3" s="52">
        <v>0.35</v>
      </c>
      <c r="Z3" s="52">
        <v>1</v>
      </c>
      <c r="AA3" s="62">
        <v>3</v>
      </c>
      <c r="AB3" s="62" t="b">
        <f>IF(AND(OR(NOT(ISNUMBER([Size])),[Size]&gt;=Misc!$O$3),OR(NOT(ISNUMBER([Size])),[Size]&lt;=Misc!$P$3),OR(NOT(ISNUMBER([X])),[X]&gt;=Misc!$O$4),OR(NOT(ISNUMBER([X])),[X]&lt;=Misc!$P$4),OR(NOT(ISNUMBER([Y])),[Y]&gt;=Misc!$O$5),OR(NOT(ISNUMBER([Y])),[Y]&lt;=Misc!$P$5),OR(NOT(ISNUMBER([Degree])),[Degree]&gt;=Misc!$O$6),OR(NOT(ISNUMBER([Degree])),[Degree]&lt;=Misc!$P$6),OR(NOT(ISNUMBER([Betweenness Centrality])),[Betweenness Centrality]&gt;=Misc!$O$7),OR(NOT(ISNUMBER([Betweenness Centrality])),[Betweenness Centrality]&lt;=Misc!$P$7),OR(NOT(ISNUMBER([Closeness Centrality])),[Closeness Centrality]&gt;=Misc!$O$8),OR(NOT(ISNUMBER([Closeness Centrality])),[Closeness Centrality]&lt;=Misc!$P$8),OR(NOT(ISNUMBER([Eigenvector Centrality])),[Eigenvector Centrality]&gt;=Misc!$O$9),OR(NOT(ISNUMBER([Eigenvector Centrality])),[Eigenvector Centrality]&lt;=Misc!$P$9),OR(NOT(ISNUMBER([PageRank])),[PageRank]&gt;=Misc!$O$10),OR(NOT(ISNUMBER([PageRank])),[PageRank]&lt;=Misc!$P$10),OR(NOT(ISNUMBER([Clustering Coefficient])),[Clustering Coefficient]&gt;=Misc!$O$11),OR(NOT(ISNUMBER([Clustering Coefficient])),[Clustering Coefficient]&lt;=Misc!$P$11),TRUE),TRUE,FALSE)</f>
        <v>0</v>
      </c>
      <c r="AC3" s="63"/>
      <c r="AD3" s="51"/>
      <c r="AE3" s="51"/>
      <c r="AF3" s="51"/>
      <c r="AG3" s="51"/>
      <c r="AH3" s="51"/>
      <c r="AI3" s="51"/>
      <c r="AJ3" s="114" t="s">
        <v>223</v>
      </c>
      <c r="AK3" s="114" t="s">
        <v>223</v>
      </c>
      <c r="AL3" s="114" t="s">
        <v>223</v>
      </c>
      <c r="AM3" s="114" t="s">
        <v>223</v>
      </c>
      <c r="AN3" s="111" t="str">
        <f>REPLACE(INDEX(GroupVertices[Group],MATCH(Vertices[[#This Row],[Vertex]],GroupVertices[Vertex],0)),1,1,"")</f>
        <v>1</v>
      </c>
      <c r="AO3" s="3"/>
      <c r="AP3" s="3"/>
    </row>
    <row r="4" spans="1:45" ht="30">
      <c r="A4" s="14" t="s">
        <v>185</v>
      </c>
      <c r="B4" s="15"/>
      <c r="C4" s="15"/>
      <c r="D4" s="91">
        <v>17.949281228984393</v>
      </c>
      <c r="E4" s="81">
        <v>77.32518887659644</v>
      </c>
      <c r="F4" s="15"/>
      <c r="G4" s="15"/>
      <c r="H4" s="14" t="s">
        <v>185</v>
      </c>
      <c r="I4" s="66"/>
      <c r="J4" s="66" t="s">
        <v>73</v>
      </c>
      <c r="K4" s="16" t="s">
        <v>300</v>
      </c>
      <c r="L4" s="92"/>
      <c r="M4" s="93">
        <v>4929.974609375</v>
      </c>
      <c r="N4" s="93">
        <v>8380.1787109375</v>
      </c>
      <c r="O4" s="77"/>
      <c r="P4" s="94"/>
      <c r="Q4" s="94"/>
      <c r="R4" s="51">
        <v>3</v>
      </c>
      <c r="S4" s="51">
        <v>3</v>
      </c>
      <c r="T4" s="51">
        <v>2</v>
      </c>
      <c r="U4" s="52">
        <v>1</v>
      </c>
      <c r="V4" s="52">
        <v>0.071429</v>
      </c>
      <c r="W4" s="52">
        <v>0.163761</v>
      </c>
      <c r="X4" s="52">
        <v>1.008668</v>
      </c>
      <c r="Y4" s="52">
        <v>0.6666666666666666</v>
      </c>
      <c r="Z4" s="52">
        <v>0.6666666666666666</v>
      </c>
      <c r="AA4" s="82">
        <v>4</v>
      </c>
      <c r="AB4" s="82" t="b">
        <f>IF(AND(OR(NOT(ISNUMBER([Size])),[Size]&gt;=Misc!$O$3),OR(NOT(ISNUMBER([Size])),[Size]&lt;=Misc!$P$3),OR(NOT(ISNUMBER([X])),[X]&gt;=Misc!$O$4),OR(NOT(ISNUMBER([X])),[X]&lt;=Misc!$P$4),OR(NOT(ISNUMBER([Y])),[Y]&gt;=Misc!$O$5),OR(NOT(ISNUMBER([Y])),[Y]&lt;=Misc!$P$5),OR(NOT(ISNUMBER([Degree])),[Degree]&gt;=Misc!$O$6),OR(NOT(ISNUMBER([Degree])),[Degree]&lt;=Misc!$P$6),OR(NOT(ISNUMBER([Betweenness Centrality])),[Betweenness Centrality]&gt;=Misc!$O$7),OR(NOT(ISNUMBER([Betweenness Centrality])),[Betweenness Centrality]&lt;=Misc!$P$7),OR(NOT(ISNUMBER([Closeness Centrality])),[Closeness Centrality]&gt;=Misc!$O$8),OR(NOT(ISNUMBER([Closeness Centrality])),[Closeness Centrality]&lt;=Misc!$P$8),OR(NOT(ISNUMBER([Eigenvector Centrality])),[Eigenvector Centrality]&gt;=Misc!$O$9),OR(NOT(ISNUMBER([Eigenvector Centrality])),[Eigenvector Centrality]&lt;=Misc!$P$9),OR(NOT(ISNUMBER([PageRank])),[PageRank]&gt;=Misc!$O$10),OR(NOT(ISNUMBER([PageRank])),[PageRank]&lt;=Misc!$P$10),OR(NOT(ISNUMBER([Clustering Coefficient])),[Clustering Coefficient]&gt;=Misc!$O$11),OR(NOT(ISNUMBER([Clustering Coefficient])),[Clustering Coefficient]&lt;=Misc!$P$11),TRUE),TRUE,FALSE)</f>
        <v>1</v>
      </c>
      <c r="AC4" s="95"/>
      <c r="AD4" s="51"/>
      <c r="AE4" s="51"/>
      <c r="AF4" s="51"/>
      <c r="AG4" s="51"/>
      <c r="AH4" s="51"/>
      <c r="AI4" s="51"/>
      <c r="AJ4" s="114" t="s">
        <v>223</v>
      </c>
      <c r="AK4" s="114" t="s">
        <v>223</v>
      </c>
      <c r="AL4" s="114" t="s">
        <v>223</v>
      </c>
      <c r="AM4" s="114" t="s">
        <v>223</v>
      </c>
      <c r="AN4" s="111" t="str">
        <f>REPLACE(INDEX(GroupVertices[Group],MATCH(Vertices[[#This Row],[Vertex]],GroupVertices[Vertex],0)),1,1,"")</f>
        <v>1</v>
      </c>
      <c r="AO4" s="2"/>
      <c r="AP4" s="3"/>
      <c r="AQ4" s="3"/>
      <c r="AR4" s="3"/>
      <c r="AS4" s="3"/>
    </row>
    <row r="5" spans="1:45" ht="15">
      <c r="A5" s="14" t="s">
        <v>186</v>
      </c>
      <c r="B5" s="15"/>
      <c r="C5" s="15"/>
      <c r="D5" s="91">
        <v>17.715903321763616</v>
      </c>
      <c r="E5" s="81">
        <v>87.71289028953373</v>
      </c>
      <c r="F5" s="15"/>
      <c r="G5" s="15"/>
      <c r="H5" s="14" t="s">
        <v>186</v>
      </c>
      <c r="I5" s="66"/>
      <c r="J5" s="66" t="s">
        <v>73</v>
      </c>
      <c r="K5" s="16" t="s">
        <v>299</v>
      </c>
      <c r="L5" s="92"/>
      <c r="M5" s="93">
        <v>5081.66455078125</v>
      </c>
      <c r="N5" s="93">
        <v>9755.328125</v>
      </c>
      <c r="O5" s="77"/>
      <c r="P5" s="94"/>
      <c r="Q5" s="94"/>
      <c r="R5" s="51">
        <v>3</v>
      </c>
      <c r="S5" s="51">
        <v>2</v>
      </c>
      <c r="T5" s="51">
        <v>3</v>
      </c>
      <c r="U5" s="52">
        <v>3</v>
      </c>
      <c r="V5" s="52">
        <v>0.083333</v>
      </c>
      <c r="W5" s="52">
        <v>0.158237</v>
      </c>
      <c r="X5" s="52">
        <v>1.029894</v>
      </c>
      <c r="Y5" s="52">
        <v>0.6666666666666666</v>
      </c>
      <c r="Z5" s="52">
        <v>0.6666666666666666</v>
      </c>
      <c r="AA5" s="82">
        <v>5</v>
      </c>
      <c r="AB5" s="82" t="b">
        <f>IF(AND(OR(NOT(ISNUMBER([Size])),[Size]&gt;=Misc!$O$3),OR(NOT(ISNUMBER([Size])),[Size]&lt;=Misc!$P$3),OR(NOT(ISNUMBER([X])),[X]&gt;=Misc!$O$4),OR(NOT(ISNUMBER([X])),[X]&lt;=Misc!$P$4),OR(NOT(ISNUMBER([Y])),[Y]&gt;=Misc!$O$5),OR(NOT(ISNUMBER([Y])),[Y]&lt;=Misc!$P$5),OR(NOT(ISNUMBER([Degree])),[Degree]&gt;=Misc!$O$6),OR(NOT(ISNUMBER([Degree])),[Degree]&lt;=Misc!$P$6),OR(NOT(ISNUMBER([Betweenness Centrality])),[Betweenness Centrality]&gt;=Misc!$O$7),OR(NOT(ISNUMBER([Betweenness Centrality])),[Betweenness Centrality]&lt;=Misc!$P$7),OR(NOT(ISNUMBER([Closeness Centrality])),[Closeness Centrality]&gt;=Misc!$O$8),OR(NOT(ISNUMBER([Closeness Centrality])),[Closeness Centrality]&lt;=Misc!$P$8),OR(NOT(ISNUMBER([Eigenvector Centrality])),[Eigenvector Centrality]&gt;=Misc!$O$9),OR(NOT(ISNUMBER([Eigenvector Centrality])),[Eigenvector Centrality]&lt;=Misc!$P$9),OR(NOT(ISNUMBER([PageRank])),[PageRank]&gt;=Misc!$O$10),OR(NOT(ISNUMBER([PageRank])),[PageRank]&lt;=Misc!$P$10),OR(NOT(ISNUMBER([Clustering Coefficient])),[Clustering Coefficient]&gt;=Misc!$O$11),OR(NOT(ISNUMBER([Clustering Coefficient])),[Clustering Coefficient]&lt;=Misc!$P$11),TRUE),TRUE,FALSE)</f>
        <v>1</v>
      </c>
      <c r="AC5" s="95"/>
      <c r="AD5" s="51"/>
      <c r="AE5" s="51"/>
      <c r="AF5" s="51"/>
      <c r="AG5" s="51"/>
      <c r="AH5" s="51"/>
      <c r="AI5" s="51"/>
      <c r="AJ5" s="114" t="s">
        <v>223</v>
      </c>
      <c r="AK5" s="114" t="s">
        <v>223</v>
      </c>
      <c r="AL5" s="114" t="s">
        <v>223</v>
      </c>
      <c r="AM5" s="114" t="s">
        <v>223</v>
      </c>
      <c r="AN5" s="111" t="str">
        <f>REPLACE(INDEX(GroupVertices[Group],MATCH(Vertices[[#This Row],[Vertex]],GroupVertices[Vertex],0)),1,1,"")</f>
        <v>3</v>
      </c>
      <c r="AO5" s="2"/>
      <c r="AP5" s="3"/>
      <c r="AQ5" s="3"/>
      <c r="AR5" s="3"/>
      <c r="AS5" s="3"/>
    </row>
    <row r="6" spans="1:45" ht="15">
      <c r="A6" s="14" t="s">
        <v>184</v>
      </c>
      <c r="B6" s="15"/>
      <c r="C6" s="15"/>
      <c r="D6" s="91">
        <v>17.515524641006518</v>
      </c>
      <c r="E6" s="81">
        <v>77.32518887659644</v>
      </c>
      <c r="F6" s="15"/>
      <c r="G6" s="15"/>
      <c r="H6" s="14" t="s">
        <v>184</v>
      </c>
      <c r="I6" s="66"/>
      <c r="J6" s="66" t="s">
        <v>73</v>
      </c>
      <c r="K6" s="16" t="s">
        <v>300</v>
      </c>
      <c r="L6" s="92"/>
      <c r="M6" s="93">
        <v>4522.17626953125</v>
      </c>
      <c r="N6" s="93">
        <v>3325.911865234375</v>
      </c>
      <c r="O6" s="77"/>
      <c r="P6" s="94"/>
      <c r="Q6" s="94"/>
      <c r="R6" s="51">
        <v>3</v>
      </c>
      <c r="S6" s="51">
        <v>3</v>
      </c>
      <c r="T6" s="51">
        <v>3</v>
      </c>
      <c r="U6" s="52">
        <v>1</v>
      </c>
      <c r="V6" s="52">
        <v>0.071429</v>
      </c>
      <c r="W6" s="52">
        <v>0.153643</v>
      </c>
      <c r="X6" s="52">
        <v>1.018693</v>
      </c>
      <c r="Y6" s="52">
        <v>0.6666666666666666</v>
      </c>
      <c r="Z6" s="52">
        <v>1</v>
      </c>
      <c r="AA6" s="82">
        <v>6</v>
      </c>
      <c r="AB6" s="82" t="b">
        <f>IF(AND(OR(NOT(ISNUMBER([Size])),[Size]&gt;=Misc!$O$3),OR(NOT(ISNUMBER([Size])),[Size]&lt;=Misc!$P$3),OR(NOT(ISNUMBER([X])),[X]&gt;=Misc!$O$4),OR(NOT(ISNUMBER([X])),[X]&lt;=Misc!$P$4),OR(NOT(ISNUMBER([Y])),[Y]&gt;=Misc!$O$5),OR(NOT(ISNUMBER([Y])),[Y]&lt;=Misc!$P$5),OR(NOT(ISNUMBER([Degree])),[Degree]&gt;=Misc!$O$6),OR(NOT(ISNUMBER([Degree])),[Degree]&lt;=Misc!$P$6),OR(NOT(ISNUMBER([Betweenness Centrality])),[Betweenness Centrality]&gt;=Misc!$O$7),OR(NOT(ISNUMBER([Betweenness Centrality])),[Betweenness Centrality]&lt;=Misc!$P$7),OR(NOT(ISNUMBER([Closeness Centrality])),[Closeness Centrality]&gt;=Misc!$O$8),OR(NOT(ISNUMBER([Closeness Centrality])),[Closeness Centrality]&lt;=Misc!$P$8),OR(NOT(ISNUMBER([Eigenvector Centrality])),[Eigenvector Centrality]&gt;=Misc!$O$9),OR(NOT(ISNUMBER([Eigenvector Centrality])),[Eigenvector Centrality]&lt;=Misc!$P$9),OR(NOT(ISNUMBER([PageRank])),[PageRank]&gt;=Misc!$O$10),OR(NOT(ISNUMBER([PageRank])),[PageRank]&lt;=Misc!$P$10),OR(NOT(ISNUMBER([Clustering Coefficient])),[Clustering Coefficient]&gt;=Misc!$O$11),OR(NOT(ISNUMBER([Clustering Coefficient])),[Clustering Coefficient]&lt;=Misc!$P$11),TRUE),TRUE,FALSE)</f>
        <v>1</v>
      </c>
      <c r="AC6" s="95"/>
      <c r="AD6" s="51"/>
      <c r="AE6" s="51"/>
      <c r="AF6" s="51"/>
      <c r="AG6" s="51"/>
      <c r="AH6" s="51"/>
      <c r="AI6" s="51"/>
      <c r="AJ6" s="114" t="s">
        <v>223</v>
      </c>
      <c r="AK6" s="114" t="s">
        <v>223</v>
      </c>
      <c r="AL6" s="114" t="s">
        <v>223</v>
      </c>
      <c r="AM6" s="114" t="s">
        <v>223</v>
      </c>
      <c r="AN6" s="111" t="str">
        <f>REPLACE(INDEX(GroupVertices[Group],MATCH(Vertices[[#This Row],[Vertex]],GroupVertices[Vertex],0)),1,1,"")</f>
        <v>1</v>
      </c>
      <c r="AO6" s="2"/>
      <c r="AP6" s="3"/>
      <c r="AQ6" s="3"/>
      <c r="AR6" s="3"/>
      <c r="AS6" s="3"/>
    </row>
    <row r="7" spans="1:45" ht="15">
      <c r="A7" s="14" t="s">
        <v>187</v>
      </c>
      <c r="B7" s="15"/>
      <c r="C7" s="15"/>
      <c r="D7" s="91">
        <v>16.38575305591852</v>
      </c>
      <c r="E7" s="81">
        <v>93.57688004118957</v>
      </c>
      <c r="F7" s="15"/>
      <c r="G7" s="15"/>
      <c r="H7" s="14" t="s">
        <v>187</v>
      </c>
      <c r="I7" s="66"/>
      <c r="J7" s="66" t="s">
        <v>69</v>
      </c>
      <c r="K7" s="16" t="s">
        <v>298</v>
      </c>
      <c r="L7" s="92"/>
      <c r="M7" s="93">
        <v>9795.23046875</v>
      </c>
      <c r="N7" s="93">
        <v>5087.98779296875</v>
      </c>
      <c r="O7" s="77"/>
      <c r="P7" s="94"/>
      <c r="Q7" s="94"/>
      <c r="R7" s="51">
        <v>3</v>
      </c>
      <c r="S7" s="51">
        <v>3</v>
      </c>
      <c r="T7" s="51">
        <v>3</v>
      </c>
      <c r="U7" s="52">
        <v>20</v>
      </c>
      <c r="V7" s="52">
        <v>0.090909</v>
      </c>
      <c r="W7" s="52">
        <v>0.130128</v>
      </c>
      <c r="X7" s="52">
        <v>1.114837</v>
      </c>
      <c r="Y7" s="52">
        <v>0.3333333333333333</v>
      </c>
      <c r="Z7" s="52">
        <v>1</v>
      </c>
      <c r="AA7" s="82">
        <v>7</v>
      </c>
      <c r="AB7" s="82" t="b">
        <f>IF(AND(OR(NOT(ISNUMBER([Size])),[Size]&gt;=Misc!$O$3),OR(NOT(ISNUMBER([Size])),[Size]&lt;=Misc!$P$3),OR(NOT(ISNUMBER([X])),[X]&gt;=Misc!$O$4),OR(NOT(ISNUMBER([X])),[X]&lt;=Misc!$P$4),OR(NOT(ISNUMBER([Y])),[Y]&gt;=Misc!$O$5),OR(NOT(ISNUMBER([Y])),[Y]&lt;=Misc!$P$5),OR(NOT(ISNUMBER([Degree])),[Degree]&gt;=Misc!$O$6),OR(NOT(ISNUMBER([Degree])),[Degree]&lt;=Misc!$P$6),OR(NOT(ISNUMBER([Betweenness Centrality])),[Betweenness Centrality]&gt;=Misc!$O$7),OR(NOT(ISNUMBER([Betweenness Centrality])),[Betweenness Centrality]&lt;=Misc!$P$7),OR(NOT(ISNUMBER([Closeness Centrality])),[Closeness Centrality]&gt;=Misc!$O$8),OR(NOT(ISNUMBER([Closeness Centrality])),[Closeness Centrality]&lt;=Misc!$P$8),OR(NOT(ISNUMBER([Eigenvector Centrality])),[Eigenvector Centrality]&gt;=Misc!$O$9),OR(NOT(ISNUMBER([Eigenvector Centrality])),[Eigenvector Centrality]&lt;=Misc!$P$9),OR(NOT(ISNUMBER([PageRank])),[PageRank]&gt;=Misc!$O$10),OR(NOT(ISNUMBER([PageRank])),[PageRank]&lt;=Misc!$P$10),OR(NOT(ISNUMBER([Clustering Coefficient])),[Clustering Coefficient]&gt;=Misc!$O$11),OR(NOT(ISNUMBER([Clustering Coefficient])),[Clustering Coefficient]&lt;=Misc!$P$11),TRUE),TRUE,FALSE)</f>
        <v>0</v>
      </c>
      <c r="AC7" s="95"/>
      <c r="AD7" s="51"/>
      <c r="AE7" s="51"/>
      <c r="AF7" s="51"/>
      <c r="AG7" s="51"/>
      <c r="AH7" s="51"/>
      <c r="AI7" s="51"/>
      <c r="AJ7" s="114" t="s">
        <v>223</v>
      </c>
      <c r="AK7" s="114" t="s">
        <v>223</v>
      </c>
      <c r="AL7" s="114" t="s">
        <v>223</v>
      </c>
      <c r="AM7" s="114" t="s">
        <v>223</v>
      </c>
      <c r="AN7" s="111" t="str">
        <f>REPLACE(INDEX(GroupVertices[Group],MATCH(Vertices[[#This Row],[Vertex]],GroupVertices[Vertex],0)),1,1,"")</f>
        <v>3</v>
      </c>
      <c r="AO7" s="2"/>
      <c r="AP7" s="3"/>
      <c r="AQ7" s="3"/>
      <c r="AR7" s="3"/>
      <c r="AS7" s="3"/>
    </row>
    <row r="8" spans="1:45" ht="15">
      <c r="A8" s="14" t="s">
        <v>188</v>
      </c>
      <c r="B8" s="15"/>
      <c r="C8" s="15"/>
      <c r="D8" s="91">
        <v>15.555143197176395</v>
      </c>
      <c r="E8" s="81">
        <v>72.67561981391572</v>
      </c>
      <c r="F8" s="15"/>
      <c r="G8" s="15"/>
      <c r="H8" s="14" t="s">
        <v>188</v>
      </c>
      <c r="I8" s="66"/>
      <c r="J8" s="66" t="s">
        <v>73</v>
      </c>
      <c r="K8" s="16" t="s">
        <v>301</v>
      </c>
      <c r="L8" s="92"/>
      <c r="M8" s="93">
        <v>790.6544799804688</v>
      </c>
      <c r="N8" s="93">
        <v>233.89968872070312</v>
      </c>
      <c r="O8" s="77"/>
      <c r="P8" s="94"/>
      <c r="Q8" s="94"/>
      <c r="R8" s="51">
        <v>2</v>
      </c>
      <c r="S8" s="51">
        <v>2</v>
      </c>
      <c r="T8" s="51">
        <v>2</v>
      </c>
      <c r="U8" s="52">
        <v>0</v>
      </c>
      <c r="V8" s="52">
        <v>0.066667</v>
      </c>
      <c r="W8" s="52">
        <v>0.115168</v>
      </c>
      <c r="X8" s="52">
        <v>0.716868</v>
      </c>
      <c r="Y8" s="52">
        <v>1</v>
      </c>
      <c r="Z8" s="52">
        <v>1</v>
      </c>
      <c r="AA8" s="82">
        <v>8</v>
      </c>
      <c r="AB8" s="82" t="b">
        <f>IF(AND(OR(NOT(ISNUMBER([Size])),[Size]&gt;=Misc!$O$3),OR(NOT(ISNUMBER([Size])),[Size]&lt;=Misc!$P$3),OR(NOT(ISNUMBER([X])),[X]&gt;=Misc!$O$4),OR(NOT(ISNUMBER([X])),[X]&lt;=Misc!$P$4),OR(NOT(ISNUMBER([Y])),[Y]&gt;=Misc!$O$5),OR(NOT(ISNUMBER([Y])),[Y]&lt;=Misc!$P$5),OR(NOT(ISNUMBER([Degree])),[Degree]&gt;=Misc!$O$6),OR(NOT(ISNUMBER([Degree])),[Degree]&lt;=Misc!$P$6),OR(NOT(ISNUMBER([Betweenness Centrality])),[Betweenness Centrality]&gt;=Misc!$O$7),OR(NOT(ISNUMBER([Betweenness Centrality])),[Betweenness Centrality]&lt;=Misc!$P$7),OR(NOT(ISNUMBER([Closeness Centrality])),[Closeness Centrality]&gt;=Misc!$O$8),OR(NOT(ISNUMBER([Closeness Centrality])),[Closeness Centrality]&lt;=Misc!$P$8),OR(NOT(ISNUMBER([Eigenvector Centrality])),[Eigenvector Centrality]&gt;=Misc!$O$9),OR(NOT(ISNUMBER([Eigenvector Centrality])),[Eigenvector Centrality]&lt;=Misc!$P$9),OR(NOT(ISNUMBER([PageRank])),[PageRank]&gt;=Misc!$O$10),OR(NOT(ISNUMBER([PageRank])),[PageRank]&lt;=Misc!$P$10),OR(NOT(ISNUMBER([Clustering Coefficient])),[Clustering Coefficient]&gt;=Misc!$O$11),OR(NOT(ISNUMBER([Clustering Coefficient])),[Clustering Coefficient]&lt;=Misc!$P$11),TRUE),TRUE,FALSE)</f>
        <v>1</v>
      </c>
      <c r="AC8" s="95"/>
      <c r="AD8" s="51"/>
      <c r="AE8" s="51"/>
      <c r="AF8" s="51"/>
      <c r="AG8" s="51"/>
      <c r="AH8" s="51"/>
      <c r="AI8" s="51"/>
      <c r="AJ8" s="114" t="s">
        <v>223</v>
      </c>
      <c r="AK8" s="114" t="s">
        <v>223</v>
      </c>
      <c r="AL8" s="114" t="s">
        <v>223</v>
      </c>
      <c r="AM8" s="114" t="s">
        <v>223</v>
      </c>
      <c r="AN8" s="111" t="str">
        <f>REPLACE(INDEX(GroupVertices[Group],MATCH(Vertices[[#This Row],[Vertex]],GroupVertices[Vertex],0)),1,1,"")</f>
        <v>1</v>
      </c>
      <c r="AO8" s="2"/>
      <c r="AP8" s="3"/>
      <c r="AQ8" s="3"/>
      <c r="AR8" s="3"/>
      <c r="AS8" s="3"/>
    </row>
    <row r="9" spans="1:45" ht="15">
      <c r="A9" s="14" t="s">
        <v>177</v>
      </c>
      <c r="B9" s="15"/>
      <c r="C9" s="15"/>
      <c r="D9" s="91">
        <v>9.029828286307103</v>
      </c>
      <c r="E9" s="81">
        <v>72.67561981391572</v>
      </c>
      <c r="F9" s="15"/>
      <c r="G9" s="15"/>
      <c r="H9" s="14" t="s">
        <v>177</v>
      </c>
      <c r="I9" s="66"/>
      <c r="J9" s="66" t="s">
        <v>69</v>
      </c>
      <c r="K9" s="16" t="s">
        <v>302</v>
      </c>
      <c r="L9" s="92"/>
      <c r="M9" s="93">
        <v>5081.66162109375</v>
      </c>
      <c r="N9" s="93">
        <v>4911.0166015625</v>
      </c>
      <c r="O9" s="77"/>
      <c r="P9" s="94"/>
      <c r="Q9" s="94"/>
      <c r="R9" s="51">
        <v>2</v>
      </c>
      <c r="S9" s="51">
        <v>2</v>
      </c>
      <c r="T9" s="51">
        <v>2</v>
      </c>
      <c r="U9" s="52">
        <v>12</v>
      </c>
      <c r="V9" s="52">
        <v>0.066667</v>
      </c>
      <c r="W9" s="52">
        <v>0.044122</v>
      </c>
      <c r="X9" s="52">
        <v>0.928939</v>
      </c>
      <c r="Y9" s="52">
        <v>0</v>
      </c>
      <c r="Z9" s="52">
        <v>1</v>
      </c>
      <c r="AA9" s="82">
        <v>9</v>
      </c>
      <c r="AB9" s="82" t="b">
        <f>IF(AND(OR(NOT(ISNUMBER([Size])),[Size]&gt;=Misc!$O$3),OR(NOT(ISNUMBER([Size])),[Size]&lt;=Misc!$P$3),OR(NOT(ISNUMBER([X])),[X]&gt;=Misc!$O$4),OR(NOT(ISNUMBER([X])),[X]&lt;=Misc!$P$4),OR(NOT(ISNUMBER([Y])),[Y]&gt;=Misc!$O$5),OR(NOT(ISNUMBER([Y])),[Y]&lt;=Misc!$P$5),OR(NOT(ISNUMBER([Degree])),[Degree]&gt;=Misc!$O$6),OR(NOT(ISNUMBER([Degree])),[Degree]&lt;=Misc!$P$6),OR(NOT(ISNUMBER([Betweenness Centrality])),[Betweenness Centrality]&gt;=Misc!$O$7),OR(NOT(ISNUMBER([Betweenness Centrality])),[Betweenness Centrality]&lt;=Misc!$P$7),OR(NOT(ISNUMBER([Closeness Centrality])),[Closeness Centrality]&gt;=Misc!$O$8),OR(NOT(ISNUMBER([Closeness Centrality])),[Closeness Centrality]&lt;=Misc!$P$8),OR(NOT(ISNUMBER([Eigenvector Centrality])),[Eigenvector Centrality]&gt;=Misc!$O$9),OR(NOT(ISNUMBER([Eigenvector Centrality])),[Eigenvector Centrality]&lt;=Misc!$P$9),OR(NOT(ISNUMBER([PageRank])),[PageRank]&gt;=Misc!$O$10),OR(NOT(ISNUMBER([PageRank])),[PageRank]&lt;=Misc!$P$10),OR(NOT(ISNUMBER([Clustering Coefficient])),[Clustering Coefficient]&gt;=Misc!$O$11),OR(NOT(ISNUMBER([Clustering Coefficient])),[Clustering Coefficient]&lt;=Misc!$P$11),TRUE),TRUE,FALSE)</f>
        <v>0</v>
      </c>
      <c r="AC9" s="95"/>
      <c r="AD9" s="51"/>
      <c r="AE9" s="51"/>
      <c r="AF9" s="51"/>
      <c r="AG9" s="51"/>
      <c r="AH9" s="51"/>
      <c r="AI9" s="51"/>
      <c r="AJ9" s="114" t="s">
        <v>223</v>
      </c>
      <c r="AK9" s="114" t="s">
        <v>223</v>
      </c>
      <c r="AL9" s="114" t="s">
        <v>223</v>
      </c>
      <c r="AM9" s="114" t="s">
        <v>223</v>
      </c>
      <c r="AN9" s="111" t="str">
        <f>REPLACE(INDEX(GroupVertices[Group],MATCH(Vertices[[#This Row],[Vertex]],GroupVertices[Vertex],0)),1,1,"")</f>
        <v>2</v>
      </c>
      <c r="AO9" s="2"/>
      <c r="AP9" s="3"/>
      <c r="AQ9" s="3"/>
      <c r="AR9" s="3"/>
      <c r="AS9" s="3"/>
    </row>
    <row r="10" spans="1:45" ht="15">
      <c r="A10" s="96" t="s">
        <v>189</v>
      </c>
      <c r="B10" s="97"/>
      <c r="C10" s="97"/>
      <c r="D10" s="98">
        <v>1</v>
      </c>
      <c r="E10" s="99">
        <v>50</v>
      </c>
      <c r="F10" s="97"/>
      <c r="G10" s="97"/>
      <c r="H10" s="96" t="s">
        <v>189</v>
      </c>
      <c r="I10" s="101"/>
      <c r="J10" s="101" t="s">
        <v>71</v>
      </c>
      <c r="K10" s="100" t="s">
        <v>301</v>
      </c>
      <c r="L10" s="102"/>
      <c r="M10" s="103">
        <v>9847.3037109375</v>
      </c>
      <c r="N10" s="103">
        <v>176.97705078125</v>
      </c>
      <c r="O10" s="104"/>
      <c r="P10" s="105"/>
      <c r="Q10" s="105"/>
      <c r="R10" s="51">
        <v>1</v>
      </c>
      <c r="S10" s="51">
        <v>1</v>
      </c>
      <c r="T10" s="51">
        <v>1</v>
      </c>
      <c r="U10" s="52">
        <v>0</v>
      </c>
      <c r="V10" s="52">
        <v>0.047619</v>
      </c>
      <c r="W10" s="52">
        <v>0.013549</v>
      </c>
      <c r="X10" s="52">
        <v>0.544795</v>
      </c>
      <c r="Y10" s="52">
        <v>0</v>
      </c>
      <c r="Z10" s="52">
        <v>1</v>
      </c>
      <c r="AA10" s="106">
        <v>10</v>
      </c>
      <c r="AB10" s="106" t="b">
        <f>IF(AND(OR(NOT(ISNUMBER([Size])),[Size]&gt;=Misc!$O$3),OR(NOT(ISNUMBER([Size])),[Size]&lt;=Misc!$P$3),OR(NOT(ISNUMBER([X])),[X]&gt;=Misc!$O$4),OR(NOT(ISNUMBER([X])),[X]&lt;=Misc!$P$4),OR(NOT(ISNUMBER([Y])),[Y]&gt;=Misc!$O$5),OR(NOT(ISNUMBER([Y])),[Y]&lt;=Misc!$P$5),OR(NOT(ISNUMBER([Degree])),[Degree]&gt;=Misc!$O$6),OR(NOT(ISNUMBER([Degree])),[Degree]&lt;=Misc!$P$6),OR(NOT(ISNUMBER([Betweenness Centrality])),[Betweenness Centrality]&gt;=Misc!$O$7),OR(NOT(ISNUMBER([Betweenness Centrality])),[Betweenness Centrality]&lt;=Misc!$P$7),OR(NOT(ISNUMBER([Closeness Centrality])),[Closeness Centrality]&gt;=Misc!$O$8),OR(NOT(ISNUMBER([Closeness Centrality])),[Closeness Centrality]&lt;=Misc!$P$8),OR(NOT(ISNUMBER([Eigenvector Centrality])),[Eigenvector Centrality]&gt;=Misc!$O$9),OR(NOT(ISNUMBER([Eigenvector Centrality])),[Eigenvector Centrality]&lt;=Misc!$P$9),OR(NOT(ISNUMBER([PageRank])),[PageRank]&gt;=Misc!$O$10),OR(NOT(ISNUMBER([PageRank])),[PageRank]&lt;=Misc!$P$10),OR(NOT(ISNUMBER([Clustering Coefficient])),[Clustering Coefficient]&gt;=Misc!$O$11),OR(NOT(ISNUMBER([Clustering Coefficient])),[Clustering Coefficient]&lt;=Misc!$P$11),TRUE),TRUE,FALSE)</f>
        <v>1</v>
      </c>
      <c r="AC10" s="107"/>
      <c r="AD10" s="51"/>
      <c r="AE10" s="51"/>
      <c r="AF10" s="51"/>
      <c r="AG10" s="51"/>
      <c r="AH10" s="51"/>
      <c r="AI10" s="51"/>
      <c r="AJ10" s="114" t="s">
        <v>223</v>
      </c>
      <c r="AK10" s="114" t="s">
        <v>223</v>
      </c>
      <c r="AL10" s="114" t="s">
        <v>223</v>
      </c>
      <c r="AM10" s="114" t="s">
        <v>223</v>
      </c>
      <c r="AN10" s="111" t="str">
        <f>REPLACE(INDEX(GroupVertices[Group],MATCH(Vertices[[#This Row],[Vertex]],GroupVertices[Vertex],0)),1,1,"")</f>
        <v>2</v>
      </c>
      <c r="AO10" s="2"/>
      <c r="AP10" s="3"/>
      <c r="AQ10" s="3"/>
      <c r="AR10" s="3"/>
      <c r="AS10" s="3"/>
    </row>
  </sheetData>
  <dataValidations count="19">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AO3"/>
    <dataValidation allowBlank="1" showErrorMessage="1" sqref="A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H3:H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
  <sheetViews>
    <sheetView workbookViewId="0" topLeftCell="A1">
      <pane ySplit="2" topLeftCell="A3" activePane="bottomLeft" state="frozen"/>
      <selection pane="bottomLeft" activeCell="F6" sqref="F6"/>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 min="33" max="33" width="9.140625" style="0" hidden="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33" s="13" customFormat="1" ht="30" customHeight="1">
      <c r="A2" s="11" t="s">
        <v>143</v>
      </c>
      <c r="B2" s="13" t="s">
        <v>21</v>
      </c>
      <c r="C2" s="13" t="s">
        <v>20</v>
      </c>
      <c r="D2" s="13" t="s">
        <v>11</v>
      </c>
      <c r="E2" s="13" t="s">
        <v>144</v>
      </c>
      <c r="F2" s="13" t="s">
        <v>46</v>
      </c>
      <c r="G2" s="13" t="s">
        <v>166</v>
      </c>
      <c r="H2" s="13" t="s">
        <v>167</v>
      </c>
      <c r="I2" s="13" t="s">
        <v>12</v>
      </c>
      <c r="J2" s="13" t="s">
        <v>165</v>
      </c>
      <c r="K2" s="13" t="s">
        <v>145</v>
      </c>
      <c r="L2" s="13" t="s">
        <v>147</v>
      </c>
      <c r="M2" s="13" t="s">
        <v>148</v>
      </c>
      <c r="N2" s="13" t="s">
        <v>149</v>
      </c>
      <c r="O2" s="13" t="s">
        <v>150</v>
      </c>
      <c r="P2" s="13" t="s">
        <v>169</v>
      </c>
      <c r="Q2" s="13" t="s">
        <v>170</v>
      </c>
      <c r="R2" s="13" t="s">
        <v>151</v>
      </c>
      <c r="S2" s="13" t="s">
        <v>152</v>
      </c>
      <c r="T2" s="13" t="s">
        <v>153</v>
      </c>
      <c r="U2" s="13" t="s">
        <v>154</v>
      </c>
      <c r="V2" s="13" t="s">
        <v>155</v>
      </c>
      <c r="W2" s="13" t="s">
        <v>156</v>
      </c>
      <c r="X2" s="13" t="s">
        <v>157</v>
      </c>
      <c r="Y2" s="13" t="s">
        <v>196</v>
      </c>
      <c r="Z2" s="13" t="s">
        <v>198</v>
      </c>
      <c r="AA2" s="13" t="s">
        <v>200</v>
      </c>
      <c r="AB2" s="13" t="s">
        <v>207</v>
      </c>
      <c r="AC2" s="13" t="s">
        <v>209</v>
      </c>
      <c r="AD2" s="13" t="s">
        <v>212</v>
      </c>
      <c r="AE2" s="13" t="s">
        <v>213</v>
      </c>
      <c r="AF2" s="13" t="s">
        <v>215</v>
      </c>
      <c r="AG2" s="13" t="s">
        <v>276</v>
      </c>
    </row>
    <row r="3" spans="1:33" ht="15">
      <c r="A3" s="123" t="s">
        <v>227</v>
      </c>
      <c r="B3" s="124" t="s">
        <v>229</v>
      </c>
      <c r="C3" s="124" t="s">
        <v>56</v>
      </c>
      <c r="D3" s="116"/>
      <c r="E3" s="115"/>
      <c r="F3" s="117" t="s">
        <v>303</v>
      </c>
      <c r="G3" s="118"/>
      <c r="H3" s="118"/>
      <c r="I3" s="119">
        <v>3</v>
      </c>
      <c r="J3" s="120"/>
      <c r="K3" s="51">
        <v>4</v>
      </c>
      <c r="L3" s="51">
        <v>9</v>
      </c>
      <c r="M3" s="51">
        <v>3</v>
      </c>
      <c r="N3" s="51">
        <v>12</v>
      </c>
      <c r="O3" s="51">
        <v>0</v>
      </c>
      <c r="P3" s="52">
        <v>1</v>
      </c>
      <c r="Q3" s="52">
        <v>1</v>
      </c>
      <c r="R3" s="51">
        <v>1</v>
      </c>
      <c r="S3" s="51">
        <v>0</v>
      </c>
      <c r="T3" s="51">
        <v>4</v>
      </c>
      <c r="U3" s="51">
        <v>12</v>
      </c>
      <c r="V3" s="51">
        <v>2</v>
      </c>
      <c r="W3" s="52">
        <v>0.875</v>
      </c>
      <c r="X3" s="52">
        <v>0.8333333333333334</v>
      </c>
      <c r="Y3" s="108"/>
      <c r="Z3" s="108"/>
      <c r="AA3" s="108"/>
      <c r="AB3" s="111" t="s">
        <v>223</v>
      </c>
      <c r="AC3" s="111" t="s">
        <v>223</v>
      </c>
      <c r="AD3" s="108"/>
      <c r="AE3" s="108"/>
      <c r="AF3" s="108"/>
      <c r="AG3" s="110" t="s">
        <v>274</v>
      </c>
    </row>
    <row r="4" spans="1:33" ht="15">
      <c r="A4" s="125" t="s">
        <v>228</v>
      </c>
      <c r="B4" s="124" t="s">
        <v>230</v>
      </c>
      <c r="C4" s="124" t="s">
        <v>56</v>
      </c>
      <c r="D4" s="121"/>
      <c r="E4" s="97"/>
      <c r="F4" s="100" t="s">
        <v>272</v>
      </c>
      <c r="G4" s="104"/>
      <c r="H4" s="104"/>
      <c r="I4" s="122">
        <v>4</v>
      </c>
      <c r="J4" s="106"/>
      <c r="K4" s="51">
        <v>2</v>
      </c>
      <c r="L4" s="51">
        <v>0</v>
      </c>
      <c r="M4" s="51">
        <v>4</v>
      </c>
      <c r="N4" s="51">
        <v>4</v>
      </c>
      <c r="O4" s="51">
        <v>0</v>
      </c>
      <c r="P4" s="52">
        <v>1</v>
      </c>
      <c r="Q4" s="52">
        <v>1</v>
      </c>
      <c r="R4" s="51">
        <v>1</v>
      </c>
      <c r="S4" s="51">
        <v>0</v>
      </c>
      <c r="T4" s="51">
        <v>2</v>
      </c>
      <c r="U4" s="51">
        <v>4</v>
      </c>
      <c r="V4" s="51">
        <v>1</v>
      </c>
      <c r="W4" s="52">
        <v>0.5</v>
      </c>
      <c r="X4" s="52">
        <v>1</v>
      </c>
      <c r="Y4" s="108"/>
      <c r="Z4" s="108"/>
      <c r="AA4" s="108"/>
      <c r="AB4" s="111" t="s">
        <v>223</v>
      </c>
      <c r="AC4" s="111" t="s">
        <v>223</v>
      </c>
      <c r="AD4" s="108"/>
      <c r="AE4" s="108"/>
      <c r="AF4" s="108"/>
      <c r="AG4" s="110" t="s">
        <v>272</v>
      </c>
    </row>
    <row r="5" spans="1:33" ht="15">
      <c r="A5" s="125" t="s">
        <v>234</v>
      </c>
      <c r="B5" s="124" t="s">
        <v>235</v>
      </c>
      <c r="C5" s="124" t="s">
        <v>56</v>
      </c>
      <c r="D5" s="121"/>
      <c r="E5" s="97"/>
      <c r="F5" s="100" t="s">
        <v>304</v>
      </c>
      <c r="G5" s="104"/>
      <c r="H5" s="104"/>
      <c r="I5" s="122">
        <v>5</v>
      </c>
      <c r="J5" s="106"/>
      <c r="K5" s="51">
        <v>2</v>
      </c>
      <c r="L5" s="51">
        <v>2</v>
      </c>
      <c r="M5" s="51">
        <v>0</v>
      </c>
      <c r="N5" s="51">
        <v>2</v>
      </c>
      <c r="O5" s="51">
        <v>0</v>
      </c>
      <c r="P5" s="52">
        <v>1</v>
      </c>
      <c r="Q5" s="52">
        <v>1</v>
      </c>
      <c r="R5" s="51">
        <v>1</v>
      </c>
      <c r="S5" s="51">
        <v>0</v>
      </c>
      <c r="T5" s="51">
        <v>2</v>
      </c>
      <c r="U5" s="51">
        <v>2</v>
      </c>
      <c r="V5" s="51">
        <v>1</v>
      </c>
      <c r="W5" s="52">
        <v>0.5</v>
      </c>
      <c r="X5" s="52">
        <v>1</v>
      </c>
      <c r="Y5" s="108"/>
      <c r="Z5" s="108"/>
      <c r="AA5" s="108"/>
      <c r="AB5" s="111" t="s">
        <v>223</v>
      </c>
      <c r="AC5" s="111" t="s">
        <v>223</v>
      </c>
      <c r="AD5" s="108"/>
      <c r="AE5" s="108"/>
      <c r="AF5" s="108"/>
      <c r="AG5" s="110" t="s">
        <v>273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10" sqref="A10"/>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143</v>
      </c>
      <c r="B1" s="11" t="s">
        <v>5</v>
      </c>
      <c r="C1" s="11" t="s">
        <v>146</v>
      </c>
    </row>
    <row r="2" spans="1:3" ht="15">
      <c r="A2" s="108" t="s">
        <v>227</v>
      </c>
      <c r="B2" s="111" t="s">
        <v>183</v>
      </c>
      <c r="C2" s="108">
        <f>VLOOKUP(GroupVertices[[#This Row],[Vertex]],Vertices[],MATCH("ID",Vertices[[#Headers],[Vertex]:[Vertex Group]],0),FALSE)</f>
        <v>3</v>
      </c>
    </row>
    <row r="3" spans="1:3" ht="15">
      <c r="A3" s="108" t="s">
        <v>227</v>
      </c>
      <c r="B3" s="111" t="s">
        <v>184</v>
      </c>
      <c r="C3" s="108">
        <f>VLOOKUP(GroupVertices[[#This Row],[Vertex]],Vertices[],MATCH("ID",Vertices[[#Headers],[Vertex]:[Vertex Group]],0),FALSE)</f>
        <v>6</v>
      </c>
    </row>
    <row r="4" spans="1:3" ht="15">
      <c r="A4" s="108" t="s">
        <v>227</v>
      </c>
      <c r="B4" s="111" t="s">
        <v>185</v>
      </c>
      <c r="C4" s="108">
        <f>VLOOKUP(GroupVertices[[#This Row],[Vertex]],Vertices[],MATCH("ID",Vertices[[#Headers],[Vertex]:[Vertex Group]],0),FALSE)</f>
        <v>4</v>
      </c>
    </row>
    <row r="5" spans="1:3" ht="15">
      <c r="A5" s="108" t="s">
        <v>227</v>
      </c>
      <c r="B5" s="111" t="s">
        <v>188</v>
      </c>
      <c r="C5" s="108">
        <f>VLOOKUP(GroupVertices[[#This Row],[Vertex]],Vertices[],MATCH("ID",Vertices[[#Headers],[Vertex]:[Vertex Group]],0),FALSE)</f>
        <v>8</v>
      </c>
    </row>
    <row r="6" spans="1:3" ht="15">
      <c r="A6" s="108" t="s">
        <v>228</v>
      </c>
      <c r="B6" s="111" t="s">
        <v>177</v>
      </c>
      <c r="C6" s="108">
        <f>VLOOKUP(GroupVertices[[#This Row],[Vertex]],Vertices[],MATCH("ID",Vertices[[#Headers],[Vertex]:[Vertex Group]],0),FALSE)</f>
        <v>9</v>
      </c>
    </row>
    <row r="7" spans="1:3" ht="15">
      <c r="A7" s="108" t="s">
        <v>228</v>
      </c>
      <c r="B7" s="111" t="s">
        <v>189</v>
      </c>
      <c r="C7" s="108">
        <f>VLOOKUP(GroupVertices[[#This Row],[Vertex]],Vertices[],MATCH("ID",Vertices[[#Headers],[Vertex]:[Vertex Group]],0),FALSE)</f>
        <v>10</v>
      </c>
    </row>
    <row r="8" spans="1:3" ht="15">
      <c r="A8" s="108" t="s">
        <v>234</v>
      </c>
      <c r="B8" s="111" t="s">
        <v>186</v>
      </c>
      <c r="C8" s="108">
        <f>VLOOKUP(GroupVertices[[#This Row],[Vertex]],Vertices[],MATCH("ID",Vertices[[#Headers],[Vertex]:[Vertex Group]],0),FALSE)</f>
        <v>5</v>
      </c>
    </row>
    <row r="9" spans="1:3" ht="15">
      <c r="A9" s="108" t="s">
        <v>234</v>
      </c>
      <c r="B9" s="111" t="s">
        <v>187</v>
      </c>
      <c r="C9" s="108">
        <f>VLOOKUP(GroupVertices[[#This Row],[Vertex]],Vertices[],MATCH("ID",Vertices[[#Headers],[Vertex]:[Vertex Group]],0),FALSE)</f>
        <v>7</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161</v>
      </c>
      <c r="B1" s="13" t="s">
        <v>17</v>
      </c>
      <c r="D1" t="s">
        <v>79</v>
      </c>
      <c r="E1" t="s">
        <v>80</v>
      </c>
      <c r="F1" s="37" t="s">
        <v>86</v>
      </c>
      <c r="G1" s="38" t="s">
        <v>87</v>
      </c>
      <c r="H1" s="37" t="s">
        <v>92</v>
      </c>
      <c r="I1" s="38" t="s">
        <v>93</v>
      </c>
      <c r="J1" s="37" t="s">
        <v>98</v>
      </c>
      <c r="K1" s="38" t="s">
        <v>99</v>
      </c>
      <c r="L1" s="37" t="s">
        <v>104</v>
      </c>
      <c r="M1" s="38" t="s">
        <v>105</v>
      </c>
      <c r="N1" s="37" t="s">
        <v>110</v>
      </c>
      <c r="O1" s="38" t="s">
        <v>111</v>
      </c>
      <c r="P1" s="38" t="s">
        <v>137</v>
      </c>
      <c r="Q1" s="38" t="s">
        <v>138</v>
      </c>
      <c r="R1" s="37" t="s">
        <v>116</v>
      </c>
      <c r="S1" s="37" t="s">
        <v>117</v>
      </c>
      <c r="T1" s="37" t="s">
        <v>122</v>
      </c>
      <c r="U1" s="38" t="s">
        <v>123</v>
      </c>
      <c r="W1" t="s">
        <v>127</v>
      </c>
      <c r="X1" t="s">
        <v>17</v>
      </c>
    </row>
    <row r="2" spans="1:24" ht="15.75" thickTop="1">
      <c r="A2" s="36" t="s">
        <v>190</v>
      </c>
      <c r="B2" s="36" t="s">
        <v>270</v>
      </c>
      <c r="D2" s="33">
        <f>MIN(Vertices[Degree])</f>
        <v>1</v>
      </c>
      <c r="E2" s="3">
        <f>COUNTIF(Vertices[Degree],"&gt;= "&amp;D2)-COUNTIF(Vertices[Degree],"&gt;="&amp;D3)</f>
        <v>1</v>
      </c>
      <c r="F2" s="39">
        <f>MIN(Vertices[In-Degree])</f>
        <v>1</v>
      </c>
      <c r="G2" s="40">
        <f>COUNTIF(Vertices[In-Degree],"&gt;= "&amp;F2)-COUNTIF(Vertices[In-Degree],"&gt;="&amp;F3)</f>
        <v>1</v>
      </c>
      <c r="H2" s="39">
        <f>MIN(Vertices[Out-Degree])</f>
        <v>1</v>
      </c>
      <c r="I2" s="40">
        <f>COUNTIF(Vertices[Out-Degree],"&gt;= "&amp;H2)-COUNTIF(Vertices[Out-Degree],"&gt;="&amp;H3)</f>
        <v>1</v>
      </c>
      <c r="J2" s="39">
        <f>MIN(Vertices[Betweenness Centrality])</f>
        <v>0</v>
      </c>
      <c r="K2" s="40">
        <f>COUNTIF(Vertices[Betweenness Centrality],"&gt;= "&amp;J2)-COUNTIF(Vertices[Betweenness Centrality],"&gt;="&amp;J3)</f>
        <v>2</v>
      </c>
      <c r="L2" s="39">
        <f>MIN(Vertices[Closeness Centrality])</f>
        <v>0.047619</v>
      </c>
      <c r="M2" s="40">
        <f>COUNTIF(Vertices[Closeness Centrality],"&gt;= "&amp;L2)-COUNTIF(Vertices[Closeness Centrality],"&gt;="&amp;L3)</f>
        <v>1</v>
      </c>
      <c r="N2" s="39">
        <f>MIN(Vertices[Eigenvector Centrality])</f>
        <v>0.013549</v>
      </c>
      <c r="O2" s="40">
        <f>COUNTIF(Vertices[Eigenvector Centrality],"&gt;= "&amp;N2)-COUNTIF(Vertices[Eigenvector Centrality],"&gt;="&amp;N3)</f>
        <v>1</v>
      </c>
      <c r="P2" s="39">
        <f>MIN(Vertices[PageRank])</f>
        <v>0.544795</v>
      </c>
      <c r="Q2" s="40">
        <f>COUNTIF(Vertices[PageRank],"&gt;= "&amp;P2)-COUNTIF(Vertices[PageRank],"&gt;="&amp;P3)</f>
        <v>1</v>
      </c>
      <c r="R2" s="39">
        <f>MIN(Vertices[Clustering Coefficient])</f>
        <v>0</v>
      </c>
      <c r="S2" s="45">
        <f>COUNTIF(Vertices[Clustering Coefficient],"&gt;= "&amp;R2)-COUNTIF(Vertices[Clustering Coefficient],"&gt;="&amp;R3)</f>
        <v>2</v>
      </c>
      <c r="T2" s="39">
        <f ca="1">MIN(INDIRECT(DynamicFilterSourceColumnRange))</f>
        <v>0</v>
      </c>
      <c r="U2" s="40">
        <f aca="true" t="shared" si="0" ref="U2:U57">COUNTIF(INDIRECT(DynamicFilterSourceColumnRange),"&gt;= "&amp;T2)-COUNTIF(INDIRECT(DynamicFilterSourceColumnRange),"&gt;="&amp;T3)</f>
        <v>2</v>
      </c>
      <c r="W2" t="s">
        <v>124</v>
      </c>
      <c r="X2">
        <f>ROWS(HistogramBins[Degree Bin])-1</f>
        <v>55</v>
      </c>
    </row>
    <row r="3" spans="1:24" ht="15">
      <c r="A3" s="109"/>
      <c r="B3" s="109"/>
      <c r="D3" s="34">
        <f aca="true" t="shared" si="1" ref="D3:D26">D2+($D$57-$D$2)/BinDivisor</f>
        <v>1.0727272727272728</v>
      </c>
      <c r="E3" s="3">
        <f>COUNTIF(Vertices[Degree],"&gt;= "&amp;D3)-COUNTIF(Vertices[Degree],"&gt;="&amp;D4)</f>
        <v>0</v>
      </c>
      <c r="F3" s="41">
        <f aca="true" t="shared" si="2" ref="F3:F26">F2+($F$57-$F$2)/BinDivisor</f>
        <v>1.0727272727272728</v>
      </c>
      <c r="G3" s="42">
        <f>COUNTIF(Vertices[In-Degree],"&gt;= "&amp;F3)-COUNTIF(Vertices[In-Degree],"&gt;="&amp;F4)</f>
        <v>0</v>
      </c>
      <c r="H3" s="41">
        <f aca="true" t="shared" si="3" ref="H3:H26">H2+($H$57-$H$2)/BinDivisor</f>
        <v>1.0727272727272728</v>
      </c>
      <c r="I3" s="42">
        <f>COUNTIF(Vertices[Out-Degree],"&gt;= "&amp;H3)-COUNTIF(Vertices[Out-Degree],"&gt;="&amp;H4)</f>
        <v>0</v>
      </c>
      <c r="J3" s="41">
        <f aca="true" t="shared" si="4" ref="J3:J26">J2+($J$57-$J$2)/BinDivisor</f>
        <v>0.36363636363636365</v>
      </c>
      <c r="K3" s="42">
        <f>COUNTIF(Vertices[Betweenness Centrality],"&gt;= "&amp;J3)-COUNTIF(Vertices[Betweenness Centrality],"&gt;="&amp;J4)</f>
        <v>0</v>
      </c>
      <c r="L3" s="41">
        <f aca="true" t="shared" si="5" ref="L3:L26">L2+($L$57-$L$2)/BinDivisor</f>
        <v>0.04857138181818182</v>
      </c>
      <c r="M3" s="42">
        <f>COUNTIF(Vertices[Closeness Centrality],"&gt;= "&amp;L3)-COUNTIF(Vertices[Closeness Centrality],"&gt;="&amp;L4)</f>
        <v>0</v>
      </c>
      <c r="N3" s="41">
        <f aca="true" t="shared" si="6" ref="N3:N26">N2+($N$57-$N$2)/BinDivisor</f>
        <v>0.017327945454545454</v>
      </c>
      <c r="O3" s="42">
        <f>COUNTIF(Vertices[Eigenvector Centrality],"&gt;= "&amp;N3)-COUNTIF(Vertices[Eigenvector Centrality],"&gt;="&amp;N4)</f>
        <v>0</v>
      </c>
      <c r="P3" s="41">
        <f aca="true" t="shared" si="7" ref="P3:P26">P2+($P$57-$P$2)/BinDivisor</f>
        <v>0.5646485818181819</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f aca="true" t="shared" si="9" ref="T3:T26">T2+($T$57-$T$2)/BinDivisor</f>
        <v>0.01818181818181818</v>
      </c>
      <c r="U3" s="42">
        <f ca="1" t="shared" si="0"/>
        <v>0</v>
      </c>
      <c r="W3" t="s">
        <v>125</v>
      </c>
      <c r="X3" t="s">
        <v>85</v>
      </c>
    </row>
    <row r="4" spans="1:24" ht="15">
      <c r="A4" s="36" t="s">
        <v>145</v>
      </c>
      <c r="B4" s="36">
        <v>8</v>
      </c>
      <c r="D4" s="34">
        <f t="shared" si="1"/>
        <v>1.1454545454545455</v>
      </c>
      <c r="E4" s="3">
        <f>COUNTIF(Vertices[Degree],"&gt;= "&amp;D4)-COUNTIF(Vertices[Degree],"&gt;="&amp;D5)</f>
        <v>0</v>
      </c>
      <c r="F4" s="39">
        <f t="shared" si="2"/>
        <v>1.1454545454545455</v>
      </c>
      <c r="G4" s="40">
        <f>COUNTIF(Vertices[In-Degree],"&gt;= "&amp;F4)-COUNTIF(Vertices[In-Degree],"&gt;="&amp;F5)</f>
        <v>0</v>
      </c>
      <c r="H4" s="39">
        <f t="shared" si="3"/>
        <v>1.1454545454545455</v>
      </c>
      <c r="I4" s="40">
        <f>COUNTIF(Vertices[Out-Degree],"&gt;= "&amp;H4)-COUNTIF(Vertices[Out-Degree],"&gt;="&amp;H5)</f>
        <v>0</v>
      </c>
      <c r="J4" s="39">
        <f t="shared" si="4"/>
        <v>0.7272727272727273</v>
      </c>
      <c r="K4" s="40">
        <f>COUNTIF(Vertices[Betweenness Centrality],"&gt;= "&amp;J4)-COUNTIF(Vertices[Betweenness Centrality],"&gt;="&amp;J5)</f>
        <v>2</v>
      </c>
      <c r="L4" s="39">
        <f t="shared" si="5"/>
        <v>0.049523763636363634</v>
      </c>
      <c r="M4" s="40">
        <f>COUNTIF(Vertices[Closeness Centrality],"&gt;= "&amp;L4)-COUNTIF(Vertices[Closeness Centrality],"&gt;="&amp;L5)</f>
        <v>0</v>
      </c>
      <c r="N4" s="39">
        <f t="shared" si="6"/>
        <v>0.02110689090909091</v>
      </c>
      <c r="O4" s="40">
        <f>COUNTIF(Vertices[Eigenvector Centrality],"&gt;= "&amp;N4)-COUNTIF(Vertices[Eigenvector Centrality],"&gt;="&amp;N5)</f>
        <v>0</v>
      </c>
      <c r="P4" s="39">
        <f t="shared" si="7"/>
        <v>0.5845021636363638</v>
      </c>
      <c r="Q4" s="40">
        <f>COUNTIF(Vertices[PageRank],"&gt;= "&amp;P4)-COUNTIF(Vertices[PageRank],"&gt;="&amp;P5)</f>
        <v>0</v>
      </c>
      <c r="R4" s="39">
        <f t="shared" si="8"/>
        <v>0.03636363636363636</v>
      </c>
      <c r="S4" s="45">
        <f>COUNTIF(Vertices[Clustering Coefficient],"&gt;= "&amp;R4)-COUNTIF(Vertices[Clustering Coefficient],"&gt;="&amp;R5)</f>
        <v>0</v>
      </c>
      <c r="T4" s="39">
        <f ca="1" t="shared" si="9"/>
        <v>0.03636363636363636</v>
      </c>
      <c r="U4" s="40">
        <f ca="1" t="shared" si="0"/>
        <v>0</v>
      </c>
      <c r="W4" s="12" t="s">
        <v>126</v>
      </c>
      <c r="X4" s="12" t="s">
        <v>275</v>
      </c>
    </row>
    <row r="5" spans="1:21" ht="15">
      <c r="A5" s="109"/>
      <c r="B5" s="109"/>
      <c r="D5" s="34">
        <f t="shared" si="1"/>
        <v>1.2181818181818183</v>
      </c>
      <c r="E5" s="3">
        <f>COUNTIF(Vertices[Degree],"&gt;= "&amp;D5)-COUNTIF(Vertices[Degree],"&gt;="&amp;D6)</f>
        <v>0</v>
      </c>
      <c r="F5" s="41">
        <f t="shared" si="2"/>
        <v>1.2181818181818183</v>
      </c>
      <c r="G5" s="42">
        <f>COUNTIF(Vertices[In-Degree],"&gt;= "&amp;F5)-COUNTIF(Vertices[In-Degree],"&gt;="&amp;F6)</f>
        <v>0</v>
      </c>
      <c r="H5" s="41">
        <f t="shared" si="3"/>
        <v>1.2181818181818183</v>
      </c>
      <c r="I5" s="42">
        <f>COUNTIF(Vertices[Out-Degree],"&gt;= "&amp;H5)-COUNTIF(Vertices[Out-Degree],"&gt;="&amp;H6)</f>
        <v>0</v>
      </c>
      <c r="J5" s="41">
        <f t="shared" si="4"/>
        <v>1.0909090909090908</v>
      </c>
      <c r="K5" s="42">
        <f>COUNTIF(Vertices[Betweenness Centrality],"&gt;= "&amp;J5)-COUNTIF(Vertices[Betweenness Centrality],"&gt;="&amp;J6)</f>
        <v>0</v>
      </c>
      <c r="L5" s="41">
        <f t="shared" si="5"/>
        <v>0.05047614545454545</v>
      </c>
      <c r="M5" s="42">
        <f>COUNTIF(Vertices[Closeness Centrality],"&gt;= "&amp;L5)-COUNTIF(Vertices[Closeness Centrality],"&gt;="&amp;L6)</f>
        <v>0</v>
      </c>
      <c r="N5" s="41">
        <f t="shared" si="6"/>
        <v>0.024885836363636366</v>
      </c>
      <c r="O5" s="42">
        <f>COUNTIF(Vertices[Eigenvector Centrality],"&gt;= "&amp;N5)-COUNTIF(Vertices[Eigenvector Centrality],"&gt;="&amp;N6)</f>
        <v>0</v>
      </c>
      <c r="P5" s="41">
        <f t="shared" si="7"/>
        <v>0.6043557454545456</v>
      </c>
      <c r="Q5" s="42">
        <f>COUNTIF(Vertices[PageRank],"&gt;= "&amp;P5)-COUNTIF(Vertices[PageRank],"&gt;="&amp;P6)</f>
        <v>0</v>
      </c>
      <c r="R5" s="41">
        <f t="shared" si="8"/>
        <v>0.05454545454545454</v>
      </c>
      <c r="S5" s="46">
        <f>COUNTIF(Vertices[Clustering Coefficient],"&gt;= "&amp;R5)-COUNTIF(Vertices[Clustering Coefficient],"&gt;="&amp;R6)</f>
        <v>0</v>
      </c>
      <c r="T5" s="41">
        <f ca="1" t="shared" si="9"/>
        <v>0.05454545454545454</v>
      </c>
      <c r="U5" s="42">
        <f ca="1" t="shared" si="0"/>
        <v>0</v>
      </c>
    </row>
    <row r="6" spans="1:21" ht="15">
      <c r="A6" s="36" t="s">
        <v>147</v>
      </c>
      <c r="B6" s="36">
        <v>18</v>
      </c>
      <c r="D6" s="34">
        <f t="shared" si="1"/>
        <v>1.290909090909091</v>
      </c>
      <c r="E6" s="3">
        <f>COUNTIF(Vertices[Degree],"&gt;= "&amp;D6)-COUNTIF(Vertices[Degree],"&gt;="&amp;D7)</f>
        <v>0</v>
      </c>
      <c r="F6" s="39">
        <f t="shared" si="2"/>
        <v>1.290909090909091</v>
      </c>
      <c r="G6" s="40">
        <f>COUNTIF(Vertices[In-Degree],"&gt;= "&amp;F6)-COUNTIF(Vertices[In-Degree],"&gt;="&amp;F7)</f>
        <v>0</v>
      </c>
      <c r="H6" s="39">
        <f t="shared" si="3"/>
        <v>1.290909090909091</v>
      </c>
      <c r="I6" s="40">
        <f>COUNTIF(Vertices[Out-Degree],"&gt;= "&amp;H6)-COUNTIF(Vertices[Out-Degree],"&gt;="&amp;H7)</f>
        <v>0</v>
      </c>
      <c r="J6" s="39">
        <f t="shared" si="4"/>
        <v>1.4545454545454546</v>
      </c>
      <c r="K6" s="40">
        <f>COUNTIF(Vertices[Betweenness Centrality],"&gt;= "&amp;J6)-COUNTIF(Vertices[Betweenness Centrality],"&gt;="&amp;J7)</f>
        <v>0</v>
      </c>
      <c r="L6" s="39">
        <f t="shared" si="5"/>
        <v>0.051428527272727266</v>
      </c>
      <c r="M6" s="40">
        <f>COUNTIF(Vertices[Closeness Centrality],"&gt;= "&amp;L6)-COUNTIF(Vertices[Closeness Centrality],"&gt;="&amp;L7)</f>
        <v>0</v>
      </c>
      <c r="N6" s="39">
        <f t="shared" si="6"/>
        <v>0.02866478181818182</v>
      </c>
      <c r="O6" s="40">
        <f>COUNTIF(Vertices[Eigenvector Centrality],"&gt;= "&amp;N6)-COUNTIF(Vertices[Eigenvector Centrality],"&gt;="&amp;N7)</f>
        <v>0</v>
      </c>
      <c r="P6" s="39">
        <f t="shared" si="7"/>
        <v>0.6242093272727275</v>
      </c>
      <c r="Q6" s="40">
        <f>COUNTIF(Vertices[PageRank],"&gt;= "&amp;P6)-COUNTIF(Vertices[PageRank],"&gt;="&amp;P7)</f>
        <v>0</v>
      </c>
      <c r="R6" s="39">
        <f t="shared" si="8"/>
        <v>0.07272727272727272</v>
      </c>
      <c r="S6" s="45">
        <f>COUNTIF(Vertices[Clustering Coefficient],"&gt;= "&amp;R6)-COUNTIF(Vertices[Clustering Coefficient],"&gt;="&amp;R7)</f>
        <v>0</v>
      </c>
      <c r="T6" s="39">
        <f ca="1" t="shared" si="9"/>
        <v>0.07272727272727272</v>
      </c>
      <c r="U6" s="40">
        <f ca="1" t="shared" si="0"/>
        <v>0</v>
      </c>
    </row>
    <row r="7" spans="1:21" ht="15">
      <c r="A7" s="36" t="s">
        <v>148</v>
      </c>
      <c r="B7" s="36">
        <v>7</v>
      </c>
      <c r="D7" s="34">
        <f t="shared" si="1"/>
        <v>1.3636363636363638</v>
      </c>
      <c r="E7" s="3">
        <f>COUNTIF(Vertices[Degree],"&gt;= "&amp;D7)-COUNTIF(Vertices[Degree],"&gt;="&amp;D8)</f>
        <v>0</v>
      </c>
      <c r="F7" s="41">
        <f t="shared" si="2"/>
        <v>1.3636363636363638</v>
      </c>
      <c r="G7" s="42">
        <f>COUNTIF(Vertices[In-Degree],"&gt;= "&amp;F7)-COUNTIF(Vertices[In-Degree],"&gt;="&amp;F8)</f>
        <v>0</v>
      </c>
      <c r="H7" s="41">
        <f t="shared" si="3"/>
        <v>1.3636363636363638</v>
      </c>
      <c r="I7" s="42">
        <f>COUNTIF(Vertices[Out-Degree],"&gt;= "&amp;H7)-COUNTIF(Vertices[Out-Degree],"&gt;="&amp;H8)</f>
        <v>0</v>
      </c>
      <c r="J7" s="41">
        <f t="shared" si="4"/>
        <v>1.8181818181818183</v>
      </c>
      <c r="K7" s="42">
        <f>COUNTIF(Vertices[Betweenness Centrality],"&gt;= "&amp;J7)-COUNTIF(Vertices[Betweenness Centrality],"&gt;="&amp;J8)</f>
        <v>0</v>
      </c>
      <c r="L7" s="41">
        <f t="shared" si="5"/>
        <v>0.05238090909090908</v>
      </c>
      <c r="M7" s="42">
        <f>COUNTIF(Vertices[Closeness Centrality],"&gt;= "&amp;L7)-COUNTIF(Vertices[Closeness Centrality],"&gt;="&amp;L8)</f>
        <v>0</v>
      </c>
      <c r="N7" s="41">
        <f t="shared" si="6"/>
        <v>0.03244372727272728</v>
      </c>
      <c r="O7" s="42">
        <f>COUNTIF(Vertices[Eigenvector Centrality],"&gt;= "&amp;N7)-COUNTIF(Vertices[Eigenvector Centrality],"&gt;="&amp;N8)</f>
        <v>0</v>
      </c>
      <c r="P7" s="41">
        <f t="shared" si="7"/>
        <v>0.6440629090909094</v>
      </c>
      <c r="Q7" s="42">
        <f>COUNTIF(Vertices[PageRank],"&gt;= "&amp;P7)-COUNTIF(Vertices[PageRank],"&gt;="&amp;P8)</f>
        <v>0</v>
      </c>
      <c r="R7" s="41">
        <f t="shared" si="8"/>
        <v>0.09090909090909091</v>
      </c>
      <c r="S7" s="46">
        <f>COUNTIF(Vertices[Clustering Coefficient],"&gt;= "&amp;R7)-COUNTIF(Vertices[Clustering Coefficient],"&gt;="&amp;R8)</f>
        <v>0</v>
      </c>
      <c r="T7" s="41">
        <f ca="1" t="shared" si="9"/>
        <v>0.09090909090909091</v>
      </c>
      <c r="U7" s="42">
        <f ca="1" t="shared" si="0"/>
        <v>0</v>
      </c>
    </row>
    <row r="8" spans="1:21" ht="15">
      <c r="A8" s="36" t="s">
        <v>149</v>
      </c>
      <c r="B8" s="36">
        <v>25</v>
      </c>
      <c r="D8" s="34">
        <f t="shared" si="1"/>
        <v>1.4363636363636365</v>
      </c>
      <c r="E8" s="3">
        <f>COUNTIF(Vertices[Degree],"&gt;= "&amp;D8)-COUNTIF(Vertices[Degree],"&gt;="&amp;D9)</f>
        <v>0</v>
      </c>
      <c r="F8" s="39">
        <f t="shared" si="2"/>
        <v>1.4363636363636365</v>
      </c>
      <c r="G8" s="40">
        <f>COUNTIF(Vertices[In-Degree],"&gt;= "&amp;F8)-COUNTIF(Vertices[In-Degree],"&gt;="&amp;F9)</f>
        <v>0</v>
      </c>
      <c r="H8" s="39">
        <f t="shared" si="3"/>
        <v>1.4363636363636365</v>
      </c>
      <c r="I8" s="40">
        <f>COUNTIF(Vertices[Out-Degree],"&gt;= "&amp;H8)-COUNTIF(Vertices[Out-Degree],"&gt;="&amp;H9)</f>
        <v>0</v>
      </c>
      <c r="J8" s="39">
        <f t="shared" si="4"/>
        <v>2.181818181818182</v>
      </c>
      <c r="K8" s="40">
        <f>COUNTIF(Vertices[Betweenness Centrality],"&gt;= "&amp;J8)-COUNTIF(Vertices[Betweenness Centrality],"&gt;="&amp;J9)</f>
        <v>0</v>
      </c>
      <c r="L8" s="39">
        <f t="shared" si="5"/>
        <v>0.0533332909090909</v>
      </c>
      <c r="M8" s="40">
        <f>COUNTIF(Vertices[Closeness Centrality],"&gt;= "&amp;L8)-COUNTIF(Vertices[Closeness Centrality],"&gt;="&amp;L9)</f>
        <v>0</v>
      </c>
      <c r="N8" s="39">
        <f t="shared" si="6"/>
        <v>0.03622267272727273</v>
      </c>
      <c r="O8" s="40">
        <f>COUNTIF(Vertices[Eigenvector Centrality],"&gt;= "&amp;N8)-COUNTIF(Vertices[Eigenvector Centrality],"&gt;="&amp;N9)</f>
        <v>0</v>
      </c>
      <c r="P8" s="39">
        <f t="shared" si="7"/>
        <v>0.6639164909090912</v>
      </c>
      <c r="Q8" s="40">
        <f>COUNTIF(Vertices[PageRank],"&gt;= "&amp;P8)-COUNTIF(Vertices[PageRank],"&gt;="&amp;P9)</f>
        <v>0</v>
      </c>
      <c r="R8" s="39">
        <f t="shared" si="8"/>
        <v>0.1090909090909091</v>
      </c>
      <c r="S8" s="45">
        <f>COUNTIF(Vertices[Clustering Coefficient],"&gt;= "&amp;R8)-COUNTIF(Vertices[Clustering Coefficient],"&gt;="&amp;R9)</f>
        <v>0</v>
      </c>
      <c r="T8" s="39">
        <f ca="1" t="shared" si="9"/>
        <v>0.1090909090909091</v>
      </c>
      <c r="U8" s="40">
        <f ca="1" t="shared" si="0"/>
        <v>0</v>
      </c>
    </row>
    <row r="9" spans="1:21" ht="15">
      <c r="A9" s="109"/>
      <c r="B9" s="109"/>
      <c r="D9" s="34">
        <f t="shared" si="1"/>
        <v>1.5090909090909093</v>
      </c>
      <c r="E9" s="3">
        <f>COUNTIF(Vertices[Degree],"&gt;= "&amp;D9)-COUNTIF(Vertices[Degree],"&gt;="&amp;D10)</f>
        <v>0</v>
      </c>
      <c r="F9" s="41">
        <f t="shared" si="2"/>
        <v>1.5090909090909093</v>
      </c>
      <c r="G9" s="42">
        <f>COUNTIF(Vertices[In-Degree],"&gt;= "&amp;F9)-COUNTIF(Vertices[In-Degree],"&gt;="&amp;F10)</f>
        <v>0</v>
      </c>
      <c r="H9" s="41">
        <f t="shared" si="3"/>
        <v>1.5090909090909093</v>
      </c>
      <c r="I9" s="42">
        <f>COUNTIF(Vertices[Out-Degree],"&gt;= "&amp;H9)-COUNTIF(Vertices[Out-Degree],"&gt;="&amp;H10)</f>
        <v>0</v>
      </c>
      <c r="J9" s="41">
        <f t="shared" si="4"/>
        <v>2.545454545454546</v>
      </c>
      <c r="K9" s="42">
        <f>COUNTIF(Vertices[Betweenness Centrality],"&gt;= "&amp;J9)-COUNTIF(Vertices[Betweenness Centrality],"&gt;="&amp;J10)</f>
        <v>0</v>
      </c>
      <c r="L9" s="41">
        <f t="shared" si="5"/>
        <v>0.054285672727272714</v>
      </c>
      <c r="M9" s="42">
        <f>COUNTIF(Vertices[Closeness Centrality],"&gt;= "&amp;L9)-COUNTIF(Vertices[Closeness Centrality],"&gt;="&amp;L10)</f>
        <v>0</v>
      </c>
      <c r="N9" s="41">
        <f t="shared" si="6"/>
        <v>0.04000161818181819</v>
      </c>
      <c r="O9" s="42">
        <f>COUNTIF(Vertices[Eigenvector Centrality],"&gt;= "&amp;N9)-COUNTIF(Vertices[Eigenvector Centrality],"&gt;="&amp;N10)</f>
        <v>0</v>
      </c>
      <c r="P9" s="41">
        <f t="shared" si="7"/>
        <v>0.6837700727272731</v>
      </c>
      <c r="Q9" s="42">
        <f>COUNTIF(Vertices[PageRank],"&gt;= "&amp;P9)-COUNTIF(Vertices[PageRank],"&gt;="&amp;P10)</f>
        <v>0</v>
      </c>
      <c r="R9" s="41">
        <f t="shared" si="8"/>
        <v>0.1272727272727273</v>
      </c>
      <c r="S9" s="46">
        <f>COUNTIF(Vertices[Clustering Coefficient],"&gt;= "&amp;R9)-COUNTIF(Vertices[Clustering Coefficient],"&gt;="&amp;R10)</f>
        <v>0</v>
      </c>
      <c r="T9" s="41">
        <f ca="1" t="shared" si="9"/>
        <v>0.1272727272727273</v>
      </c>
      <c r="U9" s="42">
        <f ca="1" t="shared" si="0"/>
        <v>0</v>
      </c>
    </row>
    <row r="10" spans="1:21" ht="15">
      <c r="A10" s="36" t="s">
        <v>150</v>
      </c>
      <c r="B10" s="36">
        <v>0</v>
      </c>
      <c r="D10" s="34">
        <f t="shared" si="1"/>
        <v>1.581818181818182</v>
      </c>
      <c r="E10" s="3">
        <f>COUNTIF(Vertices[Degree],"&gt;= "&amp;D10)-COUNTIF(Vertices[Degree],"&gt;="&amp;D11)</f>
        <v>0</v>
      </c>
      <c r="F10" s="39">
        <f t="shared" si="2"/>
        <v>1.581818181818182</v>
      </c>
      <c r="G10" s="40">
        <f>COUNTIF(Vertices[In-Degree],"&gt;= "&amp;F10)-COUNTIF(Vertices[In-Degree],"&gt;="&amp;F11)</f>
        <v>0</v>
      </c>
      <c r="H10" s="39">
        <f t="shared" si="3"/>
        <v>1.581818181818182</v>
      </c>
      <c r="I10" s="40">
        <f>COUNTIF(Vertices[Out-Degree],"&gt;= "&amp;H10)-COUNTIF(Vertices[Out-Degree],"&gt;="&amp;H11)</f>
        <v>0</v>
      </c>
      <c r="J10" s="39">
        <f t="shared" si="4"/>
        <v>2.9090909090909096</v>
      </c>
      <c r="K10" s="40">
        <f>COUNTIF(Vertices[Betweenness Centrality],"&gt;= "&amp;J10)-COUNTIF(Vertices[Betweenness Centrality],"&gt;="&amp;J11)</f>
        <v>1</v>
      </c>
      <c r="L10" s="39">
        <f t="shared" si="5"/>
        <v>0.05523805454545453</v>
      </c>
      <c r="M10" s="40">
        <f>COUNTIF(Vertices[Closeness Centrality],"&gt;= "&amp;L10)-COUNTIF(Vertices[Closeness Centrality],"&gt;="&amp;L11)</f>
        <v>0</v>
      </c>
      <c r="N10" s="39">
        <f t="shared" si="6"/>
        <v>0.043780563636363644</v>
      </c>
      <c r="O10" s="40">
        <f>COUNTIF(Vertices[Eigenvector Centrality],"&gt;= "&amp;N10)-COUNTIF(Vertices[Eigenvector Centrality],"&gt;="&amp;N11)</f>
        <v>1</v>
      </c>
      <c r="P10" s="39">
        <f t="shared" si="7"/>
        <v>0.703623654545455</v>
      </c>
      <c r="Q10" s="40">
        <f>COUNTIF(Vertices[PageRank],"&gt;= "&amp;P10)-COUNTIF(Vertices[PageRank],"&gt;="&amp;P11)</f>
        <v>1</v>
      </c>
      <c r="R10" s="39">
        <f t="shared" si="8"/>
        <v>0.14545454545454548</v>
      </c>
      <c r="S10" s="45">
        <f>COUNTIF(Vertices[Clustering Coefficient],"&gt;= "&amp;R10)-COUNTIF(Vertices[Clustering Coefficient],"&gt;="&amp;R11)</f>
        <v>0</v>
      </c>
      <c r="T10" s="39">
        <f ca="1" t="shared" si="9"/>
        <v>0.14545454545454548</v>
      </c>
      <c r="U10" s="40">
        <f ca="1" t="shared" si="0"/>
        <v>0</v>
      </c>
    </row>
    <row r="11" spans="1:21" ht="15">
      <c r="A11" s="109"/>
      <c r="B11" s="109"/>
      <c r="D11" s="34">
        <f t="shared" si="1"/>
        <v>1.6545454545454548</v>
      </c>
      <c r="E11" s="3">
        <f>COUNTIF(Vertices[Degree],"&gt;= "&amp;D11)-COUNTIF(Vertices[Degree],"&gt;="&amp;D12)</f>
        <v>0</v>
      </c>
      <c r="F11" s="41">
        <f t="shared" si="2"/>
        <v>1.6545454545454548</v>
      </c>
      <c r="G11" s="42">
        <f>COUNTIF(Vertices[In-Degree],"&gt;= "&amp;F11)-COUNTIF(Vertices[In-Degree],"&gt;="&amp;F12)</f>
        <v>0</v>
      </c>
      <c r="H11" s="41">
        <f t="shared" si="3"/>
        <v>1.6545454545454548</v>
      </c>
      <c r="I11" s="42">
        <f>COUNTIF(Vertices[Out-Degree],"&gt;= "&amp;H11)-COUNTIF(Vertices[Out-Degree],"&gt;="&amp;H12)</f>
        <v>0</v>
      </c>
      <c r="J11" s="41">
        <f t="shared" si="4"/>
        <v>3.2727272727272734</v>
      </c>
      <c r="K11" s="42">
        <f>COUNTIF(Vertices[Betweenness Centrality],"&gt;= "&amp;J11)-COUNTIF(Vertices[Betweenness Centrality],"&gt;="&amp;J12)</f>
        <v>0</v>
      </c>
      <c r="L11" s="41">
        <f t="shared" si="5"/>
        <v>0.05619043636363635</v>
      </c>
      <c r="M11" s="42">
        <f>COUNTIF(Vertices[Closeness Centrality],"&gt;= "&amp;L11)-COUNTIF(Vertices[Closeness Centrality],"&gt;="&amp;L12)</f>
        <v>0</v>
      </c>
      <c r="N11" s="41">
        <f t="shared" si="6"/>
        <v>0.0475595090909091</v>
      </c>
      <c r="O11" s="42">
        <f>COUNTIF(Vertices[Eigenvector Centrality],"&gt;= "&amp;N11)-COUNTIF(Vertices[Eigenvector Centrality],"&gt;="&amp;N12)</f>
        <v>0</v>
      </c>
      <c r="P11" s="41">
        <f t="shared" si="7"/>
        <v>0.7234772363636368</v>
      </c>
      <c r="Q11" s="42">
        <f>COUNTIF(Vertices[PageRank],"&gt;= "&amp;P11)-COUNTIF(Vertices[PageRank],"&gt;="&amp;P12)</f>
        <v>0</v>
      </c>
      <c r="R11" s="41">
        <f t="shared" si="8"/>
        <v>0.16363636363636366</v>
      </c>
      <c r="S11" s="46">
        <f>COUNTIF(Vertices[Clustering Coefficient],"&gt;= "&amp;R11)-COUNTIF(Vertices[Clustering Coefficient],"&gt;="&amp;R12)</f>
        <v>0</v>
      </c>
      <c r="T11" s="41">
        <f ca="1" t="shared" si="9"/>
        <v>0.16363636363636366</v>
      </c>
      <c r="U11" s="42">
        <f ca="1" t="shared" si="0"/>
        <v>0</v>
      </c>
    </row>
    <row r="12" spans="1:21" ht="15">
      <c r="A12" s="36" t="s">
        <v>169</v>
      </c>
      <c r="B12" s="36">
        <v>0.9090909090909091</v>
      </c>
      <c r="D12" s="34">
        <f t="shared" si="1"/>
        <v>1.7272727272727275</v>
      </c>
      <c r="E12" s="3">
        <f>COUNTIF(Vertices[Degree],"&gt;= "&amp;D12)-COUNTIF(Vertices[Degree],"&gt;="&amp;D13)</f>
        <v>0</v>
      </c>
      <c r="F12" s="39">
        <f t="shared" si="2"/>
        <v>1.7272727272727275</v>
      </c>
      <c r="G12" s="40">
        <f>COUNTIF(Vertices[In-Degree],"&gt;= "&amp;F12)-COUNTIF(Vertices[In-Degree],"&gt;="&amp;F13)</f>
        <v>0</v>
      </c>
      <c r="H12" s="39">
        <f t="shared" si="3"/>
        <v>1.7272727272727275</v>
      </c>
      <c r="I12" s="40">
        <f>COUNTIF(Vertices[Out-Degree],"&gt;= "&amp;H12)-COUNTIF(Vertices[Out-Degree],"&gt;="&amp;H13)</f>
        <v>0</v>
      </c>
      <c r="J12" s="39">
        <f t="shared" si="4"/>
        <v>3.636363636363637</v>
      </c>
      <c r="K12" s="40">
        <f>COUNTIF(Vertices[Betweenness Centrality],"&gt;= "&amp;J12)-COUNTIF(Vertices[Betweenness Centrality],"&gt;="&amp;J13)</f>
        <v>0</v>
      </c>
      <c r="L12" s="39">
        <f t="shared" si="5"/>
        <v>0.05714281818181816</v>
      </c>
      <c r="M12" s="40">
        <f>COUNTIF(Vertices[Closeness Centrality],"&gt;= "&amp;L12)-COUNTIF(Vertices[Closeness Centrality],"&gt;="&amp;L13)</f>
        <v>0</v>
      </c>
      <c r="N12" s="39">
        <f t="shared" si="6"/>
        <v>0.051338454545454555</v>
      </c>
      <c r="O12" s="40">
        <f>COUNTIF(Vertices[Eigenvector Centrality],"&gt;= "&amp;N12)-COUNTIF(Vertices[Eigenvector Centrality],"&gt;="&amp;N13)</f>
        <v>0</v>
      </c>
      <c r="P12" s="39">
        <f t="shared" si="7"/>
        <v>0.7433308181818187</v>
      </c>
      <c r="Q12" s="40">
        <f>COUNTIF(Vertices[PageRank],"&gt;= "&amp;P12)-COUNTIF(Vertices[PageRank],"&gt;="&amp;P13)</f>
        <v>0</v>
      </c>
      <c r="R12" s="39">
        <f t="shared" si="8"/>
        <v>0.18181818181818185</v>
      </c>
      <c r="S12" s="45">
        <f>COUNTIF(Vertices[Clustering Coefficient],"&gt;= "&amp;R12)-COUNTIF(Vertices[Clustering Coefficient],"&gt;="&amp;R13)</f>
        <v>0</v>
      </c>
      <c r="T12" s="39">
        <f ca="1" t="shared" si="9"/>
        <v>0.18181818181818185</v>
      </c>
      <c r="U12" s="40">
        <f ca="1" t="shared" si="0"/>
        <v>0</v>
      </c>
    </row>
    <row r="13" spans="1:21" ht="15">
      <c r="A13" s="36" t="s">
        <v>170</v>
      </c>
      <c r="B13" s="36">
        <v>0.9523809523809523</v>
      </c>
      <c r="D13" s="34">
        <f t="shared" si="1"/>
        <v>1.8000000000000003</v>
      </c>
      <c r="E13" s="3">
        <f>COUNTIF(Vertices[Degree],"&gt;= "&amp;D13)-COUNTIF(Vertices[Degree],"&gt;="&amp;D14)</f>
        <v>0</v>
      </c>
      <c r="F13" s="41">
        <f t="shared" si="2"/>
        <v>1.8000000000000003</v>
      </c>
      <c r="G13" s="42">
        <f>COUNTIF(Vertices[In-Degree],"&gt;= "&amp;F13)-COUNTIF(Vertices[In-Degree],"&gt;="&amp;F14)</f>
        <v>0</v>
      </c>
      <c r="H13" s="41">
        <f t="shared" si="3"/>
        <v>1.8000000000000003</v>
      </c>
      <c r="I13" s="42">
        <f>COUNTIF(Vertices[Out-Degree],"&gt;= "&amp;H13)-COUNTIF(Vertices[Out-Degree],"&gt;="&amp;H14)</f>
        <v>0</v>
      </c>
      <c r="J13" s="41">
        <f t="shared" si="4"/>
        <v>4.000000000000001</v>
      </c>
      <c r="K13" s="42">
        <f>COUNTIF(Vertices[Betweenness Centrality],"&gt;= "&amp;J13)-COUNTIF(Vertices[Betweenness Centrality],"&gt;="&amp;J14)</f>
        <v>0</v>
      </c>
      <c r="L13" s="41">
        <f t="shared" si="5"/>
        <v>0.05809519999999998</v>
      </c>
      <c r="M13" s="42">
        <f>COUNTIF(Vertices[Closeness Centrality],"&gt;= "&amp;L13)-COUNTIF(Vertices[Closeness Centrality],"&gt;="&amp;L14)</f>
        <v>0</v>
      </c>
      <c r="N13" s="41">
        <f t="shared" si="6"/>
        <v>0.05511740000000001</v>
      </c>
      <c r="O13" s="42">
        <f>COUNTIF(Vertices[Eigenvector Centrality],"&gt;= "&amp;N13)-COUNTIF(Vertices[Eigenvector Centrality],"&gt;="&amp;N14)</f>
        <v>0</v>
      </c>
      <c r="P13" s="41">
        <f t="shared" si="7"/>
        <v>0.7631844000000005</v>
      </c>
      <c r="Q13" s="42">
        <f>COUNTIF(Vertices[PageRank],"&gt;= "&amp;P13)-COUNTIF(Vertices[PageRank],"&gt;="&amp;P14)</f>
        <v>0</v>
      </c>
      <c r="R13" s="41">
        <f t="shared" si="8"/>
        <v>0.20000000000000004</v>
      </c>
      <c r="S13" s="46">
        <f>COUNTIF(Vertices[Clustering Coefficient],"&gt;= "&amp;R13)-COUNTIF(Vertices[Clustering Coefficient],"&gt;="&amp;R14)</f>
        <v>0</v>
      </c>
      <c r="T13" s="41">
        <f ca="1" t="shared" si="9"/>
        <v>0.20000000000000004</v>
      </c>
      <c r="U13" s="42">
        <f ca="1" t="shared" si="0"/>
        <v>0</v>
      </c>
    </row>
    <row r="14" spans="1:21" ht="15">
      <c r="A14" s="109"/>
      <c r="B14" s="109"/>
      <c r="D14" s="34">
        <f t="shared" si="1"/>
        <v>1.872727272727273</v>
      </c>
      <c r="E14" s="3">
        <f>COUNTIF(Vertices[Degree],"&gt;= "&amp;D14)-COUNTIF(Vertices[Degree],"&gt;="&amp;D15)</f>
        <v>0</v>
      </c>
      <c r="F14" s="39">
        <f t="shared" si="2"/>
        <v>1.872727272727273</v>
      </c>
      <c r="G14" s="40">
        <f>COUNTIF(Vertices[In-Degree],"&gt;= "&amp;F14)-COUNTIF(Vertices[In-Degree],"&gt;="&amp;F15)</f>
        <v>0</v>
      </c>
      <c r="H14" s="39">
        <f t="shared" si="3"/>
        <v>1.872727272727273</v>
      </c>
      <c r="I14" s="40">
        <f>COUNTIF(Vertices[Out-Degree],"&gt;= "&amp;H14)-COUNTIF(Vertices[Out-Degree],"&gt;="&amp;H15)</f>
        <v>0</v>
      </c>
      <c r="J14" s="39">
        <f t="shared" si="4"/>
        <v>4.363636363636364</v>
      </c>
      <c r="K14" s="40">
        <f>COUNTIF(Vertices[Betweenness Centrality],"&gt;= "&amp;J14)-COUNTIF(Vertices[Betweenness Centrality],"&gt;="&amp;J15)</f>
        <v>0</v>
      </c>
      <c r="L14" s="39">
        <f t="shared" si="5"/>
        <v>0.059047581818181795</v>
      </c>
      <c r="M14" s="40">
        <f>COUNTIF(Vertices[Closeness Centrality],"&gt;= "&amp;L14)-COUNTIF(Vertices[Closeness Centrality],"&gt;="&amp;L15)</f>
        <v>0</v>
      </c>
      <c r="N14" s="39">
        <f t="shared" si="6"/>
        <v>0.058896345454545466</v>
      </c>
      <c r="O14" s="40">
        <f>COUNTIF(Vertices[Eigenvector Centrality],"&gt;= "&amp;N14)-COUNTIF(Vertices[Eigenvector Centrality],"&gt;="&amp;N15)</f>
        <v>0</v>
      </c>
      <c r="P14" s="39">
        <f t="shared" si="7"/>
        <v>0.7830379818181824</v>
      </c>
      <c r="Q14" s="40">
        <f>COUNTIF(Vertices[PageRank],"&gt;= "&amp;P14)-COUNTIF(Vertices[PageRank],"&gt;="&amp;P15)</f>
        <v>0</v>
      </c>
      <c r="R14" s="39">
        <f t="shared" si="8"/>
        <v>0.21818181818181823</v>
      </c>
      <c r="S14" s="45">
        <f>COUNTIF(Vertices[Clustering Coefficient],"&gt;= "&amp;R14)-COUNTIF(Vertices[Clustering Coefficient],"&gt;="&amp;R15)</f>
        <v>0</v>
      </c>
      <c r="T14" s="39">
        <f ca="1" t="shared" si="9"/>
        <v>0.21818181818181823</v>
      </c>
      <c r="U14" s="40">
        <f ca="1" t="shared" si="0"/>
        <v>0</v>
      </c>
    </row>
    <row r="15" spans="1:21" ht="15">
      <c r="A15" s="36" t="s">
        <v>151</v>
      </c>
      <c r="B15" s="36">
        <v>1</v>
      </c>
      <c r="D15" s="34">
        <f t="shared" si="1"/>
        <v>1.9454545454545458</v>
      </c>
      <c r="E15" s="3">
        <f>COUNTIF(Vertices[Degree],"&gt;= "&amp;D15)-COUNTIF(Vertices[Degree],"&gt;="&amp;D16)</f>
        <v>2</v>
      </c>
      <c r="F15" s="41">
        <f t="shared" si="2"/>
        <v>1.9454545454545458</v>
      </c>
      <c r="G15" s="42">
        <f>COUNTIF(Vertices[In-Degree],"&gt;= "&amp;F15)-COUNTIF(Vertices[In-Degree],"&gt;="&amp;F16)</f>
        <v>3</v>
      </c>
      <c r="H15" s="41">
        <f t="shared" si="3"/>
        <v>1.9454545454545458</v>
      </c>
      <c r="I15" s="42">
        <f>COUNTIF(Vertices[Out-Degree],"&gt;= "&amp;H15)-COUNTIF(Vertices[Out-Degree],"&gt;="&amp;H16)</f>
        <v>3</v>
      </c>
      <c r="J15" s="41">
        <f t="shared" si="4"/>
        <v>4.7272727272727275</v>
      </c>
      <c r="K15" s="42">
        <f>COUNTIF(Vertices[Betweenness Centrality],"&gt;= "&amp;J15)-COUNTIF(Vertices[Betweenness Centrality],"&gt;="&amp;J16)</f>
        <v>0</v>
      </c>
      <c r="L15" s="41">
        <f t="shared" si="5"/>
        <v>0.05999996363636361</v>
      </c>
      <c r="M15" s="42">
        <f>COUNTIF(Vertices[Closeness Centrality],"&gt;= "&amp;L15)-COUNTIF(Vertices[Closeness Centrality],"&gt;="&amp;L16)</f>
        <v>0</v>
      </c>
      <c r="N15" s="41">
        <f t="shared" si="6"/>
        <v>0.06267529090909092</v>
      </c>
      <c r="O15" s="42">
        <f>COUNTIF(Vertices[Eigenvector Centrality],"&gt;= "&amp;N15)-COUNTIF(Vertices[Eigenvector Centrality],"&gt;="&amp;N16)</f>
        <v>0</v>
      </c>
      <c r="P15" s="41">
        <f t="shared" si="7"/>
        <v>0.8028915636363643</v>
      </c>
      <c r="Q15" s="42">
        <f>COUNTIF(Vertices[PageRank],"&gt;= "&amp;P15)-COUNTIF(Vertices[PageRank],"&gt;="&amp;P16)</f>
        <v>0</v>
      </c>
      <c r="R15" s="41">
        <f t="shared" si="8"/>
        <v>0.23636363636363641</v>
      </c>
      <c r="S15" s="46">
        <f>COUNTIF(Vertices[Clustering Coefficient],"&gt;= "&amp;R15)-COUNTIF(Vertices[Clustering Coefficient],"&gt;="&amp;R16)</f>
        <v>0</v>
      </c>
      <c r="T15" s="41">
        <f ca="1" t="shared" si="9"/>
        <v>0.23636363636363641</v>
      </c>
      <c r="U15" s="42">
        <f ca="1" t="shared" si="0"/>
        <v>0</v>
      </c>
    </row>
    <row r="16" spans="1:21" ht="15">
      <c r="A16" s="36" t="s">
        <v>152</v>
      </c>
      <c r="B16" s="36">
        <v>0</v>
      </c>
      <c r="D16" s="34">
        <f t="shared" si="1"/>
        <v>2.0181818181818185</v>
      </c>
      <c r="E16" s="3">
        <f>COUNTIF(Vertices[Degree],"&gt;= "&amp;D16)-COUNTIF(Vertices[Degree],"&gt;="&amp;D17)</f>
        <v>0</v>
      </c>
      <c r="F16" s="39">
        <f t="shared" si="2"/>
        <v>2.0181818181818185</v>
      </c>
      <c r="G16" s="40">
        <f>COUNTIF(Vertices[In-Degree],"&gt;= "&amp;F16)-COUNTIF(Vertices[In-Degree],"&gt;="&amp;F17)</f>
        <v>0</v>
      </c>
      <c r="H16" s="39">
        <f t="shared" si="3"/>
        <v>2.0181818181818185</v>
      </c>
      <c r="I16" s="40">
        <f>COUNTIF(Vertices[Out-Degree],"&gt;= "&amp;H16)-COUNTIF(Vertices[Out-Degree],"&gt;="&amp;H17)</f>
        <v>0</v>
      </c>
      <c r="J16" s="39">
        <f t="shared" si="4"/>
        <v>5.090909090909091</v>
      </c>
      <c r="K16" s="40">
        <f>COUNTIF(Vertices[Betweenness Centrality],"&gt;= "&amp;J16)-COUNTIF(Vertices[Betweenness Centrality],"&gt;="&amp;J17)</f>
        <v>0</v>
      </c>
      <c r="L16" s="39">
        <f t="shared" si="5"/>
        <v>0.06095234545454543</v>
      </c>
      <c r="M16" s="40">
        <f>COUNTIF(Vertices[Closeness Centrality],"&gt;= "&amp;L16)-COUNTIF(Vertices[Closeness Centrality],"&gt;="&amp;L17)</f>
        <v>0</v>
      </c>
      <c r="N16" s="39">
        <f t="shared" si="6"/>
        <v>0.06645423636363637</v>
      </c>
      <c r="O16" s="40">
        <f>COUNTIF(Vertices[Eigenvector Centrality],"&gt;= "&amp;N16)-COUNTIF(Vertices[Eigenvector Centrality],"&gt;="&amp;N17)</f>
        <v>0</v>
      </c>
      <c r="P16" s="39">
        <f t="shared" si="7"/>
        <v>0.8227451454545461</v>
      </c>
      <c r="Q16" s="40">
        <f>COUNTIF(Vertices[PageRank],"&gt;= "&amp;P16)-COUNTIF(Vertices[PageRank],"&gt;="&amp;P17)</f>
        <v>0</v>
      </c>
      <c r="R16" s="39">
        <f t="shared" si="8"/>
        <v>0.2545454545454546</v>
      </c>
      <c r="S16" s="45">
        <f>COUNTIF(Vertices[Clustering Coefficient],"&gt;= "&amp;R16)-COUNTIF(Vertices[Clustering Coefficient],"&gt;="&amp;R17)</f>
        <v>0</v>
      </c>
      <c r="T16" s="39">
        <f ca="1" t="shared" si="9"/>
        <v>0.2545454545454546</v>
      </c>
      <c r="U16" s="40">
        <f ca="1" t="shared" si="0"/>
        <v>0</v>
      </c>
    </row>
    <row r="17" spans="1:21" ht="15">
      <c r="A17" s="36" t="s">
        <v>153</v>
      </c>
      <c r="B17" s="36">
        <v>8</v>
      </c>
      <c r="D17" s="34">
        <f t="shared" si="1"/>
        <v>2.0909090909090913</v>
      </c>
      <c r="E17" s="3">
        <f>COUNTIF(Vertices[Degree],"&gt;= "&amp;D17)-COUNTIF(Vertices[Degree],"&gt;="&amp;D18)</f>
        <v>0</v>
      </c>
      <c r="F17" s="41">
        <f t="shared" si="2"/>
        <v>2.0909090909090913</v>
      </c>
      <c r="G17" s="42">
        <f>COUNTIF(Vertices[In-Degree],"&gt;= "&amp;F17)-COUNTIF(Vertices[In-Degree],"&gt;="&amp;F18)</f>
        <v>0</v>
      </c>
      <c r="H17" s="41">
        <f t="shared" si="3"/>
        <v>2.0909090909090913</v>
      </c>
      <c r="I17" s="42">
        <f>COUNTIF(Vertices[Out-Degree],"&gt;= "&amp;H17)-COUNTIF(Vertices[Out-Degree],"&gt;="&amp;H18)</f>
        <v>0</v>
      </c>
      <c r="J17" s="41">
        <f t="shared" si="4"/>
        <v>5.454545454545454</v>
      </c>
      <c r="K17" s="42">
        <f>COUNTIF(Vertices[Betweenness Centrality],"&gt;= "&amp;J17)-COUNTIF(Vertices[Betweenness Centrality],"&gt;="&amp;J18)</f>
        <v>0</v>
      </c>
      <c r="L17" s="41">
        <f t="shared" si="5"/>
        <v>0.06190472727272724</v>
      </c>
      <c r="M17" s="42">
        <f>COUNTIF(Vertices[Closeness Centrality],"&gt;= "&amp;L17)-COUNTIF(Vertices[Closeness Centrality],"&gt;="&amp;L18)</f>
        <v>0</v>
      </c>
      <c r="N17" s="41">
        <f t="shared" si="6"/>
        <v>0.07023318181818182</v>
      </c>
      <c r="O17" s="42">
        <f>COUNTIF(Vertices[Eigenvector Centrality],"&gt;= "&amp;N17)-COUNTIF(Vertices[Eigenvector Centrality],"&gt;="&amp;N18)</f>
        <v>0</v>
      </c>
      <c r="P17" s="41">
        <f t="shared" si="7"/>
        <v>0.842598727272728</v>
      </c>
      <c r="Q17" s="42">
        <f>COUNTIF(Vertices[PageRank],"&gt;= "&amp;P17)-COUNTIF(Vertices[PageRank],"&gt;="&amp;P18)</f>
        <v>0</v>
      </c>
      <c r="R17" s="41">
        <f t="shared" si="8"/>
        <v>0.27272727272727276</v>
      </c>
      <c r="S17" s="46">
        <f>COUNTIF(Vertices[Clustering Coefficient],"&gt;= "&amp;R17)-COUNTIF(Vertices[Clustering Coefficient],"&gt;="&amp;R18)</f>
        <v>0</v>
      </c>
      <c r="T17" s="41">
        <f ca="1" t="shared" si="9"/>
        <v>0.27272727272727276</v>
      </c>
      <c r="U17" s="42">
        <f ca="1" t="shared" si="0"/>
        <v>0</v>
      </c>
    </row>
    <row r="18" spans="1:21" ht="15">
      <c r="A18" s="36" t="s">
        <v>154</v>
      </c>
      <c r="B18" s="36">
        <v>25</v>
      </c>
      <c r="D18" s="34">
        <f t="shared" si="1"/>
        <v>2.163636363636364</v>
      </c>
      <c r="E18" s="3">
        <f>COUNTIF(Vertices[Degree],"&gt;= "&amp;D18)-COUNTIF(Vertices[Degree],"&gt;="&amp;D19)</f>
        <v>0</v>
      </c>
      <c r="F18" s="39">
        <f t="shared" si="2"/>
        <v>2.163636363636364</v>
      </c>
      <c r="G18" s="40">
        <f>COUNTIF(Vertices[In-Degree],"&gt;= "&amp;F18)-COUNTIF(Vertices[In-Degree],"&gt;="&amp;F19)</f>
        <v>0</v>
      </c>
      <c r="H18" s="39">
        <f t="shared" si="3"/>
        <v>2.163636363636364</v>
      </c>
      <c r="I18" s="40">
        <f>COUNTIF(Vertices[Out-Degree],"&gt;= "&amp;H18)-COUNTIF(Vertices[Out-Degree],"&gt;="&amp;H19)</f>
        <v>0</v>
      </c>
      <c r="J18" s="39">
        <f t="shared" si="4"/>
        <v>5.8181818181818175</v>
      </c>
      <c r="K18" s="40">
        <f>COUNTIF(Vertices[Betweenness Centrality],"&gt;= "&amp;J18)-COUNTIF(Vertices[Betweenness Centrality],"&gt;="&amp;J19)</f>
        <v>0</v>
      </c>
      <c r="L18" s="39">
        <f t="shared" si="5"/>
        <v>0.06285710909090907</v>
      </c>
      <c r="M18" s="40">
        <f>COUNTIF(Vertices[Closeness Centrality],"&gt;= "&amp;L18)-COUNTIF(Vertices[Closeness Centrality],"&gt;="&amp;L19)</f>
        <v>0</v>
      </c>
      <c r="N18" s="39">
        <f t="shared" si="6"/>
        <v>0.07401212727272727</v>
      </c>
      <c r="O18" s="40">
        <f>COUNTIF(Vertices[Eigenvector Centrality],"&gt;= "&amp;N18)-COUNTIF(Vertices[Eigenvector Centrality],"&gt;="&amp;N19)</f>
        <v>0</v>
      </c>
      <c r="P18" s="39">
        <f t="shared" si="7"/>
        <v>0.8624523090909099</v>
      </c>
      <c r="Q18" s="40">
        <f>COUNTIF(Vertices[PageRank],"&gt;= "&amp;P18)-COUNTIF(Vertices[PageRank],"&gt;="&amp;P19)</f>
        <v>0</v>
      </c>
      <c r="R18" s="39">
        <f t="shared" si="8"/>
        <v>0.29090909090909095</v>
      </c>
      <c r="S18" s="45">
        <f>COUNTIF(Vertices[Clustering Coefficient],"&gt;= "&amp;R18)-COUNTIF(Vertices[Clustering Coefficient],"&gt;="&amp;R19)</f>
        <v>0</v>
      </c>
      <c r="T18" s="39">
        <f ca="1" t="shared" si="9"/>
        <v>0.29090909090909095</v>
      </c>
      <c r="U18" s="40">
        <f ca="1" t="shared" si="0"/>
        <v>0</v>
      </c>
    </row>
    <row r="19" spans="1:21" ht="15">
      <c r="A19" s="109"/>
      <c r="B19" s="109"/>
      <c r="D19" s="34">
        <f t="shared" si="1"/>
        <v>2.2363636363636368</v>
      </c>
      <c r="E19" s="3">
        <f>COUNTIF(Vertices[Degree],"&gt;= "&amp;D19)-COUNTIF(Vertices[Degree],"&gt;="&amp;D20)</f>
        <v>0</v>
      </c>
      <c r="F19" s="41">
        <f t="shared" si="2"/>
        <v>2.2363636363636368</v>
      </c>
      <c r="G19" s="42">
        <f>COUNTIF(Vertices[In-Degree],"&gt;= "&amp;F19)-COUNTIF(Vertices[In-Degree],"&gt;="&amp;F20)</f>
        <v>0</v>
      </c>
      <c r="H19" s="41">
        <f t="shared" si="3"/>
        <v>2.2363636363636368</v>
      </c>
      <c r="I19" s="42">
        <f>COUNTIF(Vertices[Out-Degree],"&gt;= "&amp;H19)-COUNTIF(Vertices[Out-Degree],"&gt;="&amp;H20)</f>
        <v>0</v>
      </c>
      <c r="J19" s="41">
        <f t="shared" si="4"/>
        <v>6.181818181818181</v>
      </c>
      <c r="K19" s="42">
        <f>COUNTIF(Vertices[Betweenness Centrality],"&gt;= "&amp;J19)-COUNTIF(Vertices[Betweenness Centrality],"&gt;="&amp;J20)</f>
        <v>0</v>
      </c>
      <c r="L19" s="41">
        <f t="shared" si="5"/>
        <v>0.06380949090909088</v>
      </c>
      <c r="M19" s="42">
        <f>COUNTIF(Vertices[Closeness Centrality],"&gt;= "&amp;L19)-COUNTIF(Vertices[Closeness Centrality],"&gt;="&amp;L20)</f>
        <v>0</v>
      </c>
      <c r="N19" s="41">
        <f t="shared" si="6"/>
        <v>0.07779107272727272</v>
      </c>
      <c r="O19" s="42">
        <f>COUNTIF(Vertices[Eigenvector Centrality],"&gt;= "&amp;N19)-COUNTIF(Vertices[Eigenvector Centrality],"&gt;="&amp;N20)</f>
        <v>0</v>
      </c>
      <c r="P19" s="41">
        <f t="shared" si="7"/>
        <v>0.8823058909090917</v>
      </c>
      <c r="Q19" s="42">
        <f>COUNTIF(Vertices[PageRank],"&gt;= "&amp;P19)-COUNTIF(Vertices[PageRank],"&gt;="&amp;P20)</f>
        <v>0</v>
      </c>
      <c r="R19" s="41">
        <f t="shared" si="8"/>
        <v>0.30909090909090914</v>
      </c>
      <c r="S19" s="46">
        <f>COUNTIF(Vertices[Clustering Coefficient],"&gt;= "&amp;R19)-COUNTIF(Vertices[Clustering Coefficient],"&gt;="&amp;R20)</f>
        <v>0</v>
      </c>
      <c r="T19" s="41">
        <f ca="1" t="shared" si="9"/>
        <v>0.30909090909090914</v>
      </c>
      <c r="U19" s="42">
        <f ca="1" t="shared" si="0"/>
        <v>0</v>
      </c>
    </row>
    <row r="20" spans="1:21" ht="15">
      <c r="A20" s="36" t="s">
        <v>155</v>
      </c>
      <c r="B20" s="36">
        <v>4</v>
      </c>
      <c r="D20" s="34">
        <f t="shared" si="1"/>
        <v>2.3090909090909095</v>
      </c>
      <c r="E20" s="3">
        <f>COUNTIF(Vertices[Degree],"&gt;= "&amp;D20)-COUNTIF(Vertices[Degree],"&gt;="&amp;D21)</f>
        <v>0</v>
      </c>
      <c r="F20" s="39">
        <f t="shared" si="2"/>
        <v>2.3090909090909095</v>
      </c>
      <c r="G20" s="40">
        <f>COUNTIF(Vertices[In-Degree],"&gt;= "&amp;F20)-COUNTIF(Vertices[In-Degree],"&gt;="&amp;F21)</f>
        <v>0</v>
      </c>
      <c r="H20" s="39">
        <f t="shared" si="3"/>
        <v>2.3090909090909095</v>
      </c>
      <c r="I20" s="40">
        <f>COUNTIF(Vertices[Out-Degree],"&gt;= "&amp;H20)-COUNTIF(Vertices[Out-Degree],"&gt;="&amp;H21)</f>
        <v>0</v>
      </c>
      <c r="J20" s="39">
        <f t="shared" si="4"/>
        <v>6.545454545454544</v>
      </c>
      <c r="K20" s="40">
        <f>COUNTIF(Vertices[Betweenness Centrality],"&gt;= "&amp;J20)-COUNTIF(Vertices[Betweenness Centrality],"&gt;="&amp;J21)</f>
        <v>0</v>
      </c>
      <c r="L20" s="39">
        <f t="shared" si="5"/>
        <v>0.0647618727272727</v>
      </c>
      <c r="M20" s="40">
        <f>COUNTIF(Vertices[Closeness Centrality],"&gt;= "&amp;L20)-COUNTIF(Vertices[Closeness Centrality],"&gt;="&amp;L21)</f>
        <v>0</v>
      </c>
      <c r="N20" s="39">
        <f t="shared" si="6"/>
        <v>0.08157001818181817</v>
      </c>
      <c r="O20" s="40">
        <f>COUNTIF(Vertices[Eigenvector Centrality],"&gt;= "&amp;N20)-COUNTIF(Vertices[Eigenvector Centrality],"&gt;="&amp;N21)</f>
        <v>0</v>
      </c>
      <c r="P20" s="39">
        <f t="shared" si="7"/>
        <v>0.9021594727272736</v>
      </c>
      <c r="Q20" s="40">
        <f>COUNTIF(Vertices[PageRank],"&gt;= "&amp;P20)-COUNTIF(Vertices[PageRank],"&gt;="&amp;P21)</f>
        <v>0</v>
      </c>
      <c r="R20" s="39">
        <f t="shared" si="8"/>
        <v>0.3272727272727273</v>
      </c>
      <c r="S20" s="45">
        <f>COUNTIF(Vertices[Clustering Coefficient],"&gt;= "&amp;R20)-COUNTIF(Vertices[Clustering Coefficient],"&gt;="&amp;R21)</f>
        <v>1</v>
      </c>
      <c r="T20" s="39">
        <f ca="1" t="shared" si="9"/>
        <v>0.3272727272727273</v>
      </c>
      <c r="U20" s="40">
        <f ca="1" t="shared" si="0"/>
        <v>1</v>
      </c>
    </row>
    <row r="21" spans="1:21" ht="15">
      <c r="A21" s="36" t="s">
        <v>156</v>
      </c>
      <c r="B21" s="36">
        <v>1.75</v>
      </c>
      <c r="D21" s="34">
        <f t="shared" si="1"/>
        <v>2.3818181818181823</v>
      </c>
      <c r="E21" s="3">
        <f>COUNTIF(Vertices[Degree],"&gt;= "&amp;D21)-COUNTIF(Vertices[Degree],"&gt;="&amp;D22)</f>
        <v>0</v>
      </c>
      <c r="F21" s="41">
        <f t="shared" si="2"/>
        <v>2.3818181818181823</v>
      </c>
      <c r="G21" s="42">
        <f>COUNTIF(Vertices[In-Degree],"&gt;= "&amp;F21)-COUNTIF(Vertices[In-Degree],"&gt;="&amp;F22)</f>
        <v>0</v>
      </c>
      <c r="H21" s="41">
        <f t="shared" si="3"/>
        <v>2.3818181818181823</v>
      </c>
      <c r="I21" s="42">
        <f>COUNTIF(Vertices[Out-Degree],"&gt;= "&amp;H21)-COUNTIF(Vertices[Out-Degree],"&gt;="&amp;H22)</f>
        <v>0</v>
      </c>
      <c r="J21" s="41">
        <f t="shared" si="4"/>
        <v>6.909090909090907</v>
      </c>
      <c r="K21" s="42">
        <f>COUNTIF(Vertices[Betweenness Centrality],"&gt;= "&amp;J21)-COUNTIF(Vertices[Betweenness Centrality],"&gt;="&amp;J22)</f>
        <v>0</v>
      </c>
      <c r="L21" s="41">
        <f t="shared" si="5"/>
        <v>0.06571425454545451</v>
      </c>
      <c r="M21" s="42">
        <f>COUNTIF(Vertices[Closeness Centrality],"&gt;= "&amp;L21)-COUNTIF(Vertices[Closeness Centrality],"&gt;="&amp;L22)</f>
        <v>0</v>
      </c>
      <c r="N21" s="41">
        <f t="shared" si="6"/>
        <v>0.08534896363636361</v>
      </c>
      <c r="O21" s="42">
        <f>COUNTIF(Vertices[Eigenvector Centrality],"&gt;= "&amp;N21)-COUNTIF(Vertices[Eigenvector Centrality],"&gt;="&amp;N22)</f>
        <v>0</v>
      </c>
      <c r="P21" s="41">
        <f t="shared" si="7"/>
        <v>0.9220130545454555</v>
      </c>
      <c r="Q21" s="42">
        <f>COUNTIF(Vertices[PageRank],"&gt;= "&amp;P21)-COUNTIF(Vertices[PageRank],"&gt;="&amp;P22)</f>
        <v>1</v>
      </c>
      <c r="R21" s="41">
        <f t="shared" si="8"/>
        <v>0.3454545454545455</v>
      </c>
      <c r="S21" s="46">
        <f>COUNTIF(Vertices[Clustering Coefficient],"&gt;= "&amp;R21)-COUNTIF(Vertices[Clustering Coefficient],"&gt;="&amp;R22)</f>
        <v>1</v>
      </c>
      <c r="T21" s="41">
        <f ca="1" t="shared" si="9"/>
        <v>0.3454545454545455</v>
      </c>
      <c r="U21" s="42">
        <f ca="1" t="shared" si="0"/>
        <v>1</v>
      </c>
    </row>
    <row r="22" spans="1:21" ht="15">
      <c r="A22" s="109"/>
      <c r="B22" s="109"/>
      <c r="D22" s="34">
        <f t="shared" si="1"/>
        <v>2.454545454545455</v>
      </c>
      <c r="E22" s="3">
        <f>COUNTIF(Vertices[Degree],"&gt;= "&amp;D22)-COUNTIF(Vertices[Degree],"&gt;="&amp;D23)</f>
        <v>0</v>
      </c>
      <c r="F22" s="39">
        <f t="shared" si="2"/>
        <v>2.454545454545455</v>
      </c>
      <c r="G22" s="40">
        <f>COUNTIF(Vertices[In-Degree],"&gt;= "&amp;F22)-COUNTIF(Vertices[In-Degree],"&gt;="&amp;F23)</f>
        <v>0</v>
      </c>
      <c r="H22" s="39">
        <f t="shared" si="3"/>
        <v>2.454545454545455</v>
      </c>
      <c r="I22" s="40">
        <f>COUNTIF(Vertices[Out-Degree],"&gt;= "&amp;H22)-COUNTIF(Vertices[Out-Degree],"&gt;="&amp;H23)</f>
        <v>0</v>
      </c>
      <c r="J22" s="39">
        <f t="shared" si="4"/>
        <v>7.272727272727271</v>
      </c>
      <c r="K22" s="40">
        <f>COUNTIF(Vertices[Betweenness Centrality],"&gt;= "&amp;J22)-COUNTIF(Vertices[Betweenness Centrality],"&gt;="&amp;J23)</f>
        <v>0</v>
      </c>
      <c r="L22" s="39">
        <f t="shared" si="5"/>
        <v>0.06666663636363633</v>
      </c>
      <c r="M22" s="40">
        <f>COUNTIF(Vertices[Closeness Centrality],"&gt;= "&amp;L22)-COUNTIF(Vertices[Closeness Centrality],"&gt;="&amp;L23)</f>
        <v>2</v>
      </c>
      <c r="N22" s="39">
        <f t="shared" si="6"/>
        <v>0.08912790909090906</v>
      </c>
      <c r="O22" s="40">
        <f>COUNTIF(Vertices[Eigenvector Centrality],"&gt;= "&amp;N22)-COUNTIF(Vertices[Eigenvector Centrality],"&gt;="&amp;N23)</f>
        <v>0</v>
      </c>
      <c r="P22" s="39">
        <f t="shared" si="7"/>
        <v>0.9418666363636373</v>
      </c>
      <c r="Q22" s="40">
        <f>COUNTIF(Vertices[PageRank],"&gt;= "&amp;P22)-COUNTIF(Vertices[PageRank],"&gt;="&amp;P23)</f>
        <v>0</v>
      </c>
      <c r="R22" s="39">
        <f t="shared" si="8"/>
        <v>0.3636363636363637</v>
      </c>
      <c r="S22" s="45">
        <f>COUNTIF(Vertices[Clustering Coefficient],"&gt;= "&amp;R22)-COUNTIF(Vertices[Clustering Coefficient],"&gt;="&amp;R23)</f>
        <v>0</v>
      </c>
      <c r="T22" s="39">
        <f ca="1" t="shared" si="9"/>
        <v>0.3636363636363637</v>
      </c>
      <c r="U22" s="40">
        <f ca="1" t="shared" si="0"/>
        <v>0</v>
      </c>
    </row>
    <row r="23" spans="1:21" ht="15">
      <c r="A23" s="36" t="s">
        <v>157</v>
      </c>
      <c r="B23" s="36">
        <v>0.375</v>
      </c>
      <c r="D23" s="34">
        <f t="shared" si="1"/>
        <v>2.527272727272728</v>
      </c>
      <c r="E23" s="3">
        <f>COUNTIF(Vertices[Degree],"&gt;= "&amp;D23)-COUNTIF(Vertices[Degree],"&gt;="&amp;D24)</f>
        <v>0</v>
      </c>
      <c r="F23" s="41">
        <f t="shared" si="2"/>
        <v>2.527272727272728</v>
      </c>
      <c r="G23" s="42">
        <f>COUNTIF(Vertices[In-Degree],"&gt;= "&amp;F23)-COUNTIF(Vertices[In-Degree],"&gt;="&amp;F24)</f>
        <v>0</v>
      </c>
      <c r="H23" s="41">
        <f t="shared" si="3"/>
        <v>2.527272727272728</v>
      </c>
      <c r="I23" s="42">
        <f>COUNTIF(Vertices[Out-Degree],"&gt;= "&amp;H23)-COUNTIF(Vertices[Out-Degree],"&gt;="&amp;H24)</f>
        <v>0</v>
      </c>
      <c r="J23" s="41">
        <f t="shared" si="4"/>
        <v>7.636363636363634</v>
      </c>
      <c r="K23" s="42">
        <f>COUNTIF(Vertices[Betweenness Centrality],"&gt;= "&amp;J23)-COUNTIF(Vertices[Betweenness Centrality],"&gt;="&amp;J24)</f>
        <v>0</v>
      </c>
      <c r="L23" s="41">
        <f t="shared" si="5"/>
        <v>0.06761901818181815</v>
      </c>
      <c r="M23" s="42">
        <f>COUNTIF(Vertices[Closeness Centrality],"&gt;= "&amp;L23)-COUNTIF(Vertices[Closeness Centrality],"&gt;="&amp;L24)</f>
        <v>0</v>
      </c>
      <c r="N23" s="41">
        <f t="shared" si="6"/>
        <v>0.09290685454545451</v>
      </c>
      <c r="O23" s="42">
        <f>COUNTIF(Vertices[Eigenvector Centrality],"&gt;= "&amp;N23)-COUNTIF(Vertices[Eigenvector Centrality],"&gt;="&amp;N24)</f>
        <v>0</v>
      </c>
      <c r="P23" s="41">
        <f t="shared" si="7"/>
        <v>0.9617202181818192</v>
      </c>
      <c r="Q23" s="42">
        <f>COUNTIF(Vertices[PageRank],"&gt;= "&amp;P23)-COUNTIF(Vertices[PageRank],"&gt;="&amp;P24)</f>
        <v>0</v>
      </c>
      <c r="R23" s="41">
        <f t="shared" si="8"/>
        <v>0.3818181818181819</v>
      </c>
      <c r="S23" s="46">
        <f>COUNTIF(Vertices[Clustering Coefficient],"&gt;= "&amp;R23)-COUNTIF(Vertices[Clustering Coefficient],"&gt;="&amp;R24)</f>
        <v>0</v>
      </c>
      <c r="T23" s="41">
        <f ca="1" t="shared" si="9"/>
        <v>0.3818181818181819</v>
      </c>
      <c r="U23" s="42">
        <f ca="1" t="shared" si="0"/>
        <v>0</v>
      </c>
    </row>
    <row r="24" spans="1:21" ht="15">
      <c r="A24" s="36" t="s">
        <v>191</v>
      </c>
      <c r="B24" s="36">
        <v>0.1944</v>
      </c>
      <c r="D24" s="34">
        <f t="shared" si="1"/>
        <v>2.6000000000000005</v>
      </c>
      <c r="E24" s="3">
        <f>COUNTIF(Vertices[Degree],"&gt;= "&amp;D24)-COUNTIF(Vertices[Degree],"&gt;="&amp;D25)</f>
        <v>0</v>
      </c>
      <c r="F24" s="39">
        <f t="shared" si="2"/>
        <v>2.6000000000000005</v>
      </c>
      <c r="G24" s="40">
        <f>COUNTIF(Vertices[In-Degree],"&gt;= "&amp;F24)-COUNTIF(Vertices[In-Degree],"&gt;="&amp;F25)</f>
        <v>0</v>
      </c>
      <c r="H24" s="39">
        <f t="shared" si="3"/>
        <v>2.6000000000000005</v>
      </c>
      <c r="I24" s="40">
        <f>COUNTIF(Vertices[Out-Degree],"&gt;= "&amp;H24)-COUNTIF(Vertices[Out-Degree],"&gt;="&amp;H25)</f>
        <v>0</v>
      </c>
      <c r="J24" s="39">
        <f t="shared" si="4"/>
        <v>7.999999999999997</v>
      </c>
      <c r="K24" s="40">
        <f>COUNTIF(Vertices[Betweenness Centrality],"&gt;= "&amp;J24)-COUNTIF(Vertices[Betweenness Centrality],"&gt;="&amp;J25)</f>
        <v>0</v>
      </c>
      <c r="L24" s="39">
        <f t="shared" si="5"/>
        <v>0.06857139999999996</v>
      </c>
      <c r="M24" s="40">
        <f>COUNTIF(Vertices[Closeness Centrality],"&gt;= "&amp;L24)-COUNTIF(Vertices[Closeness Centrality],"&gt;="&amp;L25)</f>
        <v>0</v>
      </c>
      <c r="N24" s="39">
        <f t="shared" si="6"/>
        <v>0.09668579999999996</v>
      </c>
      <c r="O24" s="40">
        <f>COUNTIF(Vertices[Eigenvector Centrality],"&gt;= "&amp;N24)-COUNTIF(Vertices[Eigenvector Centrality],"&gt;="&amp;N25)</f>
        <v>0</v>
      </c>
      <c r="P24" s="39">
        <f t="shared" si="7"/>
        <v>0.981573800000001</v>
      </c>
      <c r="Q24" s="40">
        <f>COUNTIF(Vertices[PageRank],"&gt;= "&amp;P24)-COUNTIF(Vertices[PageRank],"&gt;="&amp;P25)</f>
        <v>0</v>
      </c>
      <c r="R24" s="39">
        <f t="shared" si="8"/>
        <v>0.4000000000000001</v>
      </c>
      <c r="S24" s="45">
        <f>COUNTIF(Vertices[Clustering Coefficient],"&gt;= "&amp;R24)-COUNTIF(Vertices[Clustering Coefficient],"&gt;="&amp;R25)</f>
        <v>0</v>
      </c>
      <c r="T24" s="39">
        <f ca="1" t="shared" si="9"/>
        <v>0.4000000000000001</v>
      </c>
      <c r="U24" s="40">
        <f ca="1" t="shared" si="0"/>
        <v>0</v>
      </c>
    </row>
    <row r="25" spans="1:21" ht="15">
      <c r="A25" s="109"/>
      <c r="B25" s="109"/>
      <c r="D25" s="34">
        <f t="shared" si="1"/>
        <v>2.6727272727272733</v>
      </c>
      <c r="E25" s="3">
        <f>COUNTIF(Vertices[Degree],"&gt;= "&amp;D25)-COUNTIF(Vertices[Degree],"&gt;="&amp;D26)</f>
        <v>0</v>
      </c>
      <c r="F25" s="41">
        <f t="shared" si="2"/>
        <v>2.6727272727272733</v>
      </c>
      <c r="G25" s="42">
        <f>COUNTIF(Vertices[In-Degree],"&gt;= "&amp;F25)-COUNTIF(Vertices[In-Degree],"&gt;="&amp;F26)</f>
        <v>0</v>
      </c>
      <c r="H25" s="41">
        <f t="shared" si="3"/>
        <v>2.6727272727272733</v>
      </c>
      <c r="I25" s="42">
        <f>COUNTIF(Vertices[Out-Degree],"&gt;= "&amp;H25)-COUNTIF(Vertices[Out-Degree],"&gt;="&amp;H26)</f>
        <v>0</v>
      </c>
      <c r="J25" s="41">
        <f t="shared" si="4"/>
        <v>8.363636363636362</v>
      </c>
      <c r="K25" s="42">
        <f>COUNTIF(Vertices[Betweenness Centrality],"&gt;= "&amp;J25)-COUNTIF(Vertices[Betweenness Centrality],"&gt;="&amp;J26)</f>
        <v>0</v>
      </c>
      <c r="L25" s="41">
        <f t="shared" si="5"/>
        <v>0.06952378181818178</v>
      </c>
      <c r="M25" s="42">
        <f>COUNTIF(Vertices[Closeness Centrality],"&gt;= "&amp;L25)-COUNTIF(Vertices[Closeness Centrality],"&gt;="&amp;L26)</f>
        <v>0</v>
      </c>
      <c r="N25" s="41">
        <f t="shared" si="6"/>
        <v>0.10046474545454541</v>
      </c>
      <c r="O25" s="42">
        <f>COUNTIF(Vertices[Eigenvector Centrality],"&gt;= "&amp;N25)-COUNTIF(Vertices[Eigenvector Centrality],"&gt;="&amp;N26)</f>
        <v>0</v>
      </c>
      <c r="P25" s="41">
        <f t="shared" si="7"/>
        <v>1.001427381818183</v>
      </c>
      <c r="Q25" s="42">
        <f>COUNTIF(Vertices[PageRank],"&gt;= "&amp;P25)-COUNTIF(Vertices[PageRank],"&gt;="&amp;P26)</f>
        <v>2</v>
      </c>
      <c r="R25" s="41">
        <f t="shared" si="8"/>
        <v>0.41818181818181827</v>
      </c>
      <c r="S25" s="46">
        <f>COUNTIF(Vertices[Clustering Coefficient],"&gt;= "&amp;R25)-COUNTIF(Vertices[Clustering Coefficient],"&gt;="&amp;R26)</f>
        <v>0</v>
      </c>
      <c r="T25" s="41">
        <f ca="1" t="shared" si="9"/>
        <v>0.41818181818181827</v>
      </c>
      <c r="U25" s="42">
        <f ca="1" t="shared" si="0"/>
        <v>0</v>
      </c>
    </row>
    <row r="26" spans="1:21" ht="15">
      <c r="A26" s="36" t="s">
        <v>192</v>
      </c>
      <c r="B26" s="36" t="s">
        <v>193</v>
      </c>
      <c r="D26" s="34">
        <f t="shared" si="1"/>
        <v>2.745454545454546</v>
      </c>
      <c r="E26" s="3">
        <f>COUNTIF(Vertices[Degree],"&gt;= "&amp;D26)-COUNTIF(Vertices[Degree],"&gt;="&amp;D28)</f>
        <v>0</v>
      </c>
      <c r="F26" s="39">
        <f t="shared" si="2"/>
        <v>2.745454545454546</v>
      </c>
      <c r="G26" s="40">
        <f>COUNTIF(Vertices[In-Degree],"&gt;= "&amp;F26)-COUNTIF(Vertices[In-Degree],"&gt;="&amp;F28)</f>
        <v>0</v>
      </c>
      <c r="H26" s="39">
        <f t="shared" si="3"/>
        <v>2.745454545454546</v>
      </c>
      <c r="I26" s="40">
        <f>COUNTIF(Vertices[Out-Degree],"&gt;= "&amp;H26)-COUNTIF(Vertices[Out-Degree],"&gt;="&amp;H28)</f>
        <v>0</v>
      </c>
      <c r="J26" s="39">
        <f t="shared" si="4"/>
        <v>8.727272727272725</v>
      </c>
      <c r="K26" s="40">
        <f>COUNTIF(Vertices[Betweenness Centrality],"&gt;= "&amp;J26)-COUNTIF(Vertices[Betweenness Centrality],"&gt;="&amp;J28)</f>
        <v>0</v>
      </c>
      <c r="L26" s="39">
        <f t="shared" si="5"/>
        <v>0.0704761636363636</v>
      </c>
      <c r="M26" s="40">
        <f>COUNTIF(Vertices[Closeness Centrality],"&gt;= "&amp;L26)-COUNTIF(Vertices[Closeness Centrality],"&gt;="&amp;L28)</f>
        <v>0</v>
      </c>
      <c r="N26" s="39">
        <f t="shared" si="6"/>
        <v>0.10424369090909086</v>
      </c>
      <c r="O26" s="40">
        <f>COUNTIF(Vertices[Eigenvector Centrality],"&gt;= "&amp;N26)-COUNTIF(Vertices[Eigenvector Centrality],"&gt;="&amp;N28)</f>
        <v>0</v>
      </c>
      <c r="P26" s="39">
        <f t="shared" si="7"/>
        <v>1.0212809636363647</v>
      </c>
      <c r="Q26" s="40">
        <f>COUNTIF(Vertices[PageRank],"&gt;= "&amp;P26)-COUNTIF(Vertices[PageRank],"&gt;="&amp;P28)</f>
        <v>1</v>
      </c>
      <c r="R26" s="39">
        <f t="shared" si="8"/>
        <v>0.43636363636363645</v>
      </c>
      <c r="S26" s="45">
        <f>COUNTIF(Vertices[Clustering Coefficient],"&gt;= "&amp;R26)-COUNTIF(Vertices[Clustering Coefficient],"&gt;="&amp;R28)</f>
        <v>0</v>
      </c>
      <c r="T26" s="39">
        <f ca="1" t="shared" si="9"/>
        <v>0.43636363636363645</v>
      </c>
      <c r="U26" s="40">
        <f ca="1">COUNTIF(INDIRECT(DynamicFilterSourceColumnRange),"&gt;= "&amp;T26)-COUNTIF(INDIRECT(DynamicFilterSourceColumnRange),"&gt;="&amp;T28)</f>
        <v>0</v>
      </c>
    </row>
    <row r="27" spans="4:21" ht="15">
      <c r="D27" s="34"/>
      <c r="E27" s="3">
        <f>COUNTIF(Vertices[Degree],"&gt;= "&amp;D27)-COUNTIF(Vertices[Degree],"&gt;="&amp;D28)</f>
        <v>-5</v>
      </c>
      <c r="F27" s="78"/>
      <c r="G27" s="79">
        <f>COUNTIF(Vertices[In-Degree],"&gt;= "&amp;F27)-COUNTIF(Vertices[In-Degree],"&gt;="&amp;F28)</f>
        <v>-4</v>
      </c>
      <c r="H27" s="78"/>
      <c r="I27" s="79">
        <f>COUNTIF(Vertices[Out-Degree],"&gt;= "&amp;H27)-COUNTIF(Vertices[Out-Degree],"&gt;="&amp;H28)</f>
        <v>-4</v>
      </c>
      <c r="J27" s="78"/>
      <c r="K27" s="79">
        <f>COUNTIF(Vertices[Betweenness Centrality],"&gt;= "&amp;J27)-COUNTIF(Vertices[Betweenness Centrality],"&gt;="&amp;J28)</f>
        <v>-3</v>
      </c>
      <c r="L27" s="78"/>
      <c r="M27" s="79">
        <f>COUNTIF(Vertices[Closeness Centrality],"&gt;= "&amp;L27)-COUNTIF(Vertices[Closeness Centrality],"&gt;="&amp;L28)</f>
        <v>-5</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-4</v>
      </c>
    </row>
    <row r="28" spans="4:21" ht="15">
      <c r="D28" s="34">
        <f>D26+($D$57-$D$2)/BinDivisor</f>
        <v>2.818181818181819</v>
      </c>
      <c r="E28" s="3">
        <f>COUNTIF(Vertices[Degree],"&gt;= "&amp;D28)-COUNTIF(Vertices[Degree],"&gt;="&amp;D40)</f>
        <v>0</v>
      </c>
      <c r="F28" s="41">
        <f>F26+($F$57-$F$2)/BinDivisor</f>
        <v>2.818181818181819</v>
      </c>
      <c r="G28" s="42">
        <f>COUNTIF(Vertices[In-Degree],"&gt;= "&amp;F28)-COUNTIF(Vertices[In-Degree],"&gt;="&amp;F40)</f>
        <v>0</v>
      </c>
      <c r="H28" s="41">
        <f>H26+($H$57-$H$2)/BinDivisor</f>
        <v>2.818181818181819</v>
      </c>
      <c r="I28" s="42">
        <f>COUNTIF(Vertices[Out-Degree],"&gt;= "&amp;H28)-COUNTIF(Vertices[Out-Degree],"&gt;="&amp;H40)</f>
        <v>0</v>
      </c>
      <c r="J28" s="41">
        <f>J26+($J$57-$J$2)/BinDivisor</f>
        <v>9.090909090909088</v>
      </c>
      <c r="K28" s="42">
        <f>COUNTIF(Vertices[Betweenness Centrality],"&gt;= "&amp;J28)-COUNTIF(Vertices[Betweenness Centrality],"&gt;="&amp;J40)</f>
        <v>0</v>
      </c>
      <c r="L28" s="41">
        <f>L26+($L$57-$L$2)/BinDivisor</f>
        <v>0.07142854545454541</v>
      </c>
      <c r="M28" s="42">
        <f>COUNTIF(Vertices[Closeness Centrality],"&gt;= "&amp;L28)-COUNTIF(Vertices[Closeness Centrality],"&gt;="&amp;L40)</f>
        <v>2</v>
      </c>
      <c r="N28" s="41">
        <f>N26+($N$57-$N$2)/BinDivisor</f>
        <v>0.1080226363636363</v>
      </c>
      <c r="O28" s="42">
        <f>COUNTIF(Vertices[Eigenvector Centrality],"&gt;= "&amp;N28)-COUNTIF(Vertices[Eigenvector Centrality],"&gt;="&amp;N40)</f>
        <v>0</v>
      </c>
      <c r="P28" s="41">
        <f>P26+($P$57-$P$2)/BinDivisor</f>
        <v>1.0411345454545464</v>
      </c>
      <c r="Q28" s="42">
        <f>COUNTIF(Vertices[PageRank],"&gt;= "&amp;P28)-COUNTIF(Vertices[PageRank],"&gt;="&amp;P40)</f>
        <v>0</v>
      </c>
      <c r="R28" s="41">
        <f>R26+($R$57-$R$2)/BinDivisor</f>
        <v>0.45454545454545464</v>
      </c>
      <c r="S28" s="46">
        <f>COUNTIF(Vertices[Clustering Coefficient],"&gt;= "&amp;R28)-COUNTIF(Vertices[Clustering Coefficient],"&gt;="&amp;R40)</f>
        <v>0</v>
      </c>
      <c r="T28" s="41">
        <f ca="1">T26+($T$57-$T$2)/BinDivisor</f>
        <v>0.45454545454545464</v>
      </c>
      <c r="U28" s="42">
        <f ca="1">COUNTIF(INDIRECT(DynamicFilterSourceColumnRange),"&gt;= "&amp;T28)-COUNTIF(INDIRECT(DynamicFilterSourceColumnRange),"&gt;="&amp;T40)</f>
        <v>0</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-5</v>
      </c>
      <c r="F38" s="78"/>
      <c r="G38" s="79">
        <f>COUNTIF(Vertices[In-Degree],"&gt;= "&amp;F38)-COUNTIF(Vertices[In-Degree],"&gt;="&amp;F40)</f>
        <v>-4</v>
      </c>
      <c r="H38" s="78"/>
      <c r="I38" s="79">
        <f>COUNTIF(Vertices[Out-Degree],"&gt;= "&amp;H38)-COUNTIF(Vertices[Out-Degree],"&gt;="&amp;H40)</f>
        <v>-4</v>
      </c>
      <c r="J38" s="78"/>
      <c r="K38" s="79">
        <f>COUNTIF(Vertices[Betweenness Centrality],"&gt;= "&amp;J38)-COUNTIF(Vertices[Betweenness Centrality],"&gt;="&amp;J40)</f>
        <v>-3</v>
      </c>
      <c r="L38" s="78"/>
      <c r="M38" s="79">
        <f>COUNTIF(Vertices[Closeness Centrality],"&gt;= "&amp;L38)-COUNTIF(Vertices[Closeness Centrality],"&gt;="&amp;L40)</f>
        <v>-3</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-4</v>
      </c>
    </row>
    <row r="39" spans="4:21" ht="15">
      <c r="D39" s="34"/>
      <c r="E39" s="3">
        <f>COUNTIF(Vertices[Degree],"&gt;= "&amp;D39)-COUNTIF(Vertices[Degree],"&gt;="&amp;D40)</f>
        <v>-5</v>
      </c>
      <c r="F39" s="78"/>
      <c r="G39" s="79">
        <f>COUNTIF(Vertices[In-Degree],"&gt;= "&amp;F39)-COUNTIF(Vertices[In-Degree],"&gt;="&amp;F40)</f>
        <v>-4</v>
      </c>
      <c r="H39" s="78"/>
      <c r="I39" s="79">
        <f>COUNTIF(Vertices[Out-Degree],"&gt;= "&amp;H39)-COUNTIF(Vertices[Out-Degree],"&gt;="&amp;H40)</f>
        <v>-4</v>
      </c>
      <c r="J39" s="78"/>
      <c r="K39" s="79">
        <f>COUNTIF(Vertices[Betweenness Centrality],"&gt;= "&amp;J39)-COUNTIF(Vertices[Betweenness Centrality],"&gt;="&amp;J40)</f>
        <v>-3</v>
      </c>
      <c r="L39" s="78"/>
      <c r="M39" s="79">
        <f>COUNTIF(Vertices[Closeness Centrality],"&gt;= "&amp;L39)-COUNTIF(Vertices[Closeness Centrality],"&gt;="&amp;L40)</f>
        <v>-3</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-4</v>
      </c>
    </row>
    <row r="40" spans="4:21" ht="15">
      <c r="D40" s="34">
        <f>D28+($D$57-$D$2)/BinDivisor</f>
        <v>2.8909090909090915</v>
      </c>
      <c r="E40" s="3">
        <f>COUNTIF(Vertices[Degree],"&gt;= "&amp;D40)-COUNTIF(Vertices[Degree],"&gt;="&amp;D41)</f>
        <v>0</v>
      </c>
      <c r="F40" s="39">
        <f>F28+($F$57-$F$2)/BinDivisor</f>
        <v>2.8909090909090915</v>
      </c>
      <c r="G40" s="40">
        <f>COUNTIF(Vertices[In-Degree],"&gt;= "&amp;F40)-COUNTIF(Vertices[In-Degree],"&gt;="&amp;F41)</f>
        <v>0</v>
      </c>
      <c r="H40" s="39">
        <f>H28+($H$57-$H$2)/BinDivisor</f>
        <v>2.8909090909090915</v>
      </c>
      <c r="I40" s="40">
        <f>COUNTIF(Vertices[Out-Degree],"&gt;= "&amp;H40)-COUNTIF(Vertices[Out-Degree],"&gt;="&amp;H41)</f>
        <v>0</v>
      </c>
      <c r="J40" s="39">
        <f>J28+($J$57-$J$2)/BinDivisor</f>
        <v>9.454545454545451</v>
      </c>
      <c r="K40" s="40">
        <f>COUNTIF(Vertices[Betweenness Centrality],"&gt;= "&amp;J40)-COUNTIF(Vertices[Betweenness Centrality],"&gt;="&amp;J41)</f>
        <v>0</v>
      </c>
      <c r="L40" s="39">
        <f>L28+($L$57-$L$2)/BinDivisor</f>
        <v>0.07238092727272723</v>
      </c>
      <c r="M40" s="40">
        <f>COUNTIF(Vertices[Closeness Centrality],"&gt;= "&amp;L40)-COUNTIF(Vertices[Closeness Centrality],"&gt;="&amp;L41)</f>
        <v>0</v>
      </c>
      <c r="N40" s="39">
        <f>N28+($N$57-$N$2)/BinDivisor</f>
        <v>0.11180158181818176</v>
      </c>
      <c r="O40" s="40">
        <f>COUNTIF(Vertices[Eigenvector Centrality],"&gt;= "&amp;N40)-COUNTIF(Vertices[Eigenvector Centrality],"&gt;="&amp;N41)</f>
        <v>1</v>
      </c>
      <c r="P40" s="39">
        <f>P28+($P$57-$P$2)/BinDivisor</f>
        <v>1.0609881272727282</v>
      </c>
      <c r="Q40" s="40">
        <f>COUNTIF(Vertices[PageRank],"&gt;= "&amp;P40)-COUNTIF(Vertices[PageRank],"&gt;="&amp;P41)</f>
        <v>0</v>
      </c>
      <c r="R40" s="39">
        <f>R28+($R$57-$R$2)/BinDivisor</f>
        <v>0.47272727272727283</v>
      </c>
      <c r="S40" s="45">
        <f>COUNTIF(Vertices[Clustering Coefficient],"&gt;= "&amp;R40)-COUNTIF(Vertices[Clustering Coefficient],"&gt;="&amp;R41)</f>
        <v>0</v>
      </c>
      <c r="T40" s="39">
        <f ca="1">T28+($T$57-$T$2)/BinDivisor</f>
        <v>0.47272727272727283</v>
      </c>
      <c r="U40" s="40">
        <f ca="1" t="shared" si="0"/>
        <v>0</v>
      </c>
    </row>
    <row r="41" spans="1:21" ht="15">
      <c r="A41" t="s">
        <v>162</v>
      </c>
      <c r="B41" t="s">
        <v>17</v>
      </c>
      <c r="D41" s="34">
        <f aca="true" t="shared" si="10" ref="D41:D56">D40+($D$57-$D$2)/BinDivisor</f>
        <v>2.9636363636363643</v>
      </c>
      <c r="E41" s="3">
        <f>COUNTIF(Vertices[Degree],"&gt;= "&amp;D41)-COUNTIF(Vertices[Degree],"&gt;="&amp;D42)</f>
        <v>4</v>
      </c>
      <c r="F41" s="41">
        <f aca="true" t="shared" si="11" ref="F41:F56">F40+($F$57-$F$2)/BinDivisor</f>
        <v>2.9636363636363643</v>
      </c>
      <c r="G41" s="42">
        <f>COUNTIF(Vertices[In-Degree],"&gt;= "&amp;F41)-COUNTIF(Vertices[In-Degree],"&gt;="&amp;F42)</f>
        <v>3</v>
      </c>
      <c r="H41" s="41">
        <f aca="true" t="shared" si="12" ref="H41:H56">H40+($H$57-$H$2)/BinDivisor</f>
        <v>2.9636363636363643</v>
      </c>
      <c r="I41" s="42">
        <f>COUNTIF(Vertices[Out-Degree],"&gt;= "&amp;H41)-COUNTIF(Vertices[Out-Degree],"&gt;="&amp;H42)</f>
        <v>3</v>
      </c>
      <c r="J41" s="41">
        <f aca="true" t="shared" si="13" ref="J41:J56">J40+($J$57-$J$2)/BinDivisor</f>
        <v>9.818181818181815</v>
      </c>
      <c r="K41" s="42">
        <f>COUNTIF(Vertices[Betweenness Centrality],"&gt;= "&amp;J41)-COUNTIF(Vertices[Betweenness Centrality],"&gt;="&amp;J42)</f>
        <v>0</v>
      </c>
      <c r="L41" s="41">
        <f aca="true" t="shared" si="14" ref="L41:L56">L40+($L$57-$L$2)/BinDivisor</f>
        <v>0.07333330909090904</v>
      </c>
      <c r="M41" s="42">
        <f>COUNTIF(Vertices[Closeness Centrality],"&gt;= "&amp;L41)-COUNTIF(Vertices[Closeness Centrality],"&gt;="&amp;L42)</f>
        <v>0</v>
      </c>
      <c r="N41" s="41">
        <f aca="true" t="shared" si="15" ref="N41:N56">N40+($N$57-$N$2)/BinDivisor</f>
        <v>0.1155805272727272</v>
      </c>
      <c r="O41" s="42">
        <f>COUNTIF(Vertices[Eigenvector Centrality],"&gt;= "&amp;N41)-COUNTIF(Vertices[Eigenvector Centrality],"&gt;="&amp;N42)</f>
        <v>0</v>
      </c>
      <c r="P41" s="41">
        <f aca="true" t="shared" si="16" ref="P41:P56">P40+($P$57-$P$2)/BinDivisor</f>
        <v>1.08084170909091</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f aca="true" t="shared" si="18" ref="T41:T56">T40+($T$57-$T$2)/BinDivisor</f>
        <v>0.490909090909091</v>
      </c>
      <c r="U41" s="42">
        <f ca="1" t="shared" si="0"/>
        <v>0</v>
      </c>
    </row>
    <row r="42" spans="1:21" ht="15">
      <c r="A42" s="35"/>
      <c r="B42" s="35"/>
      <c r="D42" s="34">
        <f t="shared" si="10"/>
        <v>3.036363636363637</v>
      </c>
      <c r="E42" s="3">
        <f>COUNTIF(Vertices[Degree],"&gt;= "&amp;D42)-COUNTIF(Vertices[Degree],"&gt;="&amp;D43)</f>
        <v>0</v>
      </c>
      <c r="F42" s="39">
        <f t="shared" si="11"/>
        <v>3.036363636363637</v>
      </c>
      <c r="G42" s="40">
        <f>COUNTIF(Vertices[In-Degree],"&gt;= "&amp;F42)-COUNTIF(Vertices[In-Degree],"&gt;="&amp;F43)</f>
        <v>0</v>
      </c>
      <c r="H42" s="39">
        <f t="shared" si="12"/>
        <v>3.036363636363637</v>
      </c>
      <c r="I42" s="40">
        <f>COUNTIF(Vertices[Out-Degree],"&gt;= "&amp;H42)-COUNTIF(Vertices[Out-Degree],"&gt;="&amp;H43)</f>
        <v>0</v>
      </c>
      <c r="J42" s="39">
        <f t="shared" si="13"/>
        <v>10.181818181818178</v>
      </c>
      <c r="K42" s="40">
        <f>COUNTIF(Vertices[Betweenness Centrality],"&gt;= "&amp;J42)-COUNTIF(Vertices[Betweenness Centrality],"&gt;="&amp;J43)</f>
        <v>0</v>
      </c>
      <c r="L42" s="39">
        <f t="shared" si="14"/>
        <v>0.07428569090909086</v>
      </c>
      <c r="M42" s="40">
        <f>COUNTIF(Vertices[Closeness Centrality],"&gt;= "&amp;L42)-COUNTIF(Vertices[Closeness Centrality],"&gt;="&amp;L43)</f>
        <v>0</v>
      </c>
      <c r="N42" s="39">
        <f t="shared" si="15"/>
        <v>0.11935947272727265</v>
      </c>
      <c r="O42" s="40">
        <f>COUNTIF(Vertices[Eigenvector Centrality],"&gt;= "&amp;N42)-COUNTIF(Vertices[Eigenvector Centrality],"&gt;="&amp;N43)</f>
        <v>0</v>
      </c>
      <c r="P42" s="39">
        <f t="shared" si="16"/>
        <v>1.1006952909090917</v>
      </c>
      <c r="Q42" s="40">
        <f>COUNTIF(Vertices[PageRank],"&gt;= "&amp;P42)-COUNTIF(Vertices[PageRank],"&gt;="&amp;P43)</f>
        <v>1</v>
      </c>
      <c r="R42" s="39">
        <f t="shared" si="17"/>
        <v>0.5090909090909091</v>
      </c>
      <c r="S42" s="45">
        <f>COUNTIF(Vertices[Clustering Coefficient],"&gt;= "&amp;R42)-COUNTIF(Vertices[Clustering Coefficient],"&gt;="&amp;R43)</f>
        <v>0</v>
      </c>
      <c r="T42" s="39">
        <f ca="1" t="shared" si="18"/>
        <v>0.5090909090909091</v>
      </c>
      <c r="U42" s="40">
        <f ca="1" t="shared" si="0"/>
        <v>0</v>
      </c>
    </row>
    <row r="43" spans="1:21" ht="15">
      <c r="A43" s="35"/>
      <c r="B43" s="35"/>
      <c r="D43" s="34">
        <f t="shared" si="10"/>
        <v>3.10909090909091</v>
      </c>
      <c r="E43" s="3">
        <f>COUNTIF(Vertices[Degree],"&gt;= "&amp;D43)-COUNTIF(Vertices[Degree],"&gt;="&amp;D44)</f>
        <v>0</v>
      </c>
      <c r="F43" s="41">
        <f t="shared" si="11"/>
        <v>3.10909090909091</v>
      </c>
      <c r="G43" s="42">
        <f>COUNTIF(Vertices[In-Degree],"&gt;= "&amp;F43)-COUNTIF(Vertices[In-Degree],"&gt;="&amp;F44)</f>
        <v>0</v>
      </c>
      <c r="H43" s="41">
        <f t="shared" si="12"/>
        <v>3.10909090909091</v>
      </c>
      <c r="I43" s="42">
        <f>COUNTIF(Vertices[Out-Degree],"&gt;= "&amp;H43)-COUNTIF(Vertices[Out-Degree],"&gt;="&amp;H44)</f>
        <v>0</v>
      </c>
      <c r="J43" s="41">
        <f t="shared" si="13"/>
        <v>10.545454545454541</v>
      </c>
      <c r="K43" s="42">
        <f>COUNTIF(Vertices[Betweenness Centrality],"&gt;= "&amp;J43)-COUNTIF(Vertices[Betweenness Centrality],"&gt;="&amp;J44)</f>
        <v>0</v>
      </c>
      <c r="L43" s="41">
        <f t="shared" si="14"/>
        <v>0.07523807272727268</v>
      </c>
      <c r="M43" s="42">
        <f>COUNTIF(Vertices[Closeness Centrality],"&gt;= "&amp;L43)-COUNTIF(Vertices[Closeness Centrality],"&gt;="&amp;L44)</f>
        <v>0</v>
      </c>
      <c r="N43" s="41">
        <f t="shared" si="15"/>
        <v>0.1231384181818181</v>
      </c>
      <c r="O43" s="42">
        <f>COUNTIF(Vertices[Eigenvector Centrality],"&gt;= "&amp;N43)-COUNTIF(Vertices[Eigenvector Centrality],"&gt;="&amp;N44)</f>
        <v>0</v>
      </c>
      <c r="P43" s="41">
        <f t="shared" si="16"/>
        <v>1.1205488727272734</v>
      </c>
      <c r="Q43" s="42">
        <f>COUNTIF(Vertices[PageRank],"&gt;= "&amp;P43)-COUNTIF(Vertices[PageRank],"&gt;="&amp;P44)</f>
        <v>0</v>
      </c>
      <c r="R43" s="41">
        <f t="shared" si="17"/>
        <v>0.5272727272727273</v>
      </c>
      <c r="S43" s="46">
        <f>COUNTIF(Vertices[Clustering Coefficient],"&gt;= "&amp;R43)-COUNTIF(Vertices[Clustering Coefficient],"&gt;="&amp;R44)</f>
        <v>0</v>
      </c>
      <c r="T43" s="41">
        <f ca="1" t="shared" si="18"/>
        <v>0.5272727272727273</v>
      </c>
      <c r="U43" s="42">
        <f ca="1" t="shared" si="0"/>
        <v>0</v>
      </c>
    </row>
    <row r="44" spans="1:21" ht="15">
      <c r="A44" s="35"/>
      <c r="B44" s="35"/>
      <c r="D44" s="34">
        <f t="shared" si="10"/>
        <v>3.1818181818181825</v>
      </c>
      <c r="E44" s="3">
        <f>COUNTIF(Vertices[Degree],"&gt;= "&amp;D44)-COUNTIF(Vertices[Degree],"&gt;="&amp;D45)</f>
        <v>0</v>
      </c>
      <c r="F44" s="39">
        <f t="shared" si="11"/>
        <v>3.1818181818181825</v>
      </c>
      <c r="G44" s="40">
        <f>COUNTIF(Vertices[In-Degree],"&gt;= "&amp;F44)-COUNTIF(Vertices[In-Degree],"&gt;="&amp;F45)</f>
        <v>0</v>
      </c>
      <c r="H44" s="39">
        <f t="shared" si="12"/>
        <v>3.1818181818181825</v>
      </c>
      <c r="I44" s="40">
        <f>COUNTIF(Vertices[Out-Degree],"&gt;= "&amp;H44)-COUNTIF(Vertices[Out-Degree],"&gt;="&amp;H45)</f>
        <v>0</v>
      </c>
      <c r="J44" s="39">
        <f t="shared" si="13"/>
        <v>10.909090909090905</v>
      </c>
      <c r="K44" s="40">
        <f>COUNTIF(Vertices[Betweenness Centrality],"&gt;= "&amp;J44)-COUNTIF(Vertices[Betweenness Centrality],"&gt;="&amp;J45)</f>
        <v>0</v>
      </c>
      <c r="L44" s="39">
        <f t="shared" si="14"/>
        <v>0.07619045454545449</v>
      </c>
      <c r="M44" s="40">
        <f>COUNTIF(Vertices[Closeness Centrality],"&gt;= "&amp;L44)-COUNTIF(Vertices[Closeness Centrality],"&gt;="&amp;L45)</f>
        <v>0</v>
      </c>
      <c r="N44" s="39">
        <f t="shared" si="15"/>
        <v>0.12691736363636355</v>
      </c>
      <c r="O44" s="40">
        <f>COUNTIF(Vertices[Eigenvector Centrality],"&gt;= "&amp;N44)-COUNTIF(Vertices[Eigenvector Centrality],"&gt;="&amp;N45)</f>
        <v>1</v>
      </c>
      <c r="P44" s="39">
        <f t="shared" si="16"/>
        <v>1.1404024545454552</v>
      </c>
      <c r="Q44" s="40">
        <f>COUNTIF(Vertices[PageRank],"&gt;= "&amp;P44)-COUNTIF(Vertices[PageRank],"&gt;="&amp;P45)</f>
        <v>0</v>
      </c>
      <c r="R44" s="39">
        <f t="shared" si="17"/>
        <v>0.5454545454545455</v>
      </c>
      <c r="S44" s="45">
        <f>COUNTIF(Vertices[Clustering Coefficient],"&gt;= "&amp;R44)-COUNTIF(Vertices[Clustering Coefficient],"&gt;="&amp;R45)</f>
        <v>0</v>
      </c>
      <c r="T44" s="39">
        <f ca="1" t="shared" si="18"/>
        <v>0.5454545454545455</v>
      </c>
      <c r="U44" s="40">
        <f ca="1" t="shared" si="0"/>
        <v>0</v>
      </c>
    </row>
    <row r="45" spans="4:21" ht="15">
      <c r="D45" s="34">
        <f t="shared" si="10"/>
        <v>3.2545454545454553</v>
      </c>
      <c r="E45" s="3">
        <f>COUNTIF(Vertices[Degree],"&gt;= "&amp;D45)-COUNTIF(Vertices[Degree],"&gt;="&amp;D46)</f>
        <v>0</v>
      </c>
      <c r="F45" s="41">
        <f t="shared" si="11"/>
        <v>3.2545454545454553</v>
      </c>
      <c r="G45" s="42">
        <f>COUNTIF(Vertices[In-Degree],"&gt;= "&amp;F45)-COUNTIF(Vertices[In-Degree],"&gt;="&amp;F46)</f>
        <v>0</v>
      </c>
      <c r="H45" s="41">
        <f t="shared" si="12"/>
        <v>3.2545454545454553</v>
      </c>
      <c r="I45" s="42">
        <f>COUNTIF(Vertices[Out-Degree],"&gt;= "&amp;H45)-COUNTIF(Vertices[Out-Degree],"&gt;="&amp;H46)</f>
        <v>0</v>
      </c>
      <c r="J45" s="41">
        <f t="shared" si="13"/>
        <v>11.272727272727268</v>
      </c>
      <c r="K45" s="42">
        <f>COUNTIF(Vertices[Betweenness Centrality],"&gt;= "&amp;J45)-COUNTIF(Vertices[Betweenness Centrality],"&gt;="&amp;J46)</f>
        <v>0</v>
      </c>
      <c r="L45" s="41">
        <f t="shared" si="14"/>
        <v>0.07714283636363631</v>
      </c>
      <c r="M45" s="42">
        <f>COUNTIF(Vertices[Closeness Centrality],"&gt;= "&amp;L45)-COUNTIF(Vertices[Closeness Centrality],"&gt;="&amp;L46)</f>
        <v>0</v>
      </c>
      <c r="N45" s="41">
        <f t="shared" si="15"/>
        <v>0.130696309090909</v>
      </c>
      <c r="O45" s="42">
        <f>COUNTIF(Vertices[Eigenvector Centrality],"&gt;= "&amp;N45)-COUNTIF(Vertices[Eigenvector Centrality],"&gt;="&amp;N46)</f>
        <v>0</v>
      </c>
      <c r="P45" s="41">
        <f t="shared" si="16"/>
        <v>1.160256036363637</v>
      </c>
      <c r="Q45" s="42">
        <f>COUNTIF(Vertices[PageRank],"&gt;= "&amp;P45)-COUNTIF(Vertices[PageRank],"&gt;="&amp;P46)</f>
        <v>0</v>
      </c>
      <c r="R45" s="41">
        <f t="shared" si="17"/>
        <v>0.5636363636363637</v>
      </c>
      <c r="S45" s="46">
        <f>COUNTIF(Vertices[Clustering Coefficient],"&gt;= "&amp;R45)-COUNTIF(Vertices[Clustering Coefficient],"&gt;="&amp;R46)</f>
        <v>0</v>
      </c>
      <c r="T45" s="41">
        <f ca="1" t="shared" si="18"/>
        <v>0.5636363636363637</v>
      </c>
      <c r="U45" s="42">
        <f ca="1" t="shared" si="0"/>
        <v>0</v>
      </c>
    </row>
    <row r="46" spans="4:21" ht="15">
      <c r="D46" s="34">
        <f t="shared" si="10"/>
        <v>3.327272727272728</v>
      </c>
      <c r="E46" s="3">
        <f>COUNTIF(Vertices[Degree],"&gt;= "&amp;D46)-COUNTIF(Vertices[Degree],"&gt;="&amp;D47)</f>
        <v>0</v>
      </c>
      <c r="F46" s="39">
        <f t="shared" si="11"/>
        <v>3.327272727272728</v>
      </c>
      <c r="G46" s="40">
        <f>COUNTIF(Vertices[In-Degree],"&gt;= "&amp;F46)-COUNTIF(Vertices[In-Degree],"&gt;="&amp;F47)</f>
        <v>0</v>
      </c>
      <c r="H46" s="39">
        <f t="shared" si="12"/>
        <v>3.327272727272728</v>
      </c>
      <c r="I46" s="40">
        <f>COUNTIF(Vertices[Out-Degree],"&gt;= "&amp;H46)-COUNTIF(Vertices[Out-Degree],"&gt;="&amp;H47)</f>
        <v>0</v>
      </c>
      <c r="J46" s="39">
        <f t="shared" si="13"/>
        <v>11.636363636363631</v>
      </c>
      <c r="K46" s="40">
        <f>COUNTIF(Vertices[Betweenness Centrality],"&gt;= "&amp;J46)-COUNTIF(Vertices[Betweenness Centrality],"&gt;="&amp;J47)</f>
        <v>0</v>
      </c>
      <c r="L46" s="39">
        <f t="shared" si="14"/>
        <v>0.07809521818181812</v>
      </c>
      <c r="M46" s="40">
        <f>COUNTIF(Vertices[Closeness Centrality],"&gt;= "&amp;L46)-COUNTIF(Vertices[Closeness Centrality],"&gt;="&amp;L47)</f>
        <v>0</v>
      </c>
      <c r="N46" s="39">
        <f t="shared" si="15"/>
        <v>0.13447525454545448</v>
      </c>
      <c r="O46" s="40">
        <f>COUNTIF(Vertices[Eigenvector Centrality],"&gt;= "&amp;N46)-COUNTIF(Vertices[Eigenvector Centrality],"&gt;="&amp;N47)</f>
        <v>0</v>
      </c>
      <c r="P46" s="39">
        <f t="shared" si="16"/>
        <v>1.1801096181818187</v>
      </c>
      <c r="Q46" s="40">
        <f>COUNTIF(Vertices[PageRank],"&gt;= "&amp;P46)-COUNTIF(Vertices[PageRank],"&gt;="&amp;P47)</f>
        <v>0</v>
      </c>
      <c r="R46" s="39">
        <f t="shared" si="17"/>
        <v>0.5818181818181819</v>
      </c>
      <c r="S46" s="45">
        <f>COUNTIF(Vertices[Clustering Coefficient],"&gt;= "&amp;R46)-COUNTIF(Vertices[Clustering Coefficient],"&gt;="&amp;R47)</f>
        <v>0</v>
      </c>
      <c r="T46" s="39">
        <f ca="1" t="shared" si="18"/>
        <v>0.5818181818181819</v>
      </c>
      <c r="U46" s="40">
        <f ca="1" t="shared" si="0"/>
        <v>0</v>
      </c>
    </row>
    <row r="47" spans="4:21" ht="15">
      <c r="D47" s="34">
        <f t="shared" si="10"/>
        <v>3.400000000000001</v>
      </c>
      <c r="E47" s="3">
        <f>COUNTIF(Vertices[Degree],"&gt;= "&amp;D47)-COUNTIF(Vertices[Degree],"&gt;="&amp;D48)</f>
        <v>0</v>
      </c>
      <c r="F47" s="41">
        <f t="shared" si="11"/>
        <v>3.400000000000001</v>
      </c>
      <c r="G47" s="42">
        <f>COUNTIF(Vertices[In-Degree],"&gt;= "&amp;F47)-COUNTIF(Vertices[In-Degree],"&gt;="&amp;F48)</f>
        <v>0</v>
      </c>
      <c r="H47" s="41">
        <f t="shared" si="12"/>
        <v>3.400000000000001</v>
      </c>
      <c r="I47" s="42">
        <f>COUNTIF(Vertices[Out-Degree],"&gt;= "&amp;H47)-COUNTIF(Vertices[Out-Degree],"&gt;="&amp;H48)</f>
        <v>0</v>
      </c>
      <c r="J47" s="41">
        <f t="shared" si="13"/>
        <v>11.999999999999995</v>
      </c>
      <c r="K47" s="42">
        <f>COUNTIF(Vertices[Betweenness Centrality],"&gt;= "&amp;J47)-COUNTIF(Vertices[Betweenness Centrality],"&gt;="&amp;J48)</f>
        <v>1</v>
      </c>
      <c r="L47" s="41">
        <f t="shared" si="14"/>
        <v>0.07904759999999994</v>
      </c>
      <c r="M47" s="42">
        <f>COUNTIF(Vertices[Closeness Centrality],"&gt;= "&amp;L47)-COUNTIF(Vertices[Closeness Centrality],"&gt;="&amp;L48)</f>
        <v>0</v>
      </c>
      <c r="N47" s="41">
        <f t="shared" si="15"/>
        <v>0.13825419999999994</v>
      </c>
      <c r="O47" s="42">
        <f>COUNTIF(Vertices[Eigenvector Centrality],"&gt;= "&amp;N47)-COUNTIF(Vertices[Eigenvector Centrality],"&gt;="&amp;N48)</f>
        <v>0</v>
      </c>
      <c r="P47" s="41">
        <f t="shared" si="16"/>
        <v>1.1999632000000005</v>
      </c>
      <c r="Q47" s="42">
        <f>COUNTIF(Vertices[PageRank],"&gt;= "&amp;P47)-COUNTIF(Vertices[PageRank],"&gt;="&amp;P48)</f>
        <v>0</v>
      </c>
      <c r="R47" s="41">
        <f t="shared" si="17"/>
        <v>0.6000000000000001</v>
      </c>
      <c r="S47" s="46">
        <f>COUNTIF(Vertices[Clustering Coefficient],"&gt;= "&amp;R47)-COUNTIF(Vertices[Clustering Coefficient],"&gt;="&amp;R48)</f>
        <v>0</v>
      </c>
      <c r="T47" s="41">
        <f ca="1" t="shared" si="18"/>
        <v>0.6000000000000001</v>
      </c>
      <c r="U47" s="42">
        <f ca="1" t="shared" si="0"/>
        <v>0</v>
      </c>
    </row>
    <row r="48" spans="4:21" ht="15">
      <c r="D48" s="34">
        <f t="shared" si="10"/>
        <v>3.4727272727272736</v>
      </c>
      <c r="E48" s="3">
        <f>COUNTIF(Vertices[Degree],"&gt;= "&amp;D48)-COUNTIF(Vertices[Degree],"&gt;="&amp;D49)</f>
        <v>0</v>
      </c>
      <c r="F48" s="39">
        <f t="shared" si="11"/>
        <v>3.4727272727272736</v>
      </c>
      <c r="G48" s="40">
        <f>COUNTIF(Vertices[In-Degree],"&gt;= "&amp;F48)-COUNTIF(Vertices[In-Degree],"&gt;="&amp;F49)</f>
        <v>0</v>
      </c>
      <c r="H48" s="39">
        <f t="shared" si="12"/>
        <v>3.4727272727272736</v>
      </c>
      <c r="I48" s="40">
        <f>COUNTIF(Vertices[Out-Degree],"&gt;= "&amp;H48)-COUNTIF(Vertices[Out-Degree],"&gt;="&amp;H49)</f>
        <v>0</v>
      </c>
      <c r="J48" s="39">
        <f t="shared" si="13"/>
        <v>12.363636363636358</v>
      </c>
      <c r="K48" s="40">
        <f>COUNTIF(Vertices[Betweenness Centrality],"&gt;= "&amp;J48)-COUNTIF(Vertices[Betweenness Centrality],"&gt;="&amp;J49)</f>
        <v>0</v>
      </c>
      <c r="L48" s="39">
        <f t="shared" si="14"/>
        <v>0.07999998181818176</v>
      </c>
      <c r="M48" s="40">
        <f>COUNTIF(Vertices[Closeness Centrality],"&gt;= "&amp;L48)-COUNTIF(Vertices[Closeness Centrality],"&gt;="&amp;L49)</f>
        <v>0</v>
      </c>
      <c r="N48" s="39">
        <f t="shared" si="15"/>
        <v>0.1420331454545454</v>
      </c>
      <c r="O48" s="40">
        <f>COUNTIF(Vertices[Eigenvector Centrality],"&gt;= "&amp;N48)-COUNTIF(Vertices[Eigenvector Centrality],"&gt;="&amp;N49)</f>
        <v>0</v>
      </c>
      <c r="P48" s="39">
        <f t="shared" si="16"/>
        <v>1.2198167818181822</v>
      </c>
      <c r="Q48" s="40">
        <f>COUNTIF(Vertices[PageRank],"&gt;= "&amp;P48)-COUNTIF(Vertices[PageRank],"&gt;="&amp;P49)</f>
        <v>0</v>
      </c>
      <c r="R48" s="39">
        <f t="shared" si="17"/>
        <v>0.6181818181818183</v>
      </c>
      <c r="S48" s="45">
        <f>COUNTIF(Vertices[Clustering Coefficient],"&gt;= "&amp;R48)-COUNTIF(Vertices[Clustering Coefficient],"&gt;="&amp;R49)</f>
        <v>0</v>
      </c>
      <c r="T48" s="39">
        <f ca="1" t="shared" si="18"/>
        <v>0.6181818181818183</v>
      </c>
      <c r="U48" s="40">
        <f ca="1" t="shared" si="0"/>
        <v>0</v>
      </c>
    </row>
    <row r="49" spans="4:21" ht="15">
      <c r="D49" s="34">
        <f t="shared" si="10"/>
        <v>3.5454545454545463</v>
      </c>
      <c r="E49" s="3">
        <f>COUNTIF(Vertices[Degree],"&gt;= "&amp;D49)-COUNTIF(Vertices[Degree],"&gt;="&amp;D50)</f>
        <v>0</v>
      </c>
      <c r="F49" s="41">
        <f t="shared" si="11"/>
        <v>3.5454545454545463</v>
      </c>
      <c r="G49" s="42">
        <f>COUNTIF(Vertices[In-Degree],"&gt;= "&amp;F49)-COUNTIF(Vertices[In-Degree],"&gt;="&amp;F50)</f>
        <v>0</v>
      </c>
      <c r="H49" s="41">
        <f t="shared" si="12"/>
        <v>3.5454545454545463</v>
      </c>
      <c r="I49" s="42">
        <f>COUNTIF(Vertices[Out-Degree],"&gt;= "&amp;H49)-COUNTIF(Vertices[Out-Degree],"&gt;="&amp;H50)</f>
        <v>0</v>
      </c>
      <c r="J49" s="41">
        <f t="shared" si="13"/>
        <v>12.727272727272721</v>
      </c>
      <c r="K49" s="42">
        <f>COUNTIF(Vertices[Betweenness Centrality],"&gt;= "&amp;J49)-COUNTIF(Vertices[Betweenness Centrality],"&gt;="&amp;J50)</f>
        <v>0</v>
      </c>
      <c r="L49" s="41">
        <f t="shared" si="14"/>
        <v>0.08095236363636357</v>
      </c>
      <c r="M49" s="42">
        <f>COUNTIF(Vertices[Closeness Centrality],"&gt;= "&amp;L49)-COUNTIF(Vertices[Closeness Centrality],"&gt;="&amp;L50)</f>
        <v>0</v>
      </c>
      <c r="N49" s="41">
        <f t="shared" si="15"/>
        <v>0.14581209090909086</v>
      </c>
      <c r="O49" s="42">
        <f>COUNTIF(Vertices[Eigenvector Centrality],"&gt;= "&amp;N49)-COUNTIF(Vertices[Eigenvector Centrality],"&gt;="&amp;N50)</f>
        <v>0</v>
      </c>
      <c r="P49" s="41">
        <f t="shared" si="16"/>
        <v>1.239670363636364</v>
      </c>
      <c r="Q49" s="42">
        <f>COUNTIF(Vertices[PageRank],"&gt;= "&amp;P49)-COUNTIF(Vertices[PageRank],"&gt;="&amp;P50)</f>
        <v>0</v>
      </c>
      <c r="R49" s="41">
        <f t="shared" si="17"/>
        <v>0.6363636363636365</v>
      </c>
      <c r="S49" s="46">
        <f>COUNTIF(Vertices[Clustering Coefficient],"&gt;= "&amp;R49)-COUNTIF(Vertices[Clustering Coefficient],"&gt;="&amp;R50)</f>
        <v>0</v>
      </c>
      <c r="T49" s="41">
        <f ca="1" t="shared" si="18"/>
        <v>0.6363636363636365</v>
      </c>
      <c r="U49" s="42">
        <f ca="1" t="shared" si="0"/>
        <v>0</v>
      </c>
    </row>
    <row r="50" spans="4:21" ht="15">
      <c r="D50" s="34">
        <f t="shared" si="10"/>
        <v>3.618181818181819</v>
      </c>
      <c r="E50" s="3">
        <f>COUNTIF(Vertices[Degree],"&gt;= "&amp;D50)-COUNTIF(Vertices[Degree],"&gt;="&amp;D51)</f>
        <v>0</v>
      </c>
      <c r="F50" s="39">
        <f t="shared" si="11"/>
        <v>3.618181818181819</v>
      </c>
      <c r="G50" s="40">
        <f>COUNTIF(Vertices[In-Degree],"&gt;= "&amp;F50)-COUNTIF(Vertices[In-Degree],"&gt;="&amp;F51)</f>
        <v>0</v>
      </c>
      <c r="H50" s="39">
        <f t="shared" si="12"/>
        <v>3.618181818181819</v>
      </c>
      <c r="I50" s="40">
        <f>COUNTIF(Vertices[Out-Degree],"&gt;= "&amp;H50)-COUNTIF(Vertices[Out-Degree],"&gt;="&amp;H51)</f>
        <v>0</v>
      </c>
      <c r="J50" s="39">
        <f t="shared" si="13"/>
        <v>13.090909090909085</v>
      </c>
      <c r="K50" s="40">
        <f>COUNTIF(Vertices[Betweenness Centrality],"&gt;= "&amp;J50)-COUNTIF(Vertices[Betweenness Centrality],"&gt;="&amp;J51)</f>
        <v>0</v>
      </c>
      <c r="L50" s="39">
        <f t="shared" si="14"/>
        <v>0.08190474545454539</v>
      </c>
      <c r="M50" s="40">
        <f>COUNTIF(Vertices[Closeness Centrality],"&gt;= "&amp;L50)-COUNTIF(Vertices[Closeness Centrality],"&gt;="&amp;L51)</f>
        <v>0</v>
      </c>
      <c r="N50" s="39">
        <f t="shared" si="15"/>
        <v>0.14959103636363633</v>
      </c>
      <c r="O50" s="40">
        <f>COUNTIF(Vertices[Eigenvector Centrality],"&gt;= "&amp;N50)-COUNTIF(Vertices[Eigenvector Centrality],"&gt;="&amp;N51)</f>
        <v>0</v>
      </c>
      <c r="P50" s="39">
        <f t="shared" si="16"/>
        <v>1.2595239454545457</v>
      </c>
      <c r="Q50" s="40">
        <f>COUNTIF(Vertices[PageRank],"&gt;= "&amp;P50)-COUNTIF(Vertices[PageRank],"&gt;="&amp;P51)</f>
        <v>0</v>
      </c>
      <c r="R50" s="39">
        <f t="shared" si="17"/>
        <v>0.6545454545454547</v>
      </c>
      <c r="S50" s="45">
        <f>COUNTIF(Vertices[Clustering Coefficient],"&gt;= "&amp;R50)-COUNTIF(Vertices[Clustering Coefficient],"&gt;="&amp;R51)</f>
        <v>3</v>
      </c>
      <c r="T50" s="39">
        <f ca="1" t="shared" si="18"/>
        <v>0.6545454545454547</v>
      </c>
      <c r="U50" s="40">
        <f ca="1" t="shared" si="0"/>
        <v>3</v>
      </c>
    </row>
    <row r="51" spans="4:21" ht="15">
      <c r="D51" s="34">
        <f t="shared" si="10"/>
        <v>3.690909090909092</v>
      </c>
      <c r="E51" s="3">
        <f>COUNTIF(Vertices[Degree],"&gt;= "&amp;D51)-COUNTIF(Vertices[Degree],"&gt;="&amp;D52)</f>
        <v>0</v>
      </c>
      <c r="F51" s="41">
        <f t="shared" si="11"/>
        <v>3.690909090909092</v>
      </c>
      <c r="G51" s="42">
        <f>COUNTIF(Vertices[In-Degree],"&gt;= "&amp;F51)-COUNTIF(Vertices[In-Degree],"&gt;="&amp;F52)</f>
        <v>0</v>
      </c>
      <c r="H51" s="41">
        <f t="shared" si="12"/>
        <v>3.690909090909092</v>
      </c>
      <c r="I51" s="42">
        <f>COUNTIF(Vertices[Out-Degree],"&gt;= "&amp;H51)-COUNTIF(Vertices[Out-Degree],"&gt;="&amp;H52)</f>
        <v>0</v>
      </c>
      <c r="J51" s="41">
        <f t="shared" si="13"/>
        <v>13.454545454545448</v>
      </c>
      <c r="K51" s="42">
        <f>COUNTIF(Vertices[Betweenness Centrality],"&gt;= "&amp;J51)-COUNTIF(Vertices[Betweenness Centrality],"&gt;="&amp;J52)</f>
        <v>0</v>
      </c>
      <c r="L51" s="41">
        <f t="shared" si="14"/>
        <v>0.0828571272727272</v>
      </c>
      <c r="M51" s="42">
        <f>COUNTIF(Vertices[Closeness Centrality],"&gt;= "&amp;L51)-COUNTIF(Vertices[Closeness Centrality],"&gt;="&amp;L52)</f>
        <v>1</v>
      </c>
      <c r="N51" s="41">
        <f t="shared" si="15"/>
        <v>0.1533699818181818</v>
      </c>
      <c r="O51" s="42">
        <f>COUNTIF(Vertices[Eigenvector Centrality],"&gt;= "&amp;N51)-COUNTIF(Vertices[Eigenvector Centrality],"&gt;="&amp;N52)</f>
        <v>1</v>
      </c>
      <c r="P51" s="41">
        <f t="shared" si="16"/>
        <v>1.2793775272727275</v>
      </c>
      <c r="Q51" s="42">
        <f>COUNTIF(Vertices[PageRank],"&gt;= "&amp;P51)-COUNTIF(Vertices[PageRank],"&gt;="&amp;P52)</f>
        <v>0</v>
      </c>
      <c r="R51" s="41">
        <f t="shared" si="17"/>
        <v>0.6727272727272728</v>
      </c>
      <c r="S51" s="46">
        <f>COUNTIF(Vertices[Clustering Coefficient],"&gt;= "&amp;R51)-COUNTIF(Vertices[Clustering Coefficient],"&gt;="&amp;R52)</f>
        <v>0</v>
      </c>
      <c r="T51" s="41">
        <f ca="1" t="shared" si="18"/>
        <v>0.6727272727272728</v>
      </c>
      <c r="U51" s="42">
        <f ca="1" t="shared" si="0"/>
        <v>0</v>
      </c>
    </row>
    <row r="52" spans="4:21" ht="15">
      <c r="D52" s="34">
        <f t="shared" si="10"/>
        <v>3.7636363636363646</v>
      </c>
      <c r="E52" s="3">
        <f>COUNTIF(Vertices[Degree],"&gt;= "&amp;D52)-COUNTIF(Vertices[Degree],"&gt;="&amp;D53)</f>
        <v>0</v>
      </c>
      <c r="F52" s="39">
        <f t="shared" si="11"/>
        <v>3.7636363636363646</v>
      </c>
      <c r="G52" s="40">
        <f>COUNTIF(Vertices[In-Degree],"&gt;= "&amp;F52)-COUNTIF(Vertices[In-Degree],"&gt;="&amp;F53)</f>
        <v>0</v>
      </c>
      <c r="H52" s="39">
        <f t="shared" si="12"/>
        <v>3.7636363636363646</v>
      </c>
      <c r="I52" s="40">
        <f>COUNTIF(Vertices[Out-Degree],"&gt;= "&amp;H52)-COUNTIF(Vertices[Out-Degree],"&gt;="&amp;H53)</f>
        <v>0</v>
      </c>
      <c r="J52" s="39">
        <f t="shared" si="13"/>
        <v>13.818181818181811</v>
      </c>
      <c r="K52" s="40">
        <f>COUNTIF(Vertices[Betweenness Centrality],"&gt;= "&amp;J52)-COUNTIF(Vertices[Betweenness Centrality],"&gt;="&amp;J53)</f>
        <v>0</v>
      </c>
      <c r="L52" s="39">
        <f t="shared" si="14"/>
        <v>0.08380950909090902</v>
      </c>
      <c r="M52" s="40">
        <f>COUNTIF(Vertices[Closeness Centrality],"&gt;= "&amp;L52)-COUNTIF(Vertices[Closeness Centrality],"&gt;="&amp;L53)</f>
        <v>0</v>
      </c>
      <c r="N52" s="39">
        <f t="shared" si="15"/>
        <v>0.15714892727272725</v>
      </c>
      <c r="O52" s="40">
        <f>COUNTIF(Vertices[Eigenvector Centrality],"&gt;= "&amp;N52)-COUNTIF(Vertices[Eigenvector Centrality],"&gt;="&amp;N53)</f>
        <v>1</v>
      </c>
      <c r="P52" s="39">
        <f t="shared" si="16"/>
        <v>1.2992311090909092</v>
      </c>
      <c r="Q52" s="40">
        <f>COUNTIF(Vertices[PageRank],"&gt;= "&amp;P52)-COUNTIF(Vertices[PageRank],"&gt;="&amp;P53)</f>
        <v>0</v>
      </c>
      <c r="R52" s="39">
        <f t="shared" si="17"/>
        <v>0.690909090909091</v>
      </c>
      <c r="S52" s="45">
        <f>COUNTIF(Vertices[Clustering Coefficient],"&gt;= "&amp;R52)-COUNTIF(Vertices[Clustering Coefficient],"&gt;="&amp;R53)</f>
        <v>0</v>
      </c>
      <c r="T52" s="39">
        <f ca="1" t="shared" si="18"/>
        <v>0.690909090909091</v>
      </c>
      <c r="U52" s="40">
        <f ca="1" t="shared" si="0"/>
        <v>0</v>
      </c>
    </row>
    <row r="53" spans="4:21" ht="15">
      <c r="D53" s="34">
        <f t="shared" si="10"/>
        <v>3.8363636363636373</v>
      </c>
      <c r="E53" s="3">
        <f>COUNTIF(Vertices[Degree],"&gt;= "&amp;D53)-COUNTIF(Vertices[Degree],"&gt;="&amp;D54)</f>
        <v>0</v>
      </c>
      <c r="F53" s="41">
        <f t="shared" si="11"/>
        <v>3.8363636363636373</v>
      </c>
      <c r="G53" s="42">
        <f>COUNTIF(Vertices[In-Degree],"&gt;= "&amp;F53)-COUNTIF(Vertices[In-Degree],"&gt;="&amp;F54)</f>
        <v>0</v>
      </c>
      <c r="H53" s="41">
        <f t="shared" si="12"/>
        <v>3.8363636363636373</v>
      </c>
      <c r="I53" s="42">
        <f>COUNTIF(Vertices[Out-Degree],"&gt;= "&amp;H53)-COUNTIF(Vertices[Out-Degree],"&gt;="&amp;H54)</f>
        <v>0</v>
      </c>
      <c r="J53" s="41">
        <f t="shared" si="13"/>
        <v>14.181818181818175</v>
      </c>
      <c r="K53" s="42">
        <f>COUNTIF(Vertices[Betweenness Centrality],"&gt;= "&amp;J53)-COUNTIF(Vertices[Betweenness Centrality],"&gt;="&amp;J54)</f>
        <v>0</v>
      </c>
      <c r="L53" s="41">
        <f t="shared" si="14"/>
        <v>0.08476189090909084</v>
      </c>
      <c r="M53" s="42">
        <f>COUNTIF(Vertices[Closeness Centrality],"&gt;= "&amp;L53)-COUNTIF(Vertices[Closeness Centrality],"&gt;="&amp;L54)</f>
        <v>0</v>
      </c>
      <c r="N53" s="41">
        <f t="shared" si="15"/>
        <v>0.1609278727272727</v>
      </c>
      <c r="O53" s="42">
        <f>COUNTIF(Vertices[Eigenvector Centrality],"&gt;= "&amp;N53)-COUNTIF(Vertices[Eigenvector Centrality],"&gt;="&amp;N54)</f>
        <v>1</v>
      </c>
      <c r="P53" s="41">
        <f t="shared" si="16"/>
        <v>1.319084690909091</v>
      </c>
      <c r="Q53" s="42">
        <f>COUNTIF(Vertices[PageRank],"&gt;= "&amp;P53)-COUNTIF(Vertices[PageRank],"&gt;="&amp;P54)</f>
        <v>0</v>
      </c>
      <c r="R53" s="41">
        <f t="shared" si="17"/>
        <v>0.7090909090909092</v>
      </c>
      <c r="S53" s="46">
        <f>COUNTIF(Vertices[Clustering Coefficient],"&gt;= "&amp;R53)-COUNTIF(Vertices[Clustering Coefficient],"&gt;="&amp;R54)</f>
        <v>0</v>
      </c>
      <c r="T53" s="41">
        <f ca="1" t="shared" si="18"/>
        <v>0.7090909090909092</v>
      </c>
      <c r="U53" s="42">
        <f ca="1" t="shared" si="0"/>
        <v>0</v>
      </c>
    </row>
    <row r="54" spans="4:21" ht="15">
      <c r="D54" s="34">
        <f t="shared" si="10"/>
        <v>3.90909090909091</v>
      </c>
      <c r="E54" s="3">
        <f>COUNTIF(Vertices[Degree],"&gt;= "&amp;D54)-COUNTIF(Vertices[Degree],"&gt;="&amp;D55)</f>
        <v>0</v>
      </c>
      <c r="F54" s="39">
        <f t="shared" si="11"/>
        <v>3.90909090909091</v>
      </c>
      <c r="G54" s="40">
        <f>COUNTIF(Vertices[In-Degree],"&gt;= "&amp;F54)-COUNTIF(Vertices[In-Degree],"&gt;="&amp;F55)</f>
        <v>0</v>
      </c>
      <c r="H54" s="39">
        <f t="shared" si="12"/>
        <v>3.90909090909091</v>
      </c>
      <c r="I54" s="40">
        <f>COUNTIF(Vertices[Out-Degree],"&gt;= "&amp;H54)-COUNTIF(Vertices[Out-Degree],"&gt;="&amp;H55)</f>
        <v>0</v>
      </c>
      <c r="J54" s="39">
        <f t="shared" si="13"/>
        <v>14.545454545454538</v>
      </c>
      <c r="K54" s="40">
        <f>COUNTIF(Vertices[Betweenness Centrality],"&gt;= "&amp;J54)-COUNTIF(Vertices[Betweenness Centrality],"&gt;="&amp;J55)</f>
        <v>0</v>
      </c>
      <c r="L54" s="39">
        <f t="shared" si="14"/>
        <v>0.08571427272727265</v>
      </c>
      <c r="M54" s="40">
        <f>COUNTIF(Vertices[Closeness Centrality],"&gt;= "&amp;L54)-COUNTIF(Vertices[Closeness Centrality],"&gt;="&amp;L55)</f>
        <v>0</v>
      </c>
      <c r="N54" s="39">
        <f t="shared" si="15"/>
        <v>0.16470681818181818</v>
      </c>
      <c r="O54" s="40">
        <f>COUNTIF(Vertices[Eigenvector Centrality],"&gt;= "&amp;N54)-COUNTIF(Vertices[Eigenvector Centrality],"&gt;="&amp;N55)</f>
        <v>0</v>
      </c>
      <c r="P54" s="39">
        <f t="shared" si="16"/>
        <v>1.3389382727272727</v>
      </c>
      <c r="Q54" s="40">
        <f>COUNTIF(Vertices[PageRank],"&gt;= "&amp;P54)-COUNTIF(Vertices[PageRank],"&gt;="&amp;P55)</f>
        <v>0</v>
      </c>
      <c r="R54" s="39">
        <f t="shared" si="17"/>
        <v>0.7272727272727274</v>
      </c>
      <c r="S54" s="45">
        <f>COUNTIF(Vertices[Clustering Coefficient],"&gt;= "&amp;R54)-COUNTIF(Vertices[Clustering Coefficient],"&gt;="&amp;R55)</f>
        <v>0</v>
      </c>
      <c r="T54" s="39">
        <f ca="1" t="shared" si="18"/>
        <v>0.7272727272727274</v>
      </c>
      <c r="U54" s="40">
        <f ca="1" t="shared" si="0"/>
        <v>0</v>
      </c>
    </row>
    <row r="55" spans="1:21" ht="15">
      <c r="A55" s="35" t="s">
        <v>81</v>
      </c>
      <c r="B55" s="48">
        <f>IF(COUNT(Vertices[Degree])&gt;0,D2,NoMetricMessage)</f>
        <v>1</v>
      </c>
      <c r="D55" s="34">
        <f t="shared" si="10"/>
        <v>3.981818181818183</v>
      </c>
      <c r="E55" s="3">
        <f>COUNTIF(Vertices[Degree],"&gt;= "&amp;D55)-COUNTIF(Vertices[Degree],"&gt;="&amp;D56)</f>
        <v>0</v>
      </c>
      <c r="F55" s="41">
        <f t="shared" si="11"/>
        <v>3.981818181818183</v>
      </c>
      <c r="G55" s="42">
        <f>COUNTIF(Vertices[In-Degree],"&gt;= "&amp;F55)-COUNTIF(Vertices[In-Degree],"&gt;="&amp;F56)</f>
        <v>0</v>
      </c>
      <c r="H55" s="41">
        <f t="shared" si="12"/>
        <v>3.981818181818183</v>
      </c>
      <c r="I55" s="42">
        <f>COUNTIF(Vertices[Out-Degree],"&gt;= "&amp;H55)-COUNTIF(Vertices[Out-Degree],"&gt;="&amp;H56)</f>
        <v>0</v>
      </c>
      <c r="J55" s="41">
        <f t="shared" si="13"/>
        <v>14.909090909090901</v>
      </c>
      <c r="K55" s="42">
        <f>COUNTIF(Vertices[Betweenness Centrality],"&gt;= "&amp;J55)-COUNTIF(Vertices[Betweenness Centrality],"&gt;="&amp;J56)</f>
        <v>0</v>
      </c>
      <c r="L55" s="41">
        <f t="shared" si="14"/>
        <v>0.08666665454545447</v>
      </c>
      <c r="M55" s="42">
        <f>COUNTIF(Vertices[Closeness Centrality],"&gt;= "&amp;L55)-COUNTIF(Vertices[Closeness Centrality],"&gt;="&amp;L56)</f>
        <v>0</v>
      </c>
      <c r="N55" s="41">
        <f t="shared" si="15"/>
        <v>0.16848576363636364</v>
      </c>
      <c r="O55" s="42">
        <f>COUNTIF(Vertices[Eigenvector Centrality],"&gt;= "&amp;N55)-COUNTIF(Vertices[Eigenvector Centrality],"&gt;="&amp;N56)</f>
        <v>0</v>
      </c>
      <c r="P55" s="41">
        <f t="shared" si="16"/>
        <v>1.3587918545454545</v>
      </c>
      <c r="Q55" s="42">
        <f>COUNTIF(Vertices[PageRank],"&gt;= "&amp;P55)-COUNTIF(Vertices[PageRank],"&gt;="&amp;P56)</f>
        <v>0</v>
      </c>
      <c r="R55" s="41">
        <f t="shared" si="17"/>
        <v>0.7454545454545456</v>
      </c>
      <c r="S55" s="46">
        <f>COUNTIF(Vertices[Clustering Coefficient],"&gt;= "&amp;R55)-COUNTIF(Vertices[Clustering Coefficient],"&gt;="&amp;R56)</f>
        <v>0</v>
      </c>
      <c r="T55" s="41">
        <f ca="1" t="shared" si="18"/>
        <v>0.7454545454545456</v>
      </c>
      <c r="U55" s="42">
        <f ca="1" t="shared" si="0"/>
        <v>0</v>
      </c>
    </row>
    <row r="56" spans="1:21" ht="15">
      <c r="A56" s="35" t="s">
        <v>82</v>
      </c>
      <c r="B56" s="48">
        <f>IF(COUNT(Vertices[Degree])&gt;0,D57,NoMetricMessage)</f>
        <v>5</v>
      </c>
      <c r="D56" s="34">
        <f t="shared" si="10"/>
        <v>4.054545454545456</v>
      </c>
      <c r="E56" s="3">
        <f>COUNTIF(Vertices[Degree],"&gt;= "&amp;D56)-COUNTIF(Vertices[Degree],"&gt;="&amp;D57)</f>
        <v>0</v>
      </c>
      <c r="F56" s="39">
        <f t="shared" si="11"/>
        <v>4.054545454545456</v>
      </c>
      <c r="G56" s="40">
        <f>COUNTIF(Vertices[In-Degree],"&gt;= "&amp;F56)-COUNTIF(Vertices[In-Degree],"&gt;="&amp;F57)</f>
        <v>0</v>
      </c>
      <c r="H56" s="39">
        <f t="shared" si="12"/>
        <v>4.054545454545456</v>
      </c>
      <c r="I56" s="40">
        <f>COUNTIF(Vertices[Out-Degree],"&gt;= "&amp;H56)-COUNTIF(Vertices[Out-Degree],"&gt;="&amp;H57)</f>
        <v>0</v>
      </c>
      <c r="J56" s="39">
        <f t="shared" si="13"/>
        <v>15.272727272727264</v>
      </c>
      <c r="K56" s="40">
        <f>COUNTIF(Vertices[Betweenness Centrality],"&gt;= "&amp;J56)-COUNTIF(Vertices[Betweenness Centrality],"&gt;="&amp;J57)</f>
        <v>1</v>
      </c>
      <c r="L56" s="39">
        <f t="shared" si="14"/>
        <v>0.08761903636363629</v>
      </c>
      <c r="M56" s="40">
        <f>COUNTIF(Vertices[Closeness Centrality],"&gt;= "&amp;L56)-COUNTIF(Vertices[Closeness Centrality],"&gt;="&amp;L57)</f>
        <v>1</v>
      </c>
      <c r="N56" s="39">
        <f t="shared" si="15"/>
        <v>0.1722647090909091</v>
      </c>
      <c r="O56" s="40">
        <f>COUNTIF(Vertices[Eigenvector Centrality],"&gt;= "&amp;N56)-COUNTIF(Vertices[Eigenvector Centrality],"&gt;="&amp;N57)</f>
        <v>0</v>
      </c>
      <c r="P56" s="39">
        <f t="shared" si="16"/>
        <v>1.3786454363636362</v>
      </c>
      <c r="Q56" s="40">
        <f>COUNTIF(Vertices[PageRank],"&gt;= "&amp;P56)-COUNTIF(Vertices[PageRank],"&gt;="&amp;P57)</f>
        <v>0</v>
      </c>
      <c r="R56" s="39">
        <f t="shared" si="17"/>
        <v>0.7636363636363638</v>
      </c>
      <c r="S56" s="45">
        <f>COUNTIF(Vertices[Clustering Coefficient],"&gt;= "&amp;R56)-COUNTIF(Vertices[Clustering Coefficient],"&gt;="&amp;R57)</f>
        <v>0</v>
      </c>
      <c r="T56" s="39">
        <f ca="1" t="shared" si="18"/>
        <v>0.7636363636363638</v>
      </c>
      <c r="U56" s="40">
        <f ca="1" t="shared" si="0"/>
        <v>0</v>
      </c>
    </row>
    <row r="57" spans="1:21" ht="15">
      <c r="A57" s="35" t="s">
        <v>83</v>
      </c>
      <c r="B57" s="49">
        <f>_xlfn.IFERROR(AVERAGE(Vertices[Degree]),NoMetricMessage)</f>
        <v>2.75</v>
      </c>
      <c r="D57" s="34">
        <f>MAX(Vertices[Degree])</f>
        <v>5</v>
      </c>
      <c r="E57" s="3">
        <f>COUNTIF(Vertices[Degree],"&gt;= "&amp;D57)-COUNTIF(Vertices[Degree],"&gt;="&amp;D58)</f>
        <v>1</v>
      </c>
      <c r="F57" s="43">
        <f>MAX(Vertices[In-Degree])</f>
        <v>5</v>
      </c>
      <c r="G57" s="44">
        <f>COUNTIF(Vertices[In-Degree],"&gt;= "&amp;F57)-COUNTIF(Vertices[In-Degree],"&gt;="&amp;F58)</f>
        <v>1</v>
      </c>
      <c r="H57" s="43">
        <f>MAX(Vertices[Out-Degree])</f>
        <v>5</v>
      </c>
      <c r="I57" s="44">
        <f>COUNTIF(Vertices[Out-Degree],"&gt;= "&amp;H57)-COUNTIF(Vertices[Out-Degree],"&gt;="&amp;H58)</f>
        <v>1</v>
      </c>
      <c r="J57" s="43">
        <f>MAX(Vertices[Betweenness Centrality])</f>
        <v>20</v>
      </c>
      <c r="K57" s="44">
        <f>COUNTIF(Vertices[Betweenness Centrality],"&gt;= "&amp;J57)-COUNTIF(Vertices[Betweenness Centrality],"&gt;="&amp;J58)</f>
        <v>1</v>
      </c>
      <c r="L57" s="43">
        <f>MAX(Vertices[Closeness Centrality])</f>
        <v>0.1</v>
      </c>
      <c r="M57" s="44">
        <f>COUNTIF(Vertices[Closeness Centrality],"&gt;= "&amp;L57)-COUNTIF(Vertices[Closeness Centrality],"&gt;="&amp;L58)</f>
        <v>1</v>
      </c>
      <c r="N57" s="43">
        <f>MAX(Vertices[Eigenvector Centrality])</f>
        <v>0.221391</v>
      </c>
      <c r="O57" s="44">
        <f>COUNTIF(Vertices[Eigenvector Centrality],"&gt;= "&amp;N57)-COUNTIF(Vertices[Eigenvector Centrality],"&gt;="&amp;N58)</f>
        <v>1</v>
      </c>
      <c r="P57" s="43">
        <f>MAX(Vertices[PageRank])</f>
        <v>1.636742</v>
      </c>
      <c r="Q57" s="44">
        <f>COUNTIF(Vertices[PageRank],"&gt;= "&amp;P57)-COUNTIF(Vertices[PageRank],"&gt;="&amp;P58)</f>
        <v>1</v>
      </c>
      <c r="R57" s="43">
        <f>MAX(Vertices[Clustering Coefficient])</f>
        <v>1</v>
      </c>
      <c r="S57" s="47">
        <f>COUNTIF(Vertices[Clustering Coefficient],"&gt;= "&amp;R57)-COUNTIF(Vertices[Clustering Coefficient],"&gt;="&amp;R58)</f>
        <v>1</v>
      </c>
      <c r="T57" s="43">
        <f ca="1">MAX(INDIRECT(DynamicFilterSourceColumnRange))</f>
        <v>1</v>
      </c>
      <c r="U57" s="44">
        <f ca="1" t="shared" si="0"/>
        <v>1</v>
      </c>
    </row>
    <row r="58" spans="1:2" ht="15">
      <c r="A58" s="35" t="s">
        <v>84</v>
      </c>
      <c r="B58" s="49">
        <f>_xlfn.IFERROR(MEDIAN(Vertices[Degree]),NoMetricMessage)</f>
        <v>3</v>
      </c>
    </row>
    <row r="69" spans="1:2" ht="15">
      <c r="A69" s="35" t="s">
        <v>88</v>
      </c>
      <c r="B69" s="48">
        <f>IF(COUNT(Vertices[In-Degree])&gt;0,F2,NoMetricMessage)</f>
        <v>1</v>
      </c>
    </row>
    <row r="70" spans="1:2" ht="15">
      <c r="A70" s="35" t="s">
        <v>89</v>
      </c>
      <c r="B70" s="48">
        <f>IF(COUNT(Vertices[In-Degree])&gt;0,F57,NoMetricMessage)</f>
        <v>5</v>
      </c>
    </row>
    <row r="71" spans="1:2" ht="15">
      <c r="A71" s="35" t="s">
        <v>90</v>
      </c>
      <c r="B71" s="49">
        <f>_xlfn.IFERROR(AVERAGE(Vertices[In-Degree]),NoMetricMessage)</f>
        <v>2.625</v>
      </c>
    </row>
    <row r="72" spans="1:2" ht="15">
      <c r="A72" s="35" t="s">
        <v>91</v>
      </c>
      <c r="B72" s="49">
        <f>_xlfn.IFERROR(MEDIAN(Vertices[In-Degree]),NoMetricMessage)</f>
        <v>2.5</v>
      </c>
    </row>
    <row r="83" spans="1:2" ht="15">
      <c r="A83" s="35" t="s">
        <v>94</v>
      </c>
      <c r="B83" s="48">
        <f>IF(COUNT(Vertices[Out-Degree])&gt;0,H2,NoMetricMessage)</f>
        <v>1</v>
      </c>
    </row>
    <row r="84" spans="1:2" ht="15">
      <c r="A84" s="35" t="s">
        <v>95</v>
      </c>
      <c r="B84" s="48">
        <f>IF(COUNT(Vertices[Out-Degree])&gt;0,H57,NoMetricMessage)</f>
        <v>5</v>
      </c>
    </row>
    <row r="85" spans="1:2" ht="15">
      <c r="A85" s="35" t="s">
        <v>96</v>
      </c>
      <c r="B85" s="49">
        <f>_xlfn.IFERROR(AVERAGE(Vertices[Out-Degree]),NoMetricMessage)</f>
        <v>2.625</v>
      </c>
    </row>
    <row r="86" spans="1:2" ht="15">
      <c r="A86" s="35" t="s">
        <v>97</v>
      </c>
      <c r="B86" s="49">
        <f>_xlfn.IFERROR(MEDIAN(Vertices[Out-Degree]),NoMetricMessage)</f>
        <v>2.5</v>
      </c>
    </row>
    <row r="97" spans="1:2" ht="15">
      <c r="A97" s="35" t="s">
        <v>100</v>
      </c>
      <c r="B97" s="49">
        <f>IF(COUNT(Vertices[Betweenness Centrality])&gt;0,J2,NoMetricMessage)</f>
        <v>0</v>
      </c>
    </row>
    <row r="98" spans="1:2" ht="15">
      <c r="A98" s="35" t="s">
        <v>101</v>
      </c>
      <c r="B98" s="49">
        <f>IF(COUNT(Vertices[Betweenness Centrality])&gt;0,J57,NoMetricMessage)</f>
        <v>20</v>
      </c>
    </row>
    <row r="99" spans="1:2" ht="15">
      <c r="A99" s="35" t="s">
        <v>102</v>
      </c>
      <c r="B99" s="49">
        <f>_xlfn.IFERROR(AVERAGE(Vertices[Betweenness Centrality]),NoMetricMessage)</f>
        <v>7</v>
      </c>
    </row>
    <row r="100" spans="1:2" ht="15">
      <c r="A100" s="35" t="s">
        <v>103</v>
      </c>
      <c r="B100" s="49">
        <f>_xlfn.IFERROR(MEDIAN(Vertices[Betweenness Centrality]),NoMetricMessage)</f>
        <v>2</v>
      </c>
    </row>
    <row r="111" spans="1:2" ht="15">
      <c r="A111" s="35" t="s">
        <v>106</v>
      </c>
      <c r="B111" s="49">
        <f>IF(COUNT(Vertices[Closeness Centrality])&gt;0,L2,NoMetricMessage)</f>
        <v>0.047619</v>
      </c>
    </row>
    <row r="112" spans="1:2" ht="15">
      <c r="A112" s="35" t="s">
        <v>107</v>
      </c>
      <c r="B112" s="49">
        <f>IF(COUNT(Vertices[Closeness Centrality])&gt;0,L57,NoMetricMessage)</f>
        <v>0.1</v>
      </c>
    </row>
    <row r="113" spans="1:2" ht="15">
      <c r="A113" s="35" t="s">
        <v>108</v>
      </c>
      <c r="B113" s="49">
        <f>_xlfn.IFERROR(AVERAGE(Vertices[Closeness Centrality]),NoMetricMessage)</f>
        <v>0.07475662500000001</v>
      </c>
    </row>
    <row r="114" spans="1:2" ht="15">
      <c r="A114" s="35" t="s">
        <v>109</v>
      </c>
      <c r="B114" s="49">
        <f>_xlfn.IFERROR(MEDIAN(Vertices[Closeness Centrality]),NoMetricMessage)</f>
        <v>0.071429</v>
      </c>
    </row>
    <row r="125" spans="1:2" ht="15">
      <c r="A125" s="35" t="s">
        <v>112</v>
      </c>
      <c r="B125" s="49">
        <f>IF(COUNT(Vertices[Eigenvector Centrality])&gt;0,N2,NoMetricMessage)</f>
        <v>0.013549</v>
      </c>
    </row>
    <row r="126" spans="1:2" ht="15">
      <c r="A126" s="35" t="s">
        <v>113</v>
      </c>
      <c r="B126" s="49">
        <f>IF(COUNT(Vertices[Eigenvector Centrality])&gt;0,N57,NoMetricMessage)</f>
        <v>0.221391</v>
      </c>
    </row>
    <row r="127" spans="1:2" ht="15">
      <c r="A127" s="35" t="s">
        <v>114</v>
      </c>
      <c r="B127" s="49">
        <f>_xlfn.IFERROR(AVERAGE(Vertices[Eigenvector Centrality]),NoMetricMessage)</f>
        <v>0.12499987500000001</v>
      </c>
    </row>
    <row r="128" spans="1:2" ht="15">
      <c r="A128" s="35" t="s">
        <v>115</v>
      </c>
      <c r="B128" s="49">
        <f>_xlfn.IFERROR(MEDIAN(Vertices[Eigenvector Centrality]),NoMetricMessage)</f>
        <v>0.1418855</v>
      </c>
    </row>
    <row r="139" spans="1:2" ht="15">
      <c r="A139" s="35" t="s">
        <v>139</v>
      </c>
      <c r="B139" s="49">
        <f>IF(COUNT(Vertices[PageRank])&gt;0,P2,NoMetricMessage)</f>
        <v>0.544795</v>
      </c>
    </row>
    <row r="140" spans="1:2" ht="15">
      <c r="A140" s="35" t="s">
        <v>140</v>
      </c>
      <c r="B140" s="49">
        <f>IF(COUNT(Vertices[PageRank])&gt;0,P57,NoMetricMessage)</f>
        <v>1.636742</v>
      </c>
    </row>
    <row r="141" spans="1:2" ht="15">
      <c r="A141" s="35" t="s">
        <v>141</v>
      </c>
      <c r="B141" s="49">
        <f>_xlfn.IFERROR(AVERAGE(Vertices[PageRank]),NoMetricMessage)</f>
        <v>0.9999295</v>
      </c>
    </row>
    <row r="142" spans="1:2" ht="15">
      <c r="A142" s="35" t="s">
        <v>142</v>
      </c>
      <c r="B142" s="49">
        <f>_xlfn.IFERROR(MEDIAN(Vertices[PageRank]),NoMetricMessage)</f>
        <v>1.0136805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0.46041666666666664</v>
      </c>
    </row>
    <row r="156" spans="1:2" ht="15">
      <c r="A156" s="35" t="s">
        <v>121</v>
      </c>
      <c r="B156" s="49">
        <f>_xlfn.IFERROR(MEDIAN(Vertices[Clustering Coefficient]),NoMetricMessage)</f>
        <v>0.5083333333333333</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130</v>
      </c>
      <c r="C1" s="4" t="s">
        <v>7</v>
      </c>
      <c r="D1" s="4" t="s">
        <v>9</v>
      </c>
      <c r="E1" s="4" t="s">
        <v>163</v>
      </c>
      <c r="F1" s="5" t="s">
        <v>168</v>
      </c>
      <c r="G1" s="4" t="s">
        <v>14</v>
      </c>
      <c r="H1" s="4" t="s">
        <v>67</v>
      </c>
      <c r="J1" s="4" t="s">
        <v>18</v>
      </c>
      <c r="K1" s="4" t="s">
        <v>17</v>
      </c>
      <c r="M1" s="4" t="s">
        <v>22</v>
      </c>
      <c r="N1" s="4" t="s">
        <v>23</v>
      </c>
      <c r="O1" s="4" t="s">
        <v>24</v>
      </c>
      <c r="P1" s="4" t="s">
        <v>25</v>
      </c>
    </row>
    <row r="2" spans="1:16" ht="15">
      <c r="A2" s="1" t="s">
        <v>51</v>
      </c>
      <c r="B2" s="1" t="s">
        <v>131</v>
      </c>
      <c r="C2" t="s">
        <v>54</v>
      </c>
      <c r="D2" t="s">
        <v>55</v>
      </c>
      <c r="E2" t="s">
        <v>55</v>
      </c>
      <c r="F2" s="1" t="s">
        <v>51</v>
      </c>
      <c r="G2" t="s">
        <v>65</v>
      </c>
      <c r="H2" t="s">
        <v>158</v>
      </c>
      <c r="J2" t="s">
        <v>19</v>
      </c>
      <c r="K2">
        <v>108</v>
      </c>
      <c r="M2" t="s">
        <v>238</v>
      </c>
      <c r="N2" t="s">
        <v>266</v>
      </c>
      <c r="O2">
        <v>1</v>
      </c>
      <c r="P2">
        <v>5</v>
      </c>
    </row>
    <row r="3" spans="1:16" ht="15">
      <c r="A3" s="1" t="s">
        <v>52</v>
      </c>
      <c r="B3" s="1" t="s">
        <v>132</v>
      </c>
      <c r="C3" t="s">
        <v>52</v>
      </c>
      <c r="D3" t="s">
        <v>56</v>
      </c>
      <c r="E3" t="s">
        <v>56</v>
      </c>
      <c r="F3" s="1" t="s">
        <v>52</v>
      </c>
      <c r="G3" t="s">
        <v>66</v>
      </c>
      <c r="H3" t="s">
        <v>68</v>
      </c>
      <c r="J3" t="s">
        <v>30</v>
      </c>
      <c r="K3" t="s">
        <v>270</v>
      </c>
      <c r="M3" t="s">
        <v>145</v>
      </c>
      <c r="N3" t="s">
        <v>45</v>
      </c>
      <c r="O3">
        <v>1</v>
      </c>
      <c r="P3">
        <v>20</v>
      </c>
    </row>
    <row r="4" spans="1:16" ht="15">
      <c r="A4" s="1" t="s">
        <v>53</v>
      </c>
      <c r="B4" s="1" t="s">
        <v>133</v>
      </c>
      <c r="C4" t="s">
        <v>53</v>
      </c>
      <c r="D4" t="s">
        <v>57</v>
      </c>
      <c r="E4" t="s">
        <v>57</v>
      </c>
      <c r="F4" s="1" t="s">
        <v>53</v>
      </c>
      <c r="G4">
        <v>0</v>
      </c>
      <c r="H4" t="s">
        <v>69</v>
      </c>
      <c r="J4" s="12" t="s">
        <v>78</v>
      </c>
      <c r="K4" s="12"/>
      <c r="M4" t="s">
        <v>145</v>
      </c>
      <c r="N4" t="s">
        <v>15</v>
      </c>
      <c r="O4">
        <v>208.98567199707</v>
      </c>
      <c r="P4">
        <v>9853.0263671875</v>
      </c>
    </row>
    <row r="5" spans="1:16" ht="409.5">
      <c r="A5">
        <v>1</v>
      </c>
      <c r="B5" s="1" t="s">
        <v>134</v>
      </c>
      <c r="C5" t="s">
        <v>51</v>
      </c>
      <c r="D5" t="s">
        <v>58</v>
      </c>
      <c r="E5" t="s">
        <v>58</v>
      </c>
      <c r="F5">
        <v>1</v>
      </c>
      <c r="G5">
        <v>1</v>
      </c>
      <c r="H5" t="s">
        <v>70</v>
      </c>
      <c r="J5" t="s">
        <v>171</v>
      </c>
      <c r="K5" s="13" t="s">
        <v>309</v>
      </c>
      <c r="M5" t="s">
        <v>145</v>
      </c>
      <c r="N5" t="s">
        <v>16</v>
      </c>
      <c r="O5">
        <v>176.976150512695</v>
      </c>
      <c r="P5">
        <v>9772.78515625</v>
      </c>
    </row>
    <row r="6" spans="1:18" ht="15">
      <c r="A6">
        <v>0</v>
      </c>
      <c r="B6" s="1" t="s">
        <v>135</v>
      </c>
      <c r="C6">
        <v>1</v>
      </c>
      <c r="D6" t="s">
        <v>59</v>
      </c>
      <c r="E6" t="s">
        <v>59</v>
      </c>
      <c r="F6">
        <v>0</v>
      </c>
      <c r="H6" t="s">
        <v>71</v>
      </c>
      <c r="J6" t="s">
        <v>172</v>
      </c>
      <c r="K6">
        <v>3</v>
      </c>
      <c r="M6" t="s">
        <v>145</v>
      </c>
      <c r="N6" t="s">
        <v>31</v>
      </c>
      <c r="O6">
        <v>1</v>
      </c>
      <c r="P6">
        <v>5</v>
      </c>
      <c r="R6" t="s">
        <v>128</v>
      </c>
    </row>
    <row r="7" spans="1:16" ht="15">
      <c r="A7">
        <v>2</v>
      </c>
      <c r="B7">
        <v>1</v>
      </c>
      <c r="C7">
        <v>0</v>
      </c>
      <c r="D7" t="s">
        <v>60</v>
      </c>
      <c r="E7" t="s">
        <v>60</v>
      </c>
      <c r="F7">
        <v>2</v>
      </c>
      <c r="H7" t="s">
        <v>72</v>
      </c>
      <c r="J7" t="s">
        <v>173</v>
      </c>
      <c r="K7" t="s">
        <v>271</v>
      </c>
      <c r="M7" t="s">
        <v>145</v>
      </c>
      <c r="N7" t="s">
        <v>34</v>
      </c>
      <c r="O7">
        <v>0</v>
      </c>
      <c r="P7">
        <v>10</v>
      </c>
    </row>
    <row r="8" spans="1:16" ht="409.5">
      <c r="A8"/>
      <c r="B8">
        <v>2</v>
      </c>
      <c r="C8">
        <v>2</v>
      </c>
      <c r="D8" t="s">
        <v>61</v>
      </c>
      <c r="E8" t="s">
        <v>61</v>
      </c>
      <c r="H8" t="s">
        <v>73</v>
      </c>
      <c r="J8" t="s">
        <v>267</v>
      </c>
      <c r="K8" s="13" t="s">
        <v>310</v>
      </c>
      <c r="M8" t="s">
        <v>145</v>
      </c>
      <c r="N8" t="s">
        <v>35</v>
      </c>
      <c r="O8">
        <v>0.047619</v>
      </c>
      <c r="P8">
        <v>0.1</v>
      </c>
    </row>
    <row r="9" spans="1:16" ht="15">
      <c r="A9"/>
      <c r="B9">
        <v>3</v>
      </c>
      <c r="C9">
        <v>4</v>
      </c>
      <c r="D9" t="s">
        <v>62</v>
      </c>
      <c r="E9" t="s">
        <v>62</v>
      </c>
      <c r="H9" t="s">
        <v>74</v>
      </c>
      <c r="J9" t="s">
        <v>268</v>
      </c>
      <c r="K9" t="s">
        <v>305</v>
      </c>
      <c r="M9" t="s">
        <v>145</v>
      </c>
      <c r="N9" t="s">
        <v>36</v>
      </c>
      <c r="O9">
        <v>0.013549</v>
      </c>
      <c r="P9">
        <v>0.221391</v>
      </c>
    </row>
    <row r="10" spans="1:16" ht="409.5">
      <c r="A10"/>
      <c r="B10">
        <v>4</v>
      </c>
      <c r="D10" t="s">
        <v>63</v>
      </c>
      <c r="E10" t="s">
        <v>63</v>
      </c>
      <c r="H10" t="s">
        <v>75</v>
      </c>
      <c r="J10" t="s">
        <v>269</v>
      </c>
      <c r="K10" s="13" t="s">
        <v>311</v>
      </c>
      <c r="M10" t="s">
        <v>145</v>
      </c>
      <c r="N10" t="s">
        <v>136</v>
      </c>
      <c r="O10">
        <v>0.544795</v>
      </c>
      <c r="P10">
        <v>1.636742</v>
      </c>
    </row>
    <row r="11" spans="1:16" ht="15">
      <c r="A11"/>
      <c r="B11">
        <v>5</v>
      </c>
      <c r="D11" t="s">
        <v>46</v>
      </c>
      <c r="E11">
        <v>1</v>
      </c>
      <c r="H11" t="s">
        <v>76</v>
      </c>
      <c r="M11" t="s">
        <v>145</v>
      </c>
      <c r="N11" t="s">
        <v>37</v>
      </c>
      <c r="O11">
        <v>0</v>
      </c>
      <c r="P11">
        <v>1</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08" t="s">
        <v>194</v>
      </c>
      <c r="B1" s="108" t="s">
        <v>195</v>
      </c>
      <c r="C1" s="108" t="s">
        <v>239</v>
      </c>
      <c r="D1" s="108" t="s">
        <v>241</v>
      </c>
      <c r="E1" s="108" t="s">
        <v>240</v>
      </c>
      <c r="F1" s="108" t="s">
        <v>243</v>
      </c>
      <c r="G1" s="108" t="s">
        <v>242</v>
      </c>
      <c r="H1" s="108" t="s">
        <v>244</v>
      </c>
    </row>
    <row r="2" spans="1:8" ht="15">
      <c r="A2" s="108"/>
      <c r="B2" s="108"/>
      <c r="C2" s="108"/>
      <c r="D2" s="108"/>
      <c r="E2" s="108"/>
      <c r="F2" s="108"/>
      <c r="G2" s="108"/>
      <c r="H2" s="108"/>
    </row>
    <row r="4" spans="1:8" ht="15" customHeight="1">
      <c r="A4" s="108" t="s">
        <v>197</v>
      </c>
      <c r="B4" s="108" t="s">
        <v>195</v>
      </c>
      <c r="C4" s="108" t="s">
        <v>245</v>
      </c>
      <c r="D4" s="108" t="s">
        <v>241</v>
      </c>
      <c r="E4" s="108" t="s">
        <v>246</v>
      </c>
      <c r="F4" s="108" t="s">
        <v>243</v>
      </c>
      <c r="G4" s="108" t="s">
        <v>247</v>
      </c>
      <c r="H4" s="108" t="s">
        <v>244</v>
      </c>
    </row>
    <row r="5" spans="1:8" ht="15">
      <c r="A5" s="108"/>
      <c r="B5" s="108"/>
      <c r="C5" s="108"/>
      <c r="D5" s="108"/>
      <c r="E5" s="108"/>
      <c r="F5" s="108"/>
      <c r="G5" s="108"/>
      <c r="H5" s="108"/>
    </row>
    <row r="7" spans="1:8" ht="15" customHeight="1">
      <c r="A7" s="108" t="s">
        <v>199</v>
      </c>
      <c r="B7" s="108" t="s">
        <v>195</v>
      </c>
      <c r="C7" s="108" t="s">
        <v>248</v>
      </c>
      <c r="D7" s="108" t="s">
        <v>241</v>
      </c>
      <c r="E7" s="108" t="s">
        <v>249</v>
      </c>
      <c r="F7" s="108" t="s">
        <v>243</v>
      </c>
      <c r="G7" s="108" t="s">
        <v>250</v>
      </c>
      <c r="H7" s="108" t="s">
        <v>244</v>
      </c>
    </row>
    <row r="8" spans="1:8" ht="15">
      <c r="A8" s="108"/>
      <c r="B8" s="108"/>
      <c r="C8" s="108"/>
      <c r="D8" s="108"/>
      <c r="E8" s="108"/>
      <c r="F8" s="108"/>
      <c r="G8" s="108"/>
      <c r="H8" s="108"/>
    </row>
    <row r="10" spans="1:8" ht="15" customHeight="1">
      <c r="A10" s="13" t="s">
        <v>201</v>
      </c>
      <c r="B10" s="13" t="s">
        <v>195</v>
      </c>
      <c r="C10" s="108" t="s">
        <v>251</v>
      </c>
      <c r="D10" s="108" t="s">
        <v>241</v>
      </c>
      <c r="E10" s="108" t="s">
        <v>252</v>
      </c>
      <c r="F10" s="108" t="s">
        <v>243</v>
      </c>
      <c r="G10" s="108" t="s">
        <v>253</v>
      </c>
      <c r="H10" s="108" t="s">
        <v>244</v>
      </c>
    </row>
    <row r="11" spans="1:8" ht="15">
      <c r="A11" s="111" t="s">
        <v>202</v>
      </c>
      <c r="B11" s="111">
        <v>0</v>
      </c>
      <c r="C11" s="111"/>
      <c r="D11" s="111"/>
      <c r="E11" s="111"/>
      <c r="F11" s="111"/>
      <c r="G11" s="111"/>
      <c r="H11" s="111"/>
    </row>
    <row r="12" spans="1:8" ht="15">
      <c r="A12" s="111" t="s">
        <v>203</v>
      </c>
      <c r="B12" s="111">
        <v>0</v>
      </c>
      <c r="C12" s="111"/>
      <c r="D12" s="111"/>
      <c r="E12" s="111"/>
      <c r="F12" s="111"/>
      <c r="G12" s="111"/>
      <c r="H12" s="111"/>
    </row>
    <row r="13" spans="1:8" ht="15">
      <c r="A13" s="111" t="s">
        <v>204</v>
      </c>
      <c r="B13" s="111">
        <v>0</v>
      </c>
      <c r="C13" s="111"/>
      <c r="D13" s="111"/>
      <c r="E13" s="111"/>
      <c r="F13" s="111"/>
      <c r="G13" s="111"/>
      <c r="H13" s="111"/>
    </row>
    <row r="14" spans="1:8" ht="15">
      <c r="A14" s="111" t="s">
        <v>205</v>
      </c>
      <c r="B14" s="111">
        <v>0</v>
      </c>
      <c r="C14" s="111"/>
      <c r="D14" s="111"/>
      <c r="E14" s="111"/>
      <c r="F14" s="111"/>
      <c r="G14" s="111"/>
      <c r="H14" s="111"/>
    </row>
    <row r="15" spans="1:8" ht="15">
      <c r="A15" s="111" t="s">
        <v>206</v>
      </c>
      <c r="B15" s="111">
        <v>0</v>
      </c>
      <c r="C15" s="111"/>
      <c r="D15" s="111"/>
      <c r="E15" s="111"/>
      <c r="F15" s="111"/>
      <c r="G15" s="111"/>
      <c r="H15" s="111"/>
    </row>
    <row r="18" spans="1:8" ht="15" customHeight="1">
      <c r="A18" s="108" t="s">
        <v>208</v>
      </c>
      <c r="B18" s="108" t="s">
        <v>195</v>
      </c>
      <c r="C18" s="108" t="s">
        <v>254</v>
      </c>
      <c r="D18" s="108" t="s">
        <v>241</v>
      </c>
      <c r="E18" s="108" t="s">
        <v>255</v>
      </c>
      <c r="F18" s="108" t="s">
        <v>243</v>
      </c>
      <c r="G18" s="108" t="s">
        <v>256</v>
      </c>
      <c r="H18" s="108" t="s">
        <v>244</v>
      </c>
    </row>
    <row r="19" spans="1:8" ht="15">
      <c r="A19" s="108"/>
      <c r="B19" s="108"/>
      <c r="C19" s="108"/>
      <c r="D19" s="108"/>
      <c r="E19" s="108"/>
      <c r="F19" s="108"/>
      <c r="G19" s="108"/>
      <c r="H19" s="108"/>
    </row>
    <row r="21" spans="1:8" ht="15" customHeight="1">
      <c r="A21" s="108" t="s">
        <v>210</v>
      </c>
      <c r="B21" s="108" t="s">
        <v>195</v>
      </c>
      <c r="C21" s="108" t="s">
        <v>257</v>
      </c>
      <c r="D21" s="108" t="s">
        <v>241</v>
      </c>
      <c r="E21" s="108" t="s">
        <v>258</v>
      </c>
      <c r="F21" s="108" t="s">
        <v>243</v>
      </c>
      <c r="G21" s="108" t="s">
        <v>261</v>
      </c>
      <c r="H21" s="108" t="s">
        <v>244</v>
      </c>
    </row>
    <row r="22" spans="1:8" ht="15">
      <c r="A22" s="108"/>
      <c r="B22" s="108"/>
      <c r="C22" s="108"/>
      <c r="D22" s="108"/>
      <c r="E22" s="108"/>
      <c r="F22" s="108"/>
      <c r="G22" s="108"/>
      <c r="H22" s="108"/>
    </row>
    <row r="24" spans="1:8" ht="15" customHeight="1">
      <c r="A24" s="108" t="s">
        <v>211</v>
      </c>
      <c r="B24" s="108" t="s">
        <v>195</v>
      </c>
      <c r="C24" s="108" t="s">
        <v>259</v>
      </c>
      <c r="D24" s="108" t="s">
        <v>241</v>
      </c>
      <c r="E24" s="108" t="s">
        <v>260</v>
      </c>
      <c r="F24" s="108" t="s">
        <v>243</v>
      </c>
      <c r="G24" s="108" t="s">
        <v>262</v>
      </c>
      <c r="H24" s="108" t="s">
        <v>244</v>
      </c>
    </row>
    <row r="25" spans="1:8" ht="15">
      <c r="A25" s="108"/>
      <c r="B25" s="108"/>
      <c r="C25" s="108"/>
      <c r="D25" s="108"/>
      <c r="E25" s="108"/>
      <c r="F25" s="108"/>
      <c r="G25" s="108"/>
      <c r="H25" s="108"/>
    </row>
    <row r="27" spans="1:8" ht="15" customHeight="1">
      <c r="A27" s="108" t="s">
        <v>214</v>
      </c>
      <c r="B27" s="108" t="s">
        <v>195</v>
      </c>
      <c r="C27" s="108" t="s">
        <v>263</v>
      </c>
      <c r="D27" s="108" t="s">
        <v>241</v>
      </c>
      <c r="E27" s="108" t="s">
        <v>264</v>
      </c>
      <c r="F27" s="108" t="s">
        <v>243</v>
      </c>
      <c r="G27" s="108" t="s">
        <v>265</v>
      </c>
      <c r="H27" s="108" t="s">
        <v>244</v>
      </c>
    </row>
    <row r="28" spans="1:8" ht="15">
      <c r="A28" s="112"/>
      <c r="B28" s="108"/>
      <c r="C28" s="112"/>
      <c r="D28" s="108"/>
      <c r="E28" s="112"/>
      <c r="F28" s="108"/>
      <c r="G28" s="112"/>
      <c r="H28" s="108"/>
    </row>
  </sheetData>
  <printOptions/>
  <pageMargins left="0.7" right="0.7" top="0.75" bottom="0.75" header="0.3" footer="0.3"/>
  <pageSetup orientation="portrait" paperSize="9"/>
  <tableParts>
    <tablePart r:id="rId8"/>
    <tablePart r:id="rId4"/>
    <tablePart r:id="rId7"/>
    <tablePart r:id="rId6"/>
    <tablePart r:id="rId5"/>
    <tablePart r:id="rId1"/>
    <tablePart r:id="rId3"/>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236</v>
      </c>
      <c r="B2" s="127" t="s">
        <v>237</v>
      </c>
      <c r="C2" s="67" t="s">
        <v>238</v>
      </c>
    </row>
    <row r="3" spans="1:3" ht="15">
      <c r="A3" s="126" t="s">
        <v>227</v>
      </c>
      <c r="B3" s="126" t="s">
        <v>227</v>
      </c>
      <c r="C3" s="36">
        <v>12</v>
      </c>
    </row>
    <row r="4" spans="1:3" ht="15">
      <c r="A4" s="129" t="s">
        <v>227</v>
      </c>
      <c r="B4" s="128" t="s">
        <v>234</v>
      </c>
      <c r="C4" s="36">
        <v>2</v>
      </c>
    </row>
    <row r="5" spans="1:3" ht="15">
      <c r="A5" s="129" t="s">
        <v>228</v>
      </c>
      <c r="B5" s="128" t="s">
        <v>228</v>
      </c>
      <c r="C5" s="36">
        <v>4</v>
      </c>
    </row>
    <row r="6" spans="1:3" ht="15">
      <c r="A6" s="129" t="s">
        <v>228</v>
      </c>
      <c r="B6" s="128" t="s">
        <v>234</v>
      </c>
      <c r="C6" s="36">
        <v>1</v>
      </c>
    </row>
    <row r="7" spans="1:3" ht="15">
      <c r="A7" s="129" t="s">
        <v>234</v>
      </c>
      <c r="B7" s="128" t="s">
        <v>227</v>
      </c>
      <c r="C7" s="36">
        <v>3</v>
      </c>
    </row>
    <row r="8" spans="1:3" ht="15">
      <c r="A8" s="129" t="s">
        <v>234</v>
      </c>
      <c r="B8" s="128" t="s">
        <v>228</v>
      </c>
      <c r="C8" s="36">
        <v>1</v>
      </c>
    </row>
    <row r="9" spans="1:3" ht="15">
      <c r="A9" s="129" t="s">
        <v>234</v>
      </c>
      <c r="B9" s="128" t="s">
        <v>234</v>
      </c>
      <c r="C9" s="36">
        <v>2</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0B043E-083F-43D6-B736-3C140B4433D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cp:lastModifiedBy>
  <dcterms:created xsi:type="dcterms:W3CDTF">2008-01-30T00:41:58Z</dcterms:created>
  <dcterms:modified xsi:type="dcterms:W3CDTF">2019-02-27T18:08:38Z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