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11640" windowHeight="7050" tabRatio="739"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<sst xmlns="http://schemas.openxmlformats.org/spreadsheetml/2006/main" count="669" uniqueCount="285">
  <si>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</si>
  <si>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</si>
  <si>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</si>
  <si>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</si>
  <si>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</si>
  <si>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</si>
  <si>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</si>
  <si>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</si>
  <si>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</si>
  <si>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</si>
  <si>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</si>
  <si>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</si>
  <si>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</si>
  <si>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</si>
  <si>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</si>
  <si>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</si>
  <si>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</si>
  <si>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</si>
  <si>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</si>
  <si>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</si>
  <si>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</si>
  <si>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</si>
  <si>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</si>
  <si>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</si>
  <si>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</si>
  <si>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</si>
  <si>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</si>
  <si>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</si>
  <si>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</si>
  <si>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</si>
  <si>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</si>
  <si>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</si>
  <si>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</si>
  <si>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</si>
  <si>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</si>
  <si>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</si>
  <si>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</si>
  <si>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</si>
  <si>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</si>
  <si>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</si>
  <si>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</si>
  <si>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</si>
  <si>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</si>
  <si>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</si>
  <si>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</si>
  <si>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</si>
  <si>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</si>
  <si>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</si>
  <si>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</si>
  <si>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</si>
  <si>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</si>
  <si>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</si>
  <si>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</si>
  <si>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</si>
  <si>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</si>
  <si>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</si>
  <si>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</si>
  <si>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</si>
  <si>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</si>
  <si>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</si>
  <si>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</si>
  <si>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</si>
  <si>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</si>
  <si>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</si>
  <si>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</si>
  <si>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</si>
  <si>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</si>
  <si>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</si>
  <si>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</si>
  <si>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</si>
  <si>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</si>
  <si>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</si>
  <si>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</si>
  <si>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</si>
  <si>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</si>
  <si>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</si>
  <si>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</si>
  <si>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</si>
  <si>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</si>
  <si>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</si>
  <si>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</si>
  <si>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</si>
  <si>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</si>
  <si>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</si>
  <si>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</si>
  <si>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</si>
  <si>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</si>
  <si>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</si>
  <si>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</si>
  <si>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</si>
  <si>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</si>
  <si>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</si>
  <si>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</si>
  <si>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</si>
  <si>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</si>
  <si>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</si>
  <si>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</si>
  <si>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</si>
  <si>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</si>
  <si>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</si>
  <si>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</si>
  <si>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</si>
  <si>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</si>
  <si>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</si>
  <si>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</si>
  <si>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</si>
  <si>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</si>
  <si>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</si>
  <si>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</si>
  <si>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</si>
  <si>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</si>
  <si>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</si>
  <si>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</si>
  <si>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</si>
  <si>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</si>
  <si>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</si>
  <si>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</si>
  <si>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</si>
  <si>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</si>
  <si>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</si>
  <si>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</si>
  <si>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</si>
  <si>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</si>
  <si>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</si>
  <si>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</si>
  <si>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</si>
  <si>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</si>
  <si>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</si>
  <si>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</si>
  <si>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</si>
  <si>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</si>
  <si>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</si>
  <si>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</si>
  <si>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</si>
  <si>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</si>
  <si>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</si>
  <si>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</si>
  <si>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</si>
  <si>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</si>
  <si>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</si>
  <si>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</si>
  <si>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</si>
  <si>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</si>
  <si>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</si>
  <si>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</si>
  <si>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</si>
  <si>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</si>
  <si>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</si>
  <si>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</si>
  <si>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</si>
  <si>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</si>
  <si>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</si>
  <si>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</si>
  <si>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</si>
  <si>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</si>
  <si>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</si>
  <si>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</si>
  <si>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</si>
  <si>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</si>
  <si>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</si>
  <si>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</si>
  <si>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</si>
  <si>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</si>
  <si>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</si>
  <si>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</si>
  <si>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</si>
  <si>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</si>
  <si>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</si>
  <si>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</si>
  <si>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</si>
  <si>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</si>
  <si>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</si>
  <si>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</si>
  <si>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Type</t>
  </si>
  <si>
    <t>Frequency</t>
  </si>
  <si>
    <t>Hyde</t>
  </si>
  <si>
    <t>Kelso</t>
  </si>
  <si>
    <t>Donna</t>
  </si>
  <si>
    <t>Kitty Forman</t>
  </si>
  <si>
    <t>Eric Forman</t>
  </si>
  <si>
    <t>Grandma Forman</t>
  </si>
  <si>
    <t>Red Forman</t>
  </si>
  <si>
    <t>Jackie</t>
  </si>
  <si>
    <t>Grandpa Forman</t>
  </si>
  <si>
    <t>Fes</t>
  </si>
  <si>
    <t>Kiss</t>
  </si>
  <si>
    <t>Talk</t>
  </si>
  <si>
    <t>Pranks</t>
  </si>
  <si>
    <t>Beats up</t>
  </si>
  <si>
    <t>Gives food</t>
  </si>
  <si>
    <t>Serves dinner</t>
  </si>
  <si>
    <t>Kisses on cheek</t>
  </si>
  <si>
    <t>Yells at</t>
  </si>
  <si>
    <t>Hits</t>
  </si>
  <si>
    <t>Hug</t>
  </si>
  <si>
    <t>Read book</t>
  </si>
  <si>
    <t>Drives</t>
  </si>
  <si>
    <t>Graph History</t>
  </si>
  <si>
    <t>G1</t>
  </si>
  <si>
    <t>G2</t>
  </si>
  <si>
    <t>0, 12, 96</t>
  </si>
  <si>
    <t>0, 136, 227</t>
  </si>
  <si>
    <t>Vertex Group</t>
  </si>
  <si>
    <t>Vertex 1 Group</t>
  </si>
  <si>
    <t>Vertex 2 Group</t>
  </si>
  <si>
    <t>Autofill Workbook Results</t>
  </si>
  <si>
    <t>Workbook Settings 2</t>
  </si>
  <si>
    <t>Group 1</t>
  </si>
  <si>
    <t>Group 2</t>
  </si>
  <si>
    <t>Edges</t>
  </si>
  <si>
    <t>Graph Type</t>
  </si>
  <si>
    <t>Modularity</t>
  </si>
  <si>
    <t>NodeXL Version</t>
  </si>
  <si>
    <t>1.0.1.409</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</si>
  <si>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</si>
  <si>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</si>
  <si>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</si>
  <si>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</si>
  <si>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</si>
  <si>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</si>
  <si>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</si>
  <si>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</si>
  <si>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</si>
  <si>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</si>
  <si>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</si>
  <si>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</si>
  <si>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</si>
  <si>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</si>
  <si>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</si>
  <si>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</si>
  <si>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</si>
  <si>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</si>
  <si>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</si>
  <si>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</si>
  <si>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</si>
  <si>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 in G1</t>
  </si>
  <si>
    <t>Top Words in Tweet in G2</t>
  </si>
  <si>
    <t>Top Words in Tweet</t>
  </si>
  <si>
    <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</si>
  <si>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</si>
  <si>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</si>
  <si>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</si>
  <si>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</si>
  <si>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</si>
  <si>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</si>
  <si>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</si>
  <si>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</si>
  <si>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</si>
  <si>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</si>
  <si>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</si>
  <si>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</si>
  <si>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</si>
  <si>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</si>
  <si>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</si>
  <si>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</si>
  <si>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</si>
  <si>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</si>
  <si>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</si>
  <si>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</si>
  <si>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</si>
  <si>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</si>
  <si>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</si>
  <si>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</si>
  <si>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</si>
  <si>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</si>
  <si>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Directed</t>
  </si>
  <si>
    <t>LayoutAlgorithm░The graph was laid out using the Harel-Koren Fast Multiscale layout algorithm.▓GraphDirectedness░The graph is directed.▓GroupingDescription░The graph's vertices were grouped by cluster using the Clauset-Newman-Moore cluster algorithm.</t>
  </si>
  <si>
    <t>0.077</t>
  </si>
  <si>
    <t>0.063</t>
  </si>
  <si>
    <t>0.091</t>
  </si>
  <si>
    <t>0.083</t>
  </si>
  <si>
    <t>0.067</t>
  </si>
  <si>
    <t>Workbook Settings 3</t>
  </si>
  <si>
    <t>Eric and Family</t>
  </si>
  <si>
    <t>Eric's Friends</t>
  </si>
  <si>
    <t>Yellow</t>
  </si>
  <si>
    <t>Red</t>
  </si>
  <si>
    <t>Orange</t>
  </si>
  <si>
    <t>Pink</t>
  </si>
  <si>
    <t>Green</t>
  </si>
  <si>
    <t>Vertices[Reciprocated Vertex Pair Ratio]</t>
  </si>
  <si>
    <t>▓0▓0▓0▓True▓Black▓Black▓▓Frequency▓1▓5▓2▓1▓4.5▓False▓▓0▓0▓0▓0▓0▓False▓▓0▓0▓0▓True▓Black▓Black▓▓Out-Degree▓0▓6▓0▓1▓6▓False▓Betweenness Centrality▓0.666667▓10.666667▓3▓60▓85▓True▓▓0▓0▓0▓0▓0▓False▓▓0▓0▓0▓0▓0▓False</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</si>
  <si>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&lt;value&gt;jelaniwright&lt;/value&gt;
      &lt;/setting&gt;
      &lt;setting name="SpaceDelimitedTags" serializeAs="String"&gt;
        &lt;value /&gt;
      &lt;/setting&gt;
    &lt;/ExportToNodeXLGraphGalleryUserSettings&gt;
    &lt;DynamicFiltersUserSettings&gt;
      &lt;setting name="FilterNonNumericCells" serializeAs="String"&gt;
        &lt;value&gt;False&lt;/value&gt;
      &lt;/setting&gt;
      &lt;setting name="FilteredAlpha" serializeAs="String"&gt;
        &lt;value&gt;0&lt;/value&gt;
      &lt;/setting&gt;
    &lt;/DynamicFiltersUserSettings&gt;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&lt;GeneralUserSettings4&gt;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TopRight 2147483647 2147483647 Black True 200 Black 86 TopLeft Microsoft Sans Serif, 8.25pt Microsoft Sans Serif, 14.25pt&lt;/value&gt;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&lt;value&gt;Bezier&lt;/value&gt;
      &lt;/setting&gt;
      &lt;setting name="BackColor" serializeAs="String"&gt;
        &lt;value&gt;White&lt;/value&gt;
      &lt;/setting&gt;
      &lt;setting name="BackgroundImageUri" serializeAs="String"&gt;
        &lt;value /&gt;
      &lt;/setting&gt;
      &lt;setting name="SelectedVertexColor" serializeAs="String"&gt;
        &lt;value&gt;Red&lt;/value&gt;
      &lt;/setting&gt;
      &lt;setting na</t>
  </si>
  <si>
    <t>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name="NewWorkbookGraphDirectedness" serializeAs="String"&gt;
        &lt;value&gt;Directed&lt;/value&gt;
      &lt;/setting&gt;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&lt;/GeneralUserSettings4&gt;
    &lt;LayoutUserSettings&gt;
      &lt;setting name="Layout" serializeAs="String"&gt;
        &lt;value&gt;Null&lt;/value&gt;
      &lt;/setting&gt;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&lt;/LayoutUserSettings&gt;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name="GroupCollapsedSourceColumnName" serializeAs="String"&gt;
        &lt;value /&gt;
      &lt;/setting&gt;
      &lt;setting name="EdgeWidthSourceColumnName" serializeAs="String"&gt;
        &lt;value&gt;Frequency&lt;/value&gt;
      &lt;/setting&gt;
      &lt;setting name="VertexColorSourceColumnName" serializeAs="String"&gt;
        &lt;value /&gt;
      &lt;/setting&gt;
      &lt;setting name="VertexRadiusSourceColumnName" serializeAs="String"&gt;
        &lt;value&gt;Out-Degree&lt;/value&gt;
      &lt;/setting&gt;
      &lt;setting name="VertexRadiusDetails" serializeAs="String"&gt;
        &lt;value&gt;False False 0 0 1 6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&lt;value&gt;Betweenness Centrality&lt;/value&gt;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 /&gt;
      &lt;/setting&gt;
      &lt;setting name="EdgeColorSourceColumnName" serializeAs="String"&gt;
        &lt;value /&gt;
      &lt;/setting&gt;
      &lt;setting name="VertexLabelSourceColumnName" serializeAs="String"&gt;
        &lt;value&gt;Vertex&lt;/value&gt;
      &lt;/setting&gt;
      &lt;setting name="VertexLabelFillColorSourceColumnName" serializeAs="String"&gt;
        &lt;value /&gt;
      &lt;/setting&gt;
      &lt;setting name="VertexColorDet</t>
  </si>
  <si>
    <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&lt;value&gt;Closeness Centrality&lt;/value&gt;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name="VertexLabelFillColorDetails" serializeAs="String"&gt;
        &lt;value&gt;False False 0 10 241, 137, 4 46, 7, 195 False False True&lt;/value&gt;
      &lt;/setting&gt;
      &lt;setting name="VertexYSourceColumnName" serializeAs="String"&gt;
        &lt;value /&gt;
      &lt;/setting&gt;
      &lt;setting name="VertexAlphaDetails" serializeAs="String"&gt;
        &lt;value&gt;False False 0 0 60 85 False True&lt;/value&gt;
      &lt;/setting&gt;
      &lt;setting name="EdgeVisibilitySourceColumnName" serializeAs="String"&gt;
        &lt;value /&gt;
      &lt;/setting&gt;
      &lt;setting name="EdgeAlphaDetails" serializeAs="String"&gt;
        &lt;value&gt;False False 0 0 75 100 False False&lt;/value&gt;
      &lt;/setting&gt;
      &lt;setting name="VertexVisibilityDetails" serializeAs="String"&gt;
        &lt;value&gt;GreaterThan 0 Show if in an Edge Skip&lt;/value&gt;
      &lt;/setting&gt;
      &lt;setting name="EdgeWidthDetails" serializeAs="String"&gt;
        &lt;value&gt;False False 0 0 1 4.5 False False&lt;/value&gt;
      &lt;/setting&gt;
      &lt;setting name="VertexXSourceColumnName" serializeAs="String"&gt;
        &lt;value /&gt;
      &lt;/setting&gt;
      &lt;setting name="EdgeColorDetails" serializeAs="String"&gt;
        &lt;value&gt;False False 0 0 241, 137, 4 46, 7, 195 False False 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name="ClusterAlgorithm" serializeAs="String"&gt;
        &lt;value&gt;ClausetNewmanMoore&lt;/value&gt;
      &lt;/setting&gt;
      &lt;setting name="PutNeighborlessVerticesInOneCluster" serializeAs="String"&gt;
        &lt;value&gt;False&lt;/value&gt;
      &lt;/setting&gt;
    &lt;/ClusterUserSettings&gt;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</si>
</sst>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
    <numFmt numFmtId="178" formatCode="General"/>
    <numFmt numFmtId="179" formatCode="#,##0.00"/>
    <numFmt numFmtId="180" formatCode="0"/>
    <numFmt numFmtId="181"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2"/>
      <color theme="1"/>
      <name val="Calibri"/>
      <family val="2"/>
      <scheme val="minor"/>
    </font>
    <font>
      <sz val="12"/>
      <color rgb="FF00000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lignment/>
      <protection/>
    </xf>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10" fillId="0" borderId="0" xfId="28">
      <alignment/>
      <protection/>
    </xf>
    <xf numFmtId="2" fontId="10" fillId="0" borderId="0" xfId="28" applyNumberFormat="1">
      <alignment/>
      <protection/>
    </xf>
    <xf numFmtId="0" fontId="10" fillId="0" borderId="0" xfId="28">
      <alignment/>
      <protection/>
    </xf>
    <xf numFmtId="0" fontId="11" fillId="0" borderId="0" xfId="28" applyFont="1">
      <alignment/>
      <protection/>
    </xf>
    <xf numFmtId="0" fontId="10" fillId="0" borderId="0" xfId="28">
      <alignment/>
      <protection/>
    </xf>
    <xf numFmtId="0" fontId="0" fillId="3" borderId="11" xfId="23" applyNumberFormat="1" applyFont="1" applyBorder="1"/>
    <xf numFmtId="49" fontId="0" fillId="0" borderId="0" xfId="22" applyNumberFormat="1" applyFont="1" applyBorder="1"/>
    <xf numFmtId="0" fontId="0" fillId="0" borderId="0" xfId="21" applyNumberFormat="1" applyFont="1"/>
    <xf numFmtId="166" fontId="0" fillId="6" borderId="1" xfId="26" applyNumberFormat="1" applyFont="1"/>
    <xf numFmtId="165" fontId="0" fillId="6" borderId="1" xfId="26" applyNumberFormat="1" applyFont="1"/>
    <xf numFmtId="164" fontId="0" fillId="6" borderId="1" xfId="26" applyNumberFormat="1" applyFont="1"/>
    <xf numFmtId="164" fontId="0" fillId="3" borderId="1" xfId="23" applyNumberFormat="1" applyFont="1"/>
    <xf numFmtId="0" fontId="10" fillId="0" borderId="0" xfId="28">
      <alignment/>
      <protection/>
    </xf>
    <xf numFmtId="0" fontId="11" fillId="0" borderId="0" xfId="28" applyFont="1">
      <alignment/>
      <protection/>
    </xf>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0" fontId="0" fillId="2" borderId="11" xfId="20" applyNumberFormat="1" applyFont="1" applyBorder="1"/>
    <xf numFmtId="0" fontId="0" fillId="0" borderId="0" xfId="21" applyNumberFormat="1" applyFont="1" applyBorder="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0" borderId="0" xfId="0" applyAlignment="1">
      <alignment/>
    </xf>
    <xf numFmtId="0" fontId="0" fillId="3" borderId="1" xfId="23" applyNumberFormat="1" applyFon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0" borderId="7" xfId="22" applyFont="1" applyBorder="1" applyAlignment="1">
      <alignment/>
    </xf>
    <xf numFmtId="0" fontId="0" fillId="0" borderId="0" xfId="22" applyFont="1" applyBorder="1" applyAlignment="1">
      <alignment/>
    </xf>
    <xf numFmtId="0" fontId="0" fillId="3" borderId="1" xfId="23" applyNumberFormat="1" applyFont="1" applyBorder="1"/>
    <xf numFmtId="164"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0" fontId="0" fillId="2" borderId="1" xfId="20" applyNumberFormat="1"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Normal 2" xfId="28"/>
  </cellStyles>
  <dxfs count="191">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6" formatCode="#,##0.000"/>
      <border>
        <right style="thin">
          <color theme="0"/>
        </right>
      </border>
    </dxf>
    <dxf>
      <numFmt numFmtId="166" formatCode="#,##0.000"/>
    </dxf>
    <dxf>
      <numFmt numFmtId="178" formatCode="General"/>
    </dxf>
    <dxf>
      <numFmt numFmtId="165" formatCode="#,##0.0"/>
    </dxf>
    <dxf>
      <numFmt numFmtId="165" formatCode="#,##0.0"/>
    </dxf>
    <dxf>
      <numFmt numFmtId="164" formatCode="0.0"/>
    </dxf>
    <dxf>
      <numFmt numFmtId="177" formatCode="@"/>
    </dxf>
    <dxf>
      <numFmt numFmtId="178" formatCode="General"/>
    </dxf>
    <dxf>
      <numFmt numFmtId="178" formatCode="General"/>
    </dxf>
    <dxf>
      <numFmt numFmtId="177" formatCode="@"/>
    </dxf>
    <dxf>
      <numFmt numFmtId="178" formatCode="General"/>
    </dxf>
    <dxf>
      <numFmt numFmtId="178" formatCode="General"/>
    </dxf>
    <dxf>
      <numFmt numFmtId="180" formatCode="0"/>
    </dxf>
    <dxf>
      <numFmt numFmtId="164" formatCode="0.0"/>
    </dxf>
    <dxf>
      <numFmt numFmtId="178" formatCode="General"/>
    </dxf>
    <dxf>
      <numFmt numFmtId="178" formatCode="General"/>
    </dxf>
    <dxf>
      <numFmt numFmtId="177" formatCode="@"/>
    </dxf>
    <dxf>
      <numFmt numFmtId="177" formatCode="@"/>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81" formatCode="0.00"/>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90"/>
      <tableStyleElement type="headerRow" dxfId="189"/>
    </tableStyle>
    <tableStyle name="NodeXL Table" pivot="0" count="1">
      <tableStyleElement type="headerRow" dxfId="18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6910022"/>
        <c:axId val="65319287"/>
      </c:barChart>
      <c:catAx>
        <c:axId val="669100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19287"/>
        <c:crosses val="autoZero"/>
        <c:auto val="1"/>
        <c:lblOffset val="100"/>
        <c:noMultiLvlLbl val="0"/>
      </c:catAx>
      <c:valAx>
        <c:axId val="65319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10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002672"/>
        <c:axId val="56370865"/>
      </c:barChart>
      <c:catAx>
        <c:axId val="510026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370865"/>
        <c:crosses val="autoZero"/>
        <c:auto val="1"/>
        <c:lblOffset val="100"/>
        <c:noMultiLvlLbl val="0"/>
      </c:catAx>
      <c:valAx>
        <c:axId val="56370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2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575738"/>
        <c:axId val="2637323"/>
      </c:barChart>
      <c:catAx>
        <c:axId val="375757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37323"/>
        <c:crosses val="autoZero"/>
        <c:auto val="1"/>
        <c:lblOffset val="100"/>
        <c:noMultiLvlLbl val="0"/>
      </c:catAx>
      <c:valAx>
        <c:axId val="2637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75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735908"/>
        <c:axId val="12296581"/>
      </c:barChart>
      <c:catAx>
        <c:axId val="237359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296581"/>
        <c:crosses val="autoZero"/>
        <c:auto val="1"/>
        <c:lblOffset val="100"/>
        <c:noMultiLvlLbl val="0"/>
      </c:catAx>
      <c:valAx>
        <c:axId val="12296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35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560366"/>
        <c:axId val="56498975"/>
      </c:barChart>
      <c:catAx>
        <c:axId val="435603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498975"/>
        <c:crosses val="autoZero"/>
        <c:auto val="1"/>
        <c:lblOffset val="100"/>
        <c:noMultiLvlLbl val="0"/>
      </c:catAx>
      <c:valAx>
        <c:axId val="56498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60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8728728"/>
        <c:axId val="13014233"/>
      </c:barChart>
      <c:catAx>
        <c:axId val="387287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014233"/>
        <c:crosses val="autoZero"/>
        <c:auto val="1"/>
        <c:lblOffset val="100"/>
        <c:noMultiLvlLbl val="0"/>
      </c:catAx>
      <c:valAx>
        <c:axId val="13014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28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019234"/>
        <c:axId val="47519923"/>
      </c:barChart>
      <c:catAx>
        <c:axId val="500192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519923"/>
        <c:crosses val="autoZero"/>
        <c:auto val="1"/>
        <c:lblOffset val="100"/>
        <c:noMultiLvlLbl val="0"/>
      </c:catAx>
      <c:valAx>
        <c:axId val="47519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19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026124"/>
        <c:axId val="23908525"/>
      </c:barChart>
      <c:catAx>
        <c:axId val="250261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908525"/>
        <c:crosses val="autoZero"/>
        <c:auto val="1"/>
        <c:lblOffset val="100"/>
        <c:noMultiLvlLbl val="0"/>
      </c:catAx>
      <c:valAx>
        <c:axId val="23908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26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850134"/>
        <c:axId val="57542343"/>
      </c:barChart>
      <c:catAx>
        <c:axId val="13850134"/>
        <c:scaling>
          <c:orientation val="minMax"/>
        </c:scaling>
        <c:axPos val="b"/>
        <c:delete val="1"/>
        <c:majorTickMark val="out"/>
        <c:minorTickMark val="none"/>
        <c:tickLblPos val="none"/>
        <c:crossAx val="57542343"/>
        <c:crosses val="autoZero"/>
        <c:auto val="1"/>
        <c:lblOffset val="100"/>
        <c:noMultiLvlLbl val="0"/>
      </c:catAx>
      <c:valAx>
        <c:axId val="57542343"/>
        <c:scaling>
          <c:orientation val="minMax"/>
        </c:scaling>
        <c:axPos val="l"/>
        <c:delete val="1"/>
        <c:majorTickMark val="out"/>
        <c:minorTickMark val="none"/>
        <c:tickLblPos val="none"/>
        <c:crossAx val="138501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R45" totalsRowShown="0" headerRowDxfId="187" dataDxfId="186">
  <autoFilter ref="A2:R45"/>
  <sortState ref="A3:S45">
    <sortCondition sortBy="value" ref="O3:O45"/>
  </sortState>
  <tableColumns count="18">
    <tableColumn id="1" name="Vertex 1" dataDxfId="185"/>
    <tableColumn id="2" name="Vertex 2" dataDxfId="184"/>
    <tableColumn id="3" name="Color" dataDxfId="183"/>
    <tableColumn id="4" name="Width" dataDxfId="182"/>
    <tableColumn id="11" name="Style" dataDxfId="181"/>
    <tableColumn id="5" name="Opacity" dataDxfId="180"/>
    <tableColumn id="6" name="Visibility" dataDxfId="179"/>
    <tableColumn id="10" name="Label" dataDxfId="178"/>
    <tableColumn id="12" name="Label Text Color" dataDxfId="177"/>
    <tableColumn id="13" name="Label Font Size" dataDxfId="176"/>
    <tableColumn id="14" name="Reciprocated?" dataDxfId="175"/>
    <tableColumn id="7" name="ID" dataDxfId="174"/>
    <tableColumn id="9" name="Dynamic Filter" dataDxfId="173">
      <calculatedColumnFormula> IF(AND(OR(NOT(ISNUMBER(Edges[Width])), Edges[Width] &gt;= Misc!$O$2), OR(NOT(ISNUMBER(Edges[Width])), Edges[Width] &lt;= Misc!$P$2),OR(NOT(ISNUMBER(Edges[Frequency])), Edges[Frequency] &gt;= Misc!$O$3), OR(NOT(ISNUMBER(Edges[Frequency])), Edges[Frequency] &lt;= Misc!$P$3),TRUE), TRUE, FALSE)</calculatedColumnFormula>
    </tableColumn>
    <tableColumn id="8" name="Add Your Own Columns Here" dataDxfId="172"/>
    <tableColumn id="17" name="Type" dataDxfId="171"/>
    <tableColumn id="18" name="Frequency" dataDxfId="170"/>
    <tableColumn id="20" name="Vertex 1 Group" dataDxfId="169">
      <calculatedColumnFormula>REPLACE(INDEX(GroupVertices[Group], MATCH(Edges[[#This Row],[Vertex 1]],GroupVertices[Vertex],0)),1,1,"")</calculatedColumnFormula>
    </tableColumn>
    <tableColumn id="21" name="Vertex 2 Group" dataDxfId="168">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16" totalsRowShown="0" headerRowDxfId="69">
  <autoFilter ref="M1:P16"/>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68" dataDxfId="67">
  <autoFilter ref="A2:C6"/>
  <tableColumns count="3">
    <tableColumn id="1" name="Group 1" dataDxfId="66"/>
    <tableColumn id="2" name="Group 2" dataDxfId="65"/>
    <tableColumn id="3" name="Edges" dataDxfId="64"/>
  </tableColumns>
  <tableStyleInfo name="NodeXL Table" showFirstColumn="0" showLastColumn="0" showRowStripes="1" showColumnStripes="0"/>
</table>
</file>

<file path=xl/tables/table12.xml><?xml version="1.0" encoding="utf-8"?>
<table xmlns="http://schemas.openxmlformats.org/spreadsheetml/2006/main" id="20" name="TwitterSearchNetworkTopItems_1" displayName="TwitterSearchNetworkTopItems_1" ref="A1:F2" totalsRowShown="0" headerRowDxfId="63" dataDxfId="62">
  <autoFilter ref="A1:F2"/>
  <tableColumns count="6">
    <tableColumn id="1" name="Top URLs in Tweet in Entire Graph" dataDxfId="61"/>
    <tableColumn id="2" name="Entire Graph Count" dataDxfId="60"/>
    <tableColumn id="3" name="Top URLs in Tweet in G1" dataDxfId="59"/>
    <tableColumn id="4" name="G1 Count" dataDxfId="58"/>
    <tableColumn id="5" name="Top URLs in Tweet in G2" dataDxfId="57"/>
    <tableColumn id="6" name="G2 Count" dataDxfId="56"/>
  </tableColumns>
  <tableStyleInfo name="NodeXL Table" showFirstColumn="0" showLastColumn="0" showRowStripes="1" showColumnStripes="0"/>
</table>
</file>

<file path=xl/tables/table13.xml><?xml version="1.0" encoding="utf-8"?>
<table xmlns="http://schemas.openxmlformats.org/spreadsheetml/2006/main" id="21" name="TwitterSearchNetworkTopItems_2" displayName="TwitterSearchNetworkTopItems_2" ref="A4:F5" totalsRowShown="0" headerRowDxfId="55" dataDxfId="54">
  <autoFilter ref="A4:F5"/>
  <tableColumns count="6">
    <tableColumn id="1" name="Top Domains in Tweet in Entire Graph" dataDxfId="53"/>
    <tableColumn id="2" name="Entire Graph Count" dataDxfId="52"/>
    <tableColumn id="3" name="Top Domains in Tweet in G1" dataDxfId="51"/>
    <tableColumn id="4" name="G1 Count" dataDxfId="50"/>
    <tableColumn id="5" name="Top Domains in Tweet in G2" dataDxfId="49"/>
    <tableColumn id="6" name="G2 Count" dataDxfId="48"/>
  </tableColumns>
  <tableStyleInfo name="NodeXL Table" showFirstColumn="0" showLastColumn="0" showRowStripes="1" showColumnStripes="0"/>
</table>
</file>

<file path=xl/tables/table14.xml><?xml version="1.0" encoding="utf-8"?>
<table xmlns="http://schemas.openxmlformats.org/spreadsheetml/2006/main" id="22" name="TwitterSearchNetworkTopItems_3" displayName="TwitterSearchNetworkTopItems_3" ref="A7:F8" totalsRowShown="0" headerRowDxfId="47" dataDxfId="46">
  <autoFilter ref="A7:F8"/>
  <tableColumns count="6">
    <tableColumn id="1" name="Top Hashtags in Tweet in Entire Graph" dataDxfId="45"/>
    <tableColumn id="2" name="Entire Graph Count" dataDxfId="44"/>
    <tableColumn id="3" name="Top Hashtags in Tweet in G1" dataDxfId="43"/>
    <tableColumn id="4" name="G1 Count" dataDxfId="42"/>
    <tableColumn id="5" name="Top Hashtags in Tweet in G2" dataDxfId="41"/>
    <tableColumn id="6" name="G2 Count" dataDxfId="40"/>
  </tableColumns>
  <tableStyleInfo name="NodeXL Table" showFirstColumn="0" showLastColumn="0" showRowStripes="1" showColumnStripes="0"/>
</table>
</file>

<file path=xl/tables/table15.xml><?xml version="1.0" encoding="utf-8"?>
<table xmlns="http://schemas.openxmlformats.org/spreadsheetml/2006/main" id="23" name="TwitterSearchNetworkTopItems_4" displayName="TwitterSearchNetworkTopItems_4" ref="A10:F15" totalsRowShown="0" headerRowDxfId="39" dataDxfId="38">
  <autoFilter ref="A10:F15"/>
  <tableColumns count="6">
    <tableColumn id="1" name="Top Words in Tweet in Entire Graph" dataDxfId="37"/>
    <tableColumn id="2" name="Entire Graph Count" dataDxfId="36"/>
    <tableColumn id="3" name="Top Words in Tweet in G1" dataDxfId="35"/>
    <tableColumn id="4" name="G1 Count" dataDxfId="34"/>
    <tableColumn id="5" name="Top Words in Tweet in G2" dataDxfId="33"/>
    <tableColumn id="6" name="G2 Count" dataDxfId="32"/>
  </tableColumns>
  <tableStyleInfo name="NodeXL Table" showFirstColumn="0" showLastColumn="0" showRowStripes="1" showColumnStripes="0"/>
</table>
</file>

<file path=xl/tables/table16.xml><?xml version="1.0" encoding="utf-8"?>
<table xmlns="http://schemas.openxmlformats.org/spreadsheetml/2006/main" id="24" name="TwitterSearchNetworkTopItems_5" displayName="TwitterSearchNetworkTopItems_5" ref="A18:F19" totalsRowShown="0" headerRowDxfId="31" dataDxfId="30">
  <autoFilter ref="A18:F19"/>
  <tableColumns count="6">
    <tableColumn id="1" name="Top Word Pairs in Tweet in Entire Graph" dataDxfId="29"/>
    <tableColumn id="2" name="Entire Graph Count" dataDxfId="28"/>
    <tableColumn id="3" name="Top Word Pairs in Tweet in G1" dataDxfId="27"/>
    <tableColumn id="4" name="G1 Count" dataDxfId="26"/>
    <tableColumn id="5" name="Top Word Pairs in Tweet in G2" dataDxfId="25"/>
    <tableColumn id="6" name="G2 Count" dataDxfId="24"/>
  </tableColumns>
  <tableStyleInfo name="NodeXL Table" showFirstColumn="0" showLastColumn="0" showRowStripes="1" showColumnStripes="0"/>
</table>
</file>

<file path=xl/tables/table17.xml><?xml version="1.0" encoding="utf-8"?>
<table xmlns="http://schemas.openxmlformats.org/spreadsheetml/2006/main" id="25" name="TwitterSearchNetworkTopItems_6" displayName="TwitterSearchNetworkTopItems_6" ref="A21:F22" totalsRowShown="0" headerRowDxfId="23" dataDxfId="22">
  <autoFilter ref="A21:F22"/>
  <tableColumns count="6">
    <tableColumn id="1" name="Top Replied-To in Entire Graph" dataDxfId="21"/>
    <tableColumn id="2" name="Entire Graph Count" dataDxfId="20"/>
    <tableColumn id="3" name="Top Replied-To in G1" dataDxfId="19"/>
    <tableColumn id="4" name="G1 Count" dataDxfId="18"/>
    <tableColumn id="5" name="Top Replied-To in G2" dataDxfId="17"/>
    <tableColumn id="6" name="G2 Count" dataDxfId="16"/>
  </tableColumns>
  <tableStyleInfo name="NodeXL Table" showFirstColumn="0" showLastColumn="0" showRowStripes="1" showColumnStripes="0"/>
</table>
</file>

<file path=xl/tables/table18.xml><?xml version="1.0" encoding="utf-8"?>
<table xmlns="http://schemas.openxmlformats.org/spreadsheetml/2006/main" id="26" name="TwitterSearchNetworkTopItems_7" displayName="TwitterSearchNetworkTopItems_7" ref="A24:F25" totalsRowShown="0" headerRowDxfId="15" dataDxfId="14">
  <autoFilter ref="A24:F25"/>
  <tableColumns count="6">
    <tableColumn id="1" name="Top Mentioned in Entire Graph" dataDxfId="13"/>
    <tableColumn id="2" name="Entire Graph Count" dataDxfId="12"/>
    <tableColumn id="3" name="Top Mentioned in G1" dataDxfId="11"/>
    <tableColumn id="4" name="G1 Count" dataDxfId="10"/>
    <tableColumn id="5" name="Top Mentioned in G2" dataDxfId="9"/>
    <tableColumn id="6" name="G2 Count" dataDxfId="8"/>
  </tableColumns>
  <tableStyleInfo name="NodeXL Table" showFirstColumn="0" showLastColumn="0" showRowStripes="1" showColumnStripes="0"/>
</table>
</file>

<file path=xl/tables/table19.xml><?xml version="1.0" encoding="utf-8"?>
<table xmlns="http://schemas.openxmlformats.org/spreadsheetml/2006/main" id="27" name="TwitterSearchNetworkTopItems_8" displayName="TwitterSearchNetworkTopItems_8" ref="A27:F28" totalsRowShown="0" headerRowDxfId="7" dataDxfId="6">
  <autoFilter ref="A27:F28"/>
  <tableColumns count="6">
    <tableColumn id="1" name="Top Tweeters in Entire Graph" dataDxfId="5"/>
    <tableColumn id="2" name="Entire Graph Count" dataDxfId="4"/>
    <tableColumn id="3" name="Top Tweeters in G1" dataDxfId="3"/>
    <tableColumn id="4" name="G1 Count" dataDxfId="2"/>
    <tableColumn id="5" name="Top Tweeters in G2" dataDxfId="1"/>
    <tableColumn id="6" name="G2 Count"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2" totalsRowShown="0" headerRowDxfId="167" dataDxfId="166">
  <autoFilter ref="A2:AN12"/>
  <sortState ref="A3:AN12">
    <sortCondition descending="1" sortBy="value" ref="U3:U12"/>
  </sortState>
  <tableColumns count="40">
    <tableColumn id="1" name="Vertex" dataDxfId="165"/>
    <tableColumn id="2" name="Color" dataDxfId="164"/>
    <tableColumn id="5" name="Shape" dataDxfId="163"/>
    <tableColumn id="6" name="Size" dataDxfId="162"/>
    <tableColumn id="4" name="Opacity" dataDxfId="161"/>
    <tableColumn id="7" name="Image File" dataDxfId="160"/>
    <tableColumn id="3" name="Visibility" dataDxfId="159"/>
    <tableColumn id="10" name="Label" dataDxfId="158"/>
    <tableColumn id="16" name="Label Fill Color" dataDxfId="157"/>
    <tableColumn id="9" name="Label Position" dataDxfId="156"/>
    <tableColumn id="8" name="Tooltip" dataDxfId="155"/>
    <tableColumn id="18" name="Layout Order" dataDxfId="154"/>
    <tableColumn id="13" name="X" dataDxfId="153"/>
    <tableColumn id="14" name="Y" dataDxfId="152"/>
    <tableColumn id="12" name="Locked?" dataDxfId="151"/>
    <tableColumn id="19" name="Polar R" dataDxfId="150"/>
    <tableColumn id="20" name="Polar Angle" dataDxfId="149"/>
    <tableColumn id="21" name="Degree" dataDxfId="148">
      <calculatedColumnFormula>S3+T3</calculatedColumnFormula>
    </tableColumn>
    <tableColumn id="22" name="In-Degree" dataDxfId="147"/>
    <tableColumn id="23" name="Out-Degree" dataDxfId="146"/>
    <tableColumn id="24" name="Betweenness Centrality" dataDxfId="145"/>
    <tableColumn id="25" name="Closeness Centrality" dataDxfId="144"/>
    <tableColumn id="26" name="Eigenvector Centrality" dataDxfId="143"/>
    <tableColumn id="15" name="PageRank" dataDxfId="142"/>
    <tableColumn id="27" name="Clustering Coefficient" dataDxfId="141"/>
    <tableColumn id="29" name="Reciprocated Vertex Pair Ratio" dataDxfId="140"/>
    <tableColumn id="11" name="ID" dataDxfId="139"/>
    <tableColumn id="28" name="Dynamic Filter" dataDxfId="138">
      <calculatedColumnFormula> IF(AND(OR(NOT(ISNUMBER(Vertices[Size])), Vertices[Size] &gt;= Misc!$O$4), OR(NOT(ISNUMBER(Vertices[Size])), Vertices[Size] &lt;= Misc!$P$4),OR(NOT(ISNUMBER(Vertices[Opacity])), Vertices[Opacity] &gt;= Misc!$O$5), OR(NOT(ISNUMBER(Vertices[Opacity])), Vertices[Opacity] &lt;= Misc!$P$5),OR(NOT(ISNUMBER(Vertices[X])), Vertices[X] &gt;= Misc!$O$6), OR(NOT(ISNUMBER(Vertices[X])), Vertices[X] &lt;= Misc!$P$6),OR(NOT(ISNUMBER(Vertices[Y])), Vertices[Y] &gt;= Misc!$O$7), OR(NOT(ISNUMBER(Vertices[Y])), Vertices[Y] &lt;= Misc!$P$7),OR(NOT(ISNUMBER(Vertices[Degree])), Vertices[Degree] &gt;= Misc!$O$8), OR(NOT(ISNUMBER(Vertices[Degree])), Vertices[Degree] &lt;= Misc!$P$8),OR(NOT(ISNUMBER(Vertices[In-Degree])), Vertices[In-Degree] &gt;= Misc!$O$9), OR(NOT(ISNUMBER(Vertices[In-Degree])), Vertices[In-Degree] &lt;= Misc!$P$9),OR(NOT(ISNUMBER(Vertices[Out-Degree])), Vertices[Out-Degree] &gt;= Misc!$O$10), OR(NOT(ISNUMBER(Vertices[Out-Degree])), Vertices[Out-Degree] &lt;= Misc!$P$10),OR(NOT(ISNUMBER(Vertices[Betweenness Centrality])), Vertices[Betweenness Centrality] &gt;= Misc!$O$11), OR(NOT(ISNUMBER(Vertices[Betweenness Centrality])), Vertices[Betweenness Centrality] &lt;= Misc!$P$11),OR(NOT(ISNUMBER(Vertices[Closeness Centrality])), Vertices[Closeness Centrality] &gt;= Misc!$O$12), OR(NOT(ISNUMBER(Vertices[Closeness Centrality])), Vertices[Closeness Centrality] &lt;= Misc!$P$12),OR(NOT(ISNUMBER(Vertices[Eigenvector Centrality])), Vertices[Eigenvector Centrality] &gt;= Misc!$O$13), OR(NOT(ISNUMBER(Vertices[Eigenvector Centrality])), Vertices[Eigenvector Centrality] &lt;= Misc!$P$13),OR(NOT(ISNUMBER(Vertices[PageRank])), Vertices[PageRank] &gt;= Misc!$O$14), OR(NOT(ISNUMBER(Vertices[PageRank])), Vertices[PageRank] &lt;= Misc!$P$14),OR(NOT(ISNUMBER(Vertices[Clustering Coefficient])), Vertices[Clustering Coefficient] &gt;= Misc!$O$15), OR(NOT(ISNUMBER(Vertices[Clustering Coefficient])), Vertices[Clustering Coefficient] &lt;= Misc!$P$15),OR(NOT(ISNUMBER(Vertices[Reciprocated Vertex Pair Ratio])), Vertices[Reciprocated Vertex Pair Ratio] &gt;= Misc!$O$16), OR(NOT(ISNUMBER(Vertices[Reciprocated Vertex Pair Ratio])), Vertices[Reciprocated Vertex Pair Ratio] &lt;= Misc!$P$16),TRUE), TRUE, FALSE)</calculatedColumnFormula>
    </tableColumn>
    <tableColumn id="17" name="Add Your Own Columns Here" dataDxfId="137"/>
    <tableColumn id="30" name="Vertex Group" dataDxfId="136">
      <calculatedColumnFormula>REPLACE(INDEX(GroupVertices[Group], MATCH(Vertices[[#This Row],[Vertex]],GroupVertices[Vertex],0)),1,1,"")</calculatedColumnFormula>
    </tableColumn>
    <tableColumn id="31" name="Top URLs in Tweet by Count" dataDxfId="135"/>
    <tableColumn id="32" name="Top URLs in Tweet by Salience" dataDxfId="134"/>
    <tableColumn id="33" name="Top Domains in Tweet by Count" dataDxfId="133"/>
    <tableColumn id="34" name="Top Domains in Tweet by Salience" dataDxfId="132"/>
    <tableColumn id="35" name="Top Hashtags in Tweet by Count" dataDxfId="131"/>
    <tableColumn id="36" name="Top Hashtags in Tweet by Salience" dataDxfId="130"/>
    <tableColumn id="37" name="Top Words in Tweet by Count" dataDxfId="129"/>
    <tableColumn id="38" name="Top Words in Tweet by Salience" dataDxfId="128"/>
    <tableColumn id="39" name="Top Word Pairs in Tweet by Count" dataDxfId="127"/>
    <tableColumn id="40" name="Top Word Pairs in Tweet by Salience" dataDxfId="126"/>
  </tableColumns>
  <tableStyleInfo name="NodeXL Table" showFirstColumn="0" showLastColumn="0" showRowStripes="0" showColumnStripes="0"/>
</table>
</file>

<file path=xl/tables/table3.xml><?xml version="1.0" encoding="utf-8"?>
<table xmlns="http://schemas.openxmlformats.org/spreadsheetml/2006/main" id="4" name="Groups" displayName="Groups" ref="A2:AF4" totalsRowShown="0" headerRowDxfId="125">
  <autoFilter ref="A2:AF4"/>
  <tableColumns count="32">
    <tableColumn id="1" name="Group" dataDxfId="124"/>
    <tableColumn id="2" name="Vertex Color" dataDxfId="123"/>
    <tableColumn id="3" name="Vertex Shape" dataDxfId="122"/>
    <tableColumn id="22" name="Visibility" dataDxfId="121"/>
    <tableColumn id="4" name="Collapsed?"/>
    <tableColumn id="18" name="Label" dataDxfId="120"/>
    <tableColumn id="20" name="Collapsed X"/>
    <tableColumn id="21" name="Collapsed Y"/>
    <tableColumn id="6" name="ID" dataDxfId="119"/>
    <tableColumn id="19" name="Collapsed Properties" dataDxfId="118"/>
    <tableColumn id="5" name="Vertices" dataDxfId="117"/>
    <tableColumn id="7" name="Unique Edges" dataDxfId="116"/>
    <tableColumn id="8" name="Edges With Duplicates" dataDxfId="115"/>
    <tableColumn id="9" name="Total Edges" dataDxfId="114"/>
    <tableColumn id="10" name="Self-Loops" dataDxfId="113"/>
    <tableColumn id="24" name="Reciprocated Vertex Pair Ratio" dataDxfId="112"/>
    <tableColumn id="25" name="Reciprocated Edge Ratio" dataDxfId="111"/>
    <tableColumn id="11" name="Connected Components" dataDxfId="110"/>
    <tableColumn id="12" name="Single-Vertex Connected Components" dataDxfId="109"/>
    <tableColumn id="13" name="Maximum Vertices in a Connected Component" dataDxfId="108"/>
    <tableColumn id="14" name="Maximum Edges in a Connected Component" dataDxfId="107"/>
    <tableColumn id="15" name="Maximum Geodesic Distance (Diameter)" dataDxfId="106"/>
    <tableColumn id="16" name="Average Geodesic Distance" dataDxfId="105"/>
    <tableColumn id="17" name="Graph Density" dataDxfId="104"/>
    <tableColumn id="23" name="Top URLs in Tweet" dataDxfId="103"/>
    <tableColumn id="26" name="Top Domains in Tweet" dataDxfId="102"/>
    <tableColumn id="27" name="Top Hashtags in Tweet" dataDxfId="101"/>
    <tableColumn id="28" name="Top Words in Tweet" dataDxfId="100"/>
    <tableColumn id="29" name="Top Word Pairs in Tweet" dataDxfId="99"/>
    <tableColumn id="30" name="Top Replied-To in Tweet" dataDxfId="98"/>
    <tableColumn id="31" name="Top Mentioned in Tweet" dataDxfId="97"/>
    <tableColumn id="32" name="Top Tweeters" dataDxfId="9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95" dataDxfId="94">
  <autoFilter ref="A1:C11"/>
  <tableColumns count="3">
    <tableColumn id="1" name="Group" dataDxfId="93"/>
    <tableColumn id="2" name="Vertex" dataDxfId="92"/>
    <tableColumn id="3" name="Vertex ID" dataDxfId="9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90"/>
    <tableColumn id="2" name="Value" dataDxfId="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88"/>
    <tableColumn id="2" name="Degree Frequency" dataDxfId="87">
      <calculatedColumnFormula>COUNTIF(Vertices[Degree], "&gt;= " &amp; D2) - COUNTIF(Vertices[Degree], "&gt;=" &amp; D3)</calculatedColumnFormula>
    </tableColumn>
    <tableColumn id="3" name="In-Degree Bin" dataDxfId="86"/>
    <tableColumn id="4" name="In-Degree Frequency" dataDxfId="85">
      <calculatedColumnFormula>COUNTIF(Vertices[In-Degree], "&gt;= " &amp; F2) - COUNTIF(Vertices[In-Degree], "&gt;=" &amp; F3)</calculatedColumnFormula>
    </tableColumn>
    <tableColumn id="5" name="Out-Degree Bin" dataDxfId="84"/>
    <tableColumn id="6" name="Out-Degree Frequency" dataDxfId="83">
      <calculatedColumnFormula>COUNTIF(Vertices[Out-Degree], "&gt;= " &amp; H2) - COUNTIF(Vertices[Out-Degree], "&gt;=" &amp; H3)</calculatedColumnFormula>
    </tableColumn>
    <tableColumn id="7" name="Betweenness Centrality Bin" dataDxfId="82"/>
    <tableColumn id="8" name="Betweenness Centrality Frequency" dataDxfId="81">
      <calculatedColumnFormula>COUNTIF(Vertices[Betweenness Centrality], "&gt;= " &amp; J2) - COUNTIF(Vertices[Betweenness Centrality], "&gt;=" &amp; J3)</calculatedColumnFormula>
    </tableColumn>
    <tableColumn id="9" name="Closeness Centrality Bin" dataDxfId="80"/>
    <tableColumn id="10" name="Closeness Centrality Frequency" dataDxfId="79">
      <calculatedColumnFormula>COUNTIF(Vertices[Closeness Centrality], "&gt;= " &amp; L2) - COUNTIF(Vertices[Closeness Centrality], "&gt;=" &amp; L3)</calculatedColumnFormula>
    </tableColumn>
    <tableColumn id="11" name="Eigenvector Centrality Bin" dataDxfId="78"/>
    <tableColumn id="12" name="Eigenvector Centrality Frequency" dataDxfId="77">
      <calculatedColumnFormula>COUNTIF(Vertices[Eigenvector Centrality], "&gt;= " &amp; N2) - COUNTIF(Vertices[Eigenvector Centrality], "&gt;=" &amp; N3)</calculatedColumnFormula>
    </tableColumn>
    <tableColumn id="18" name="PageRank Bin" dataDxfId="76"/>
    <tableColumn id="17" name="PageRank Frequency" dataDxfId="75">
      <calculatedColumnFormula>COUNTIF(Vertices[Eigenvector Centrality], "&gt;= " &amp; P2) - COUNTIF(Vertices[Eigenvector Centrality], "&gt;=" &amp; P3)</calculatedColumnFormula>
    </tableColumn>
    <tableColumn id="13" name="Clustering Coefficient Bin" dataDxfId="74"/>
    <tableColumn id="14" name="Clustering Coefficient Frequency" dataDxfId="73">
      <calculatedColumnFormula>COUNTIF(Vertices[Clustering Coefficient], "&gt;= " &amp; R2) - COUNTIF(Vertices[Clustering Coefficient], "&gt;=" &amp; R3)</calculatedColumnFormula>
    </tableColumn>
    <tableColumn id="15" name="Dynamic Filter Bin" dataDxfId="72"/>
    <tableColumn id="16" name="Dynamic Filter Frequency" dataDxfId="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70">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5"/>
  <sheetViews>
    <sheetView workbookViewId="0" topLeftCell="A1">
      <pane xSplit="2" ySplit="2" topLeftCell="H3" activePane="bottomRight" state="frozen"/>
      <selection pane="topRight" activeCell="C1" sqref="C1"/>
      <selection pane="bottomLeft" activeCell="A3" sqref="A3"/>
      <selection pane="bottomRight" activeCell="S6" sqref="S6"/>
    </sheetView>
  </sheetViews>
  <sheetFormatPr defaultColWidth="9.140625" defaultRowHeight="15"/>
  <cols>
    <col min="1" max="1" width="20.7109375" style="1" customWidth="1"/>
    <col min="2" max="2" width="19.57421875" style="1" customWidth="1"/>
    <col min="3" max="3" width="7.8515625" style="3" bestFit="1" customWidth="1"/>
    <col min="4" max="4" width="8.7109375" style="2" bestFit="1"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customWidth="1"/>
    <col min="15" max="15" width="21.28125" style="0" customWidth="1"/>
    <col min="16" max="16" width="12.00390625" style="0" customWidth="1"/>
    <col min="17" max="18" width="10.7109375" style="0" bestFit="1" customWidth="1"/>
  </cols>
  <sheetData>
    <row r="1" spans="3:14" ht="15">
      <c r="C1" s="18" t="s">
        <v>39</v>
      </c>
      <c r="D1" s="19"/>
      <c r="E1" s="19"/>
      <c r="F1" s="19"/>
      <c r="G1" s="18"/>
      <c r="H1" s="16" t="s">
        <v>43</v>
      </c>
      <c r="I1" s="64"/>
      <c r="J1" s="64"/>
      <c r="K1" s="35" t="s">
        <v>42</v>
      </c>
      <c r="L1" s="20" t="s">
        <v>40</v>
      </c>
      <c r="M1" s="20"/>
      <c r="N1" s="17" t="s">
        <v>41</v>
      </c>
    </row>
    <row r="2" spans="1:18"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v>
      </c>
      <c r="O2" s="13" t="s">
        <v>173</v>
      </c>
      <c r="P2" s="13" t="s">
        <v>174</v>
      </c>
      <c r="Q2" s="13" t="s">
        <v>203</v>
      </c>
      <c r="R2" s="13" t="s">
        <v>204</v>
      </c>
    </row>
    <row r="3" spans="1:18" ht="15" customHeight="1">
      <c r="A3" s="84" t="s">
        <v>175</v>
      </c>
      <c r="B3" s="86" t="s">
        <v>176</v>
      </c>
      <c r="C3" s="53" t="s">
        <v>277</v>
      </c>
      <c r="D3" s="54">
        <v>4.5</v>
      </c>
      <c r="E3" s="65"/>
      <c r="F3" s="55"/>
      <c r="G3" s="53"/>
      <c r="H3" s="57"/>
      <c r="I3" s="56"/>
      <c r="J3" s="56"/>
      <c r="K3" s="36" t="s">
        <v>65</v>
      </c>
      <c r="L3" s="83">
        <v>3</v>
      </c>
      <c r="M3" s="83" t="b">
        <f>IF(AND(OR(NOT(ISNUMBER([Width])),[Width]&gt;=Misc!$O$2),OR(NOT(ISNUMBER([Width])),[Width]&lt;=Misc!$P$2),OR(NOT(ISNUMBER([Frequency])),[Frequency]&gt;=Misc!$O$3),OR(NOT(ISNUMBER([Frequency])),[Frequency]&lt;=Misc!$P$3),TRUE),TRUE,FALSE)</f>
        <v>1</v>
      </c>
      <c r="N3" s="63"/>
      <c r="O3" s="88" t="s">
        <v>188</v>
      </c>
      <c r="P3" s="85">
        <v>5</v>
      </c>
      <c r="Q3" s="118" t="str">
        <f>REPLACE(INDEX(GroupVertices[Group],MATCH(Edges[[#This Row],[Vertex 1]],GroupVertices[Vertex],0)),1,1,"")</f>
        <v>2</v>
      </c>
      <c r="R3" s="118" t="str">
        <f>REPLACE(INDEX(GroupVertices[Group],MATCH(Edges[[#This Row],[Vertex 2]],GroupVertices[Vertex],0)),1,1,"")</f>
        <v>2</v>
      </c>
    </row>
    <row r="4" spans="1:18" ht="15" customHeight="1">
      <c r="A4" s="84" t="s">
        <v>179</v>
      </c>
      <c r="B4" s="86" t="s">
        <v>180</v>
      </c>
      <c r="C4" s="53" t="s">
        <v>278</v>
      </c>
      <c r="D4" s="54">
        <v>1</v>
      </c>
      <c r="E4" s="65"/>
      <c r="F4" s="55"/>
      <c r="G4" s="53"/>
      <c r="H4" s="57"/>
      <c r="I4" s="56"/>
      <c r="J4" s="56"/>
      <c r="K4" s="36" t="s">
        <v>65</v>
      </c>
      <c r="L4" s="83">
        <v>4</v>
      </c>
      <c r="M4" s="83" t="b">
        <f>IF(AND(OR(NOT(ISNUMBER([Width])),[Width]&gt;=Misc!$O$2),OR(NOT(ISNUMBER([Width])),[Width]&lt;=Misc!$P$2),OR(NOT(ISNUMBER([Frequency])),[Frequency]&gt;=Misc!$O$3),OR(NOT(ISNUMBER([Frequency])),[Frequency]&lt;=Misc!$P$3),TRUE),TRUE,FALSE)</f>
        <v>1</v>
      </c>
      <c r="N4" s="63"/>
      <c r="O4" s="88" t="s">
        <v>196</v>
      </c>
      <c r="P4" s="85">
        <v>1</v>
      </c>
      <c r="Q4" s="118" t="str">
        <f>REPLACE(INDEX(GroupVertices[Group],MATCH(Edges[[#This Row],[Vertex 1]],GroupVertices[Vertex],0)),1,1,"")</f>
        <v>1</v>
      </c>
      <c r="R4" s="118" t="str">
        <f>REPLACE(INDEX(GroupVertices[Group],MATCH(Edges[[#This Row],[Vertex 2]],GroupVertices[Vertex],0)),1,1,"")</f>
        <v>1</v>
      </c>
    </row>
    <row r="5" spans="1:18" ht="15.75">
      <c r="A5" s="84" t="s">
        <v>179</v>
      </c>
      <c r="B5" s="86" t="s">
        <v>177</v>
      </c>
      <c r="C5" s="53" t="s">
        <v>278</v>
      </c>
      <c r="D5" s="54">
        <v>1</v>
      </c>
      <c r="E5" s="65"/>
      <c r="F5" s="55"/>
      <c r="G5" s="53"/>
      <c r="H5" s="57"/>
      <c r="I5" s="56"/>
      <c r="J5" s="56"/>
      <c r="K5" s="36" t="s">
        <v>65</v>
      </c>
      <c r="L5" s="83">
        <v>5</v>
      </c>
      <c r="M5" s="83" t="b">
        <f>IF(AND(OR(NOT(ISNUMBER([Width])),[Width]&gt;=Misc!$O$2),OR(NOT(ISNUMBER([Width])),[Width]&lt;=Misc!$P$2),OR(NOT(ISNUMBER([Frequency])),[Frequency]&gt;=Misc!$O$3),OR(NOT(ISNUMBER([Frequency])),[Frequency]&lt;=Misc!$P$3),TRUE),TRUE,FALSE)</f>
        <v>1</v>
      </c>
      <c r="N5" s="63"/>
      <c r="O5" s="88" t="s">
        <v>196</v>
      </c>
      <c r="P5" s="85">
        <v>1</v>
      </c>
      <c r="Q5" s="118" t="str">
        <f>REPLACE(INDEX(GroupVertices[Group],MATCH(Edges[[#This Row],[Vertex 1]],GroupVertices[Vertex],0)),1,1,"")</f>
        <v>1</v>
      </c>
      <c r="R5" s="118" t="str">
        <f>REPLACE(INDEX(GroupVertices[Group],MATCH(Edges[[#This Row],[Vertex 2]],GroupVertices[Vertex],0)),1,1,"")</f>
        <v>2</v>
      </c>
    </row>
    <row r="6" spans="1:18" ht="15.75">
      <c r="A6" s="84" t="s">
        <v>179</v>
      </c>
      <c r="B6" s="86" t="s">
        <v>183</v>
      </c>
      <c r="C6" s="53" t="s">
        <v>278</v>
      </c>
      <c r="D6" s="54">
        <v>1</v>
      </c>
      <c r="E6" s="65"/>
      <c r="F6" s="55"/>
      <c r="G6" s="53"/>
      <c r="H6" s="57"/>
      <c r="I6" s="56"/>
      <c r="J6" s="56"/>
      <c r="K6" s="36" t="s">
        <v>65</v>
      </c>
      <c r="L6" s="83">
        <v>6</v>
      </c>
      <c r="M6" s="83" t="b">
        <f>IF(AND(OR(NOT(ISNUMBER([Width])),[Width]&gt;=Misc!$O$2),OR(NOT(ISNUMBER([Width])),[Width]&lt;=Misc!$P$2),OR(NOT(ISNUMBER([Frequency])),[Frequency]&gt;=Misc!$O$3),OR(NOT(ISNUMBER([Frequency])),[Frequency]&lt;=Misc!$P$3),TRUE),TRUE,FALSE)</f>
        <v>1</v>
      </c>
      <c r="N6" s="63"/>
      <c r="O6" s="88" t="s">
        <v>196</v>
      </c>
      <c r="P6" s="85">
        <v>1</v>
      </c>
      <c r="Q6" s="118" t="str">
        <f>REPLACE(INDEX(GroupVertices[Group],MATCH(Edges[[#This Row],[Vertex 1]],GroupVertices[Vertex],0)),1,1,"")</f>
        <v>1</v>
      </c>
      <c r="R6" s="118" t="str">
        <f>REPLACE(INDEX(GroupVertices[Group],MATCH(Edges[[#This Row],[Vertex 2]],GroupVertices[Vertex],0)),1,1,"")</f>
        <v>1</v>
      </c>
    </row>
    <row r="7" spans="1:18" ht="15.75">
      <c r="A7" s="84" t="s">
        <v>183</v>
      </c>
      <c r="B7" s="86" t="s">
        <v>180</v>
      </c>
      <c r="C7" s="53" t="s">
        <v>278</v>
      </c>
      <c r="D7" s="54">
        <v>1</v>
      </c>
      <c r="E7" s="65"/>
      <c r="F7" s="55"/>
      <c r="G7" s="53"/>
      <c r="H7" s="57"/>
      <c r="I7" s="56"/>
      <c r="J7" s="56"/>
      <c r="K7" s="36" t="s">
        <v>65</v>
      </c>
      <c r="L7" s="83">
        <v>7</v>
      </c>
      <c r="M7" s="83" t="b">
        <f>IF(AND(OR(NOT(ISNUMBER([Width])),[Width]&gt;=Misc!$O$2),OR(NOT(ISNUMBER([Width])),[Width]&lt;=Misc!$P$2),OR(NOT(ISNUMBER([Frequency])),[Frequency]&gt;=Misc!$O$3),OR(NOT(ISNUMBER([Frequency])),[Frequency]&lt;=Misc!$P$3),TRUE),TRUE,FALSE)</f>
        <v>1</v>
      </c>
      <c r="N7" s="63"/>
      <c r="O7" s="88" t="s">
        <v>196</v>
      </c>
      <c r="P7" s="85">
        <v>1</v>
      </c>
      <c r="Q7" s="118" t="str">
        <f>REPLACE(INDEX(GroupVertices[Group],MATCH(Edges[[#This Row],[Vertex 1]],GroupVertices[Vertex],0)),1,1,"")</f>
        <v>1</v>
      </c>
      <c r="R7" s="118" t="str">
        <f>REPLACE(INDEX(GroupVertices[Group],MATCH(Edges[[#This Row],[Vertex 2]],GroupVertices[Vertex],0)),1,1,"")</f>
        <v>1</v>
      </c>
    </row>
    <row r="8" spans="1:18" ht="15.75">
      <c r="A8" s="84" t="s">
        <v>183</v>
      </c>
      <c r="B8" s="86" t="s">
        <v>179</v>
      </c>
      <c r="C8" s="53" t="s">
        <v>278</v>
      </c>
      <c r="D8" s="54">
        <v>1</v>
      </c>
      <c r="E8" s="65"/>
      <c r="F8" s="55"/>
      <c r="G8" s="53"/>
      <c r="H8" s="57"/>
      <c r="I8" s="56"/>
      <c r="J8" s="56"/>
      <c r="K8" s="36" t="s">
        <v>65</v>
      </c>
      <c r="L8" s="83">
        <v>8</v>
      </c>
      <c r="M8" s="83" t="b">
        <f>IF(AND(OR(NOT(ISNUMBER([Width])),[Width]&gt;=Misc!$O$2),OR(NOT(ISNUMBER([Width])),[Width]&lt;=Misc!$P$2),OR(NOT(ISNUMBER([Frequency])),[Frequency]&gt;=Misc!$O$3),OR(NOT(ISNUMBER([Frequency])),[Frequency]&lt;=Misc!$P$3),TRUE),TRUE,FALSE)</f>
        <v>1</v>
      </c>
      <c r="N8" s="63"/>
      <c r="O8" s="88" t="s">
        <v>196</v>
      </c>
      <c r="P8" s="85">
        <v>1</v>
      </c>
      <c r="Q8" s="118" t="str">
        <f>REPLACE(INDEX(GroupVertices[Group],MATCH(Edges[[#This Row],[Vertex 1]],GroupVertices[Vertex],0)),1,1,"")</f>
        <v>1</v>
      </c>
      <c r="R8" s="118" t="str">
        <f>REPLACE(INDEX(GroupVertices[Group],MATCH(Edges[[#This Row],[Vertex 2]],GroupVertices[Vertex],0)),1,1,"")</f>
        <v>1</v>
      </c>
    </row>
    <row r="9" spans="1:18" ht="15.75">
      <c r="A9" s="84" t="s">
        <v>183</v>
      </c>
      <c r="B9" s="86" t="s">
        <v>177</v>
      </c>
      <c r="C9" s="53" t="s">
        <v>278</v>
      </c>
      <c r="D9" s="54">
        <v>1</v>
      </c>
      <c r="E9" s="65"/>
      <c r="F9" s="55"/>
      <c r="G9" s="53"/>
      <c r="H9" s="57"/>
      <c r="I9" s="56"/>
      <c r="J9" s="56"/>
      <c r="K9" s="36" t="s">
        <v>65</v>
      </c>
      <c r="L9" s="83">
        <v>9</v>
      </c>
      <c r="M9" s="83" t="b">
        <f>IF(AND(OR(NOT(ISNUMBER([Width])),[Width]&gt;=Misc!$O$2),OR(NOT(ISNUMBER([Width])),[Width]&lt;=Misc!$P$2),OR(NOT(ISNUMBER([Frequency])),[Frequency]&gt;=Misc!$O$3),OR(NOT(ISNUMBER([Frequency])),[Frequency]&lt;=Misc!$P$3),TRUE),TRUE,FALSE)</f>
        <v>1</v>
      </c>
      <c r="N9" s="63"/>
      <c r="O9" s="88" t="s">
        <v>196</v>
      </c>
      <c r="P9" s="85">
        <v>1</v>
      </c>
      <c r="Q9" s="118" t="str">
        <f>REPLACE(INDEX(GroupVertices[Group],MATCH(Edges[[#This Row],[Vertex 1]],GroupVertices[Vertex],0)),1,1,"")</f>
        <v>1</v>
      </c>
      <c r="R9" s="118" t="str">
        <f>REPLACE(INDEX(GroupVertices[Group],MATCH(Edges[[#This Row],[Vertex 2]],GroupVertices[Vertex],0)),1,1,"")</f>
        <v>2</v>
      </c>
    </row>
    <row r="10" spans="1:18" ht="15.75">
      <c r="A10" s="84" t="s">
        <v>177</v>
      </c>
      <c r="B10" s="86" t="s">
        <v>176</v>
      </c>
      <c r="C10" s="53"/>
      <c r="D10" s="54">
        <v>1</v>
      </c>
      <c r="E10" s="65"/>
      <c r="F10" s="55"/>
      <c r="G10" s="53"/>
      <c r="H10" s="57"/>
      <c r="I10" s="56"/>
      <c r="J10" s="56"/>
      <c r="K10" s="36" t="s">
        <v>65</v>
      </c>
      <c r="L10" s="83">
        <v>10</v>
      </c>
      <c r="M10" s="83" t="b">
        <f>IF(AND(OR(NOT(ISNUMBER([Width])),[Width]&gt;=Misc!$O$2),OR(NOT(ISNUMBER([Width])),[Width]&lt;=Misc!$P$2),OR(NOT(ISNUMBER([Frequency])),[Frequency]&gt;=Misc!$O$3),OR(NOT(ISNUMBER([Frequency])),[Frequency]&lt;=Misc!$P$3),TRUE),TRUE,FALSE)</f>
        <v>1</v>
      </c>
      <c r="N10" s="63"/>
      <c r="O10" s="88" t="s">
        <v>189</v>
      </c>
      <c r="P10" s="85">
        <v>1</v>
      </c>
      <c r="Q10" s="118" t="str">
        <f>REPLACE(INDEX(GroupVertices[Group],MATCH(Edges[[#This Row],[Vertex 1]],GroupVertices[Vertex],0)),1,1,"")</f>
        <v>2</v>
      </c>
      <c r="R10" s="118" t="str">
        <f>REPLACE(INDEX(GroupVertices[Group],MATCH(Edges[[#This Row],[Vertex 2]],GroupVertices[Vertex],0)),1,1,"")</f>
        <v>2</v>
      </c>
    </row>
    <row r="11" spans="1:18" ht="15.75">
      <c r="A11" s="97" t="s">
        <v>178</v>
      </c>
      <c r="B11" s="86" t="s">
        <v>181</v>
      </c>
      <c r="C11" s="53"/>
      <c r="D11" s="54">
        <v>1</v>
      </c>
      <c r="E11" s="65"/>
      <c r="F11" s="55"/>
      <c r="G11" s="53"/>
      <c r="H11" s="57"/>
      <c r="I11" s="56"/>
      <c r="J11" s="56"/>
      <c r="K11" s="36" t="s">
        <v>65</v>
      </c>
      <c r="L11" s="83">
        <v>11</v>
      </c>
      <c r="M11" s="83" t="b">
        <f>IF(AND(OR(NOT(ISNUMBER([Width])),[Width]&gt;=Misc!$O$2),OR(NOT(ISNUMBER([Width])),[Width]&lt;=Misc!$P$2),OR(NOT(ISNUMBER([Frequency])),[Frequency]&gt;=Misc!$O$3),OR(NOT(ISNUMBER([Frequency])),[Frequency]&lt;=Misc!$P$3),TRUE),TRUE,FALSE)</f>
        <v>1</v>
      </c>
      <c r="N11" s="63"/>
      <c r="O11" s="88" t="s">
        <v>193</v>
      </c>
      <c r="P11" s="85">
        <v>1</v>
      </c>
      <c r="Q11" s="118" t="str">
        <f>REPLACE(INDEX(GroupVertices[Group],MATCH(Edges[[#This Row],[Vertex 1]],GroupVertices[Vertex],0)),1,1,"")</f>
        <v>1</v>
      </c>
      <c r="R11" s="118" t="str">
        <f>REPLACE(INDEX(GroupVertices[Group],MATCH(Edges[[#This Row],[Vertex 2]],GroupVertices[Vertex],0)),1,1,"")</f>
        <v>1</v>
      </c>
    </row>
    <row r="12" spans="1:18" ht="15.75">
      <c r="A12" s="84" t="s">
        <v>178</v>
      </c>
      <c r="B12" s="86" t="s">
        <v>181</v>
      </c>
      <c r="C12" s="53"/>
      <c r="D12" s="54">
        <v>1</v>
      </c>
      <c r="E12" s="65"/>
      <c r="F12" s="55"/>
      <c r="G12" s="53"/>
      <c r="H12" s="57"/>
      <c r="I12" s="56"/>
      <c r="J12" s="56"/>
      <c r="K12" s="36" t="s">
        <v>66</v>
      </c>
      <c r="L12" s="83">
        <v>12</v>
      </c>
      <c r="M12" s="83" t="b">
        <f>IF(AND(OR(NOT(ISNUMBER([Width])),[Width]&gt;=Misc!$O$2),OR(NOT(ISNUMBER([Width])),[Width]&lt;=Misc!$P$2),OR(NOT(ISNUMBER([Frequency])),[Frequency]&gt;=Misc!$O$3),OR(NOT(ISNUMBER([Frequency])),[Frequency]&lt;=Misc!$P$3),TRUE),TRUE,FALSE)</f>
        <v>1</v>
      </c>
      <c r="N12" s="63"/>
      <c r="O12" s="88" t="s">
        <v>194</v>
      </c>
      <c r="P12" s="85">
        <v>1</v>
      </c>
      <c r="Q12" s="118" t="str">
        <f>REPLACE(INDEX(GroupVertices[Group],MATCH(Edges[[#This Row],[Vertex 1]],GroupVertices[Vertex],0)),1,1,"")</f>
        <v>1</v>
      </c>
      <c r="R12" s="118" t="str">
        <f>REPLACE(INDEX(GroupVertices[Group],MATCH(Edges[[#This Row],[Vertex 2]],GroupVertices[Vertex],0)),1,1,"")</f>
        <v>1</v>
      </c>
    </row>
    <row r="13" spans="1:18" ht="15.75">
      <c r="A13" s="84" t="s">
        <v>175</v>
      </c>
      <c r="B13" s="96" t="s">
        <v>182</v>
      </c>
      <c r="C13" s="53"/>
      <c r="D13" s="54">
        <v>1</v>
      </c>
      <c r="E13" s="65"/>
      <c r="F13" s="55"/>
      <c r="G13" s="53"/>
      <c r="H13" s="57"/>
      <c r="I13" s="56"/>
      <c r="J13" s="56"/>
      <c r="K13" s="36" t="s">
        <v>66</v>
      </c>
      <c r="L13" s="83">
        <v>13</v>
      </c>
      <c r="M13" s="83" t="b">
        <f>IF(AND(OR(NOT(ISNUMBER([Width])),[Width]&gt;=Misc!$O$2),OR(NOT(ISNUMBER([Width])),[Width]&lt;=Misc!$P$2),OR(NOT(ISNUMBER([Frequency])),[Frequency]&gt;=Misc!$O$3),OR(NOT(ISNUMBER([Frequency])),[Frequency]&lt;=Misc!$P$3),TRUE),TRUE,FALSE)</f>
        <v>1</v>
      </c>
      <c r="N13" s="63"/>
      <c r="O13" s="88" t="s">
        <v>185</v>
      </c>
      <c r="P13" s="85">
        <v>1</v>
      </c>
      <c r="Q13" s="118" t="str">
        <f>REPLACE(INDEX(GroupVertices[Group],MATCH(Edges[[#This Row],[Vertex 1]],GroupVertices[Vertex],0)),1,1,"")</f>
        <v>2</v>
      </c>
      <c r="R13" s="118" t="str">
        <f>REPLACE(INDEX(GroupVertices[Group],MATCH(Edges[[#This Row],[Vertex 2]],GroupVertices[Vertex],0)),1,1,"")</f>
        <v>2</v>
      </c>
    </row>
    <row r="14" spans="1:18" ht="15.75">
      <c r="A14" s="84" t="s">
        <v>178</v>
      </c>
      <c r="B14" s="97" t="s">
        <v>179</v>
      </c>
      <c r="C14" s="53"/>
      <c r="D14" s="54">
        <v>1</v>
      </c>
      <c r="E14" s="65"/>
      <c r="F14" s="55"/>
      <c r="G14" s="53"/>
      <c r="H14" s="57"/>
      <c r="I14" s="56"/>
      <c r="J14" s="56"/>
      <c r="K14" s="36" t="s">
        <v>65</v>
      </c>
      <c r="L14" s="83">
        <v>14</v>
      </c>
      <c r="M14" s="83" t="b">
        <f>IF(AND(OR(NOT(ISNUMBER([Width])),[Width]&gt;=Misc!$O$2),OR(NOT(ISNUMBER([Width])),[Width]&lt;=Misc!$P$2),OR(NOT(ISNUMBER([Frequency])),[Frequency]&gt;=Misc!$O$3),OR(NOT(ISNUMBER([Frequency])),[Frequency]&lt;=Misc!$P$3),TRUE),TRUE,FALSE)</f>
        <v>1</v>
      </c>
      <c r="N14" s="63"/>
      <c r="O14" s="88" t="s">
        <v>191</v>
      </c>
      <c r="P14" s="85">
        <v>1</v>
      </c>
      <c r="Q14" s="118" t="str">
        <f>REPLACE(INDEX(GroupVertices[Group],MATCH(Edges[[#This Row],[Vertex 1]],GroupVertices[Vertex],0)),1,1,"")</f>
        <v>1</v>
      </c>
      <c r="R14" s="118" t="str">
        <f>REPLACE(INDEX(GroupVertices[Group],MATCH(Edges[[#This Row],[Vertex 2]],GroupVertices[Vertex],0)),1,1,"")</f>
        <v>1</v>
      </c>
    </row>
    <row r="15" spans="1:18" ht="15.75">
      <c r="A15" s="84" t="s">
        <v>178</v>
      </c>
      <c r="B15" s="86" t="s">
        <v>175</v>
      </c>
      <c r="C15" s="53"/>
      <c r="D15" s="54">
        <v>1</v>
      </c>
      <c r="E15" s="65"/>
      <c r="F15" s="55"/>
      <c r="G15" s="53"/>
      <c r="H15" s="57"/>
      <c r="I15" s="56"/>
      <c r="J15" s="56"/>
      <c r="K15" s="36" t="s">
        <v>65</v>
      </c>
      <c r="L15" s="83">
        <v>15</v>
      </c>
      <c r="M15" s="83" t="b">
        <f>IF(AND(OR(NOT(ISNUMBER([Width])),[Width]&gt;=Misc!$O$2),OR(NOT(ISNUMBER([Width])),[Width]&lt;=Misc!$P$2),OR(NOT(ISNUMBER([Frequency])),[Frequency]&gt;=Misc!$O$3),OR(NOT(ISNUMBER([Frequency])),[Frequency]&lt;=Misc!$P$3),TRUE),TRUE,FALSE)</f>
        <v>1</v>
      </c>
      <c r="N15" s="63"/>
      <c r="O15" s="88" t="s">
        <v>191</v>
      </c>
      <c r="P15" s="85">
        <v>1</v>
      </c>
      <c r="Q15" s="118" t="str">
        <f>REPLACE(INDEX(GroupVertices[Group],MATCH(Edges[[#This Row],[Vertex 1]],GroupVertices[Vertex],0)),1,1,"")</f>
        <v>1</v>
      </c>
      <c r="R15" s="118" t="str">
        <f>REPLACE(INDEX(GroupVertices[Group],MATCH(Edges[[#This Row],[Vertex 2]],GroupVertices[Vertex],0)),1,1,"")</f>
        <v>2</v>
      </c>
    </row>
    <row r="16" spans="1:18" ht="15.75">
      <c r="A16" s="84" t="s">
        <v>176</v>
      </c>
      <c r="B16" s="96" t="s">
        <v>175</v>
      </c>
      <c r="C16" s="53" t="s">
        <v>276</v>
      </c>
      <c r="D16" s="54">
        <v>2.75</v>
      </c>
      <c r="E16" s="65"/>
      <c r="F16" s="55"/>
      <c r="G16" s="53"/>
      <c r="H16" s="57"/>
      <c r="I16" s="56"/>
      <c r="J16" s="56"/>
      <c r="K16" s="36" t="s">
        <v>65</v>
      </c>
      <c r="L16" s="83">
        <v>16</v>
      </c>
      <c r="M16" s="83" t="b">
        <f>IF(AND(OR(NOT(ISNUMBER([Width])),[Width]&gt;=Misc!$O$2),OR(NOT(ISNUMBER([Width])),[Width]&lt;=Misc!$P$2),OR(NOT(ISNUMBER([Frequency])),[Frequency]&gt;=Misc!$O$3),OR(NOT(ISNUMBER([Frequency])),[Frequency]&lt;=Misc!$P$3),TRUE),TRUE,FALSE)</f>
        <v>1</v>
      </c>
      <c r="N16" s="63"/>
      <c r="O16" s="88" t="s">
        <v>187</v>
      </c>
      <c r="P16" s="85">
        <v>3</v>
      </c>
      <c r="Q16" s="118" t="str">
        <f>REPLACE(INDEX(GroupVertices[Group],MATCH(Edges[[#This Row],[Vertex 1]],GroupVertices[Vertex],0)),1,1,"")</f>
        <v>2</v>
      </c>
      <c r="R16" s="118" t="str">
        <f>REPLACE(INDEX(GroupVertices[Group],MATCH(Edges[[#This Row],[Vertex 2]],GroupVertices[Vertex],0)),1,1,"")</f>
        <v>2</v>
      </c>
    </row>
    <row r="17" spans="1:18" ht="15.75">
      <c r="A17" s="84" t="s">
        <v>179</v>
      </c>
      <c r="B17" s="86" t="s">
        <v>181</v>
      </c>
      <c r="C17" s="53"/>
      <c r="D17" s="54">
        <v>1</v>
      </c>
      <c r="E17" s="65"/>
      <c r="F17" s="55"/>
      <c r="G17" s="53"/>
      <c r="H17" s="57"/>
      <c r="I17" s="56"/>
      <c r="J17" s="56"/>
      <c r="K17" s="36" t="s">
        <v>66</v>
      </c>
      <c r="L17" s="83">
        <v>17</v>
      </c>
      <c r="M17" s="83" t="b">
        <f>IF(AND(OR(NOT(ISNUMBER([Width])),[Width]&gt;=Misc!$O$2),OR(NOT(ISNUMBER([Width])),[Width]&lt;=Misc!$P$2),OR(NOT(ISNUMBER([Frequency])),[Frequency]&gt;=Misc!$O$3),OR(NOT(ISNUMBER([Frequency])),[Frequency]&lt;=Misc!$P$3),TRUE),TRUE,FALSE)</f>
        <v>1</v>
      </c>
      <c r="N17" s="63"/>
      <c r="O17" s="88" t="s">
        <v>195</v>
      </c>
      <c r="P17" s="85">
        <v>1</v>
      </c>
      <c r="Q17" s="118" t="str">
        <f>REPLACE(INDEX(GroupVertices[Group],MATCH(Edges[[#This Row],[Vertex 1]],GroupVertices[Vertex],0)),1,1,"")</f>
        <v>1</v>
      </c>
      <c r="R17" s="118" t="str">
        <f>REPLACE(INDEX(GroupVertices[Group],MATCH(Edges[[#This Row],[Vertex 2]],GroupVertices[Vertex],0)),1,1,"")</f>
        <v>1</v>
      </c>
    </row>
    <row r="18" spans="1:18" ht="15.75">
      <c r="A18" s="84" t="s">
        <v>178</v>
      </c>
      <c r="B18" s="87" t="s">
        <v>179</v>
      </c>
      <c r="C18" s="53" t="s">
        <v>279</v>
      </c>
      <c r="D18" s="54">
        <v>1</v>
      </c>
      <c r="E18" s="65"/>
      <c r="F18" s="55"/>
      <c r="G18" s="53"/>
      <c r="H18" s="57"/>
      <c r="I18" s="56"/>
      <c r="J18" s="56"/>
      <c r="K18" s="36" t="s">
        <v>65</v>
      </c>
      <c r="L18" s="83">
        <v>18</v>
      </c>
      <c r="M18" s="83" t="b">
        <f>IF(AND(OR(NOT(ISNUMBER([Width])),[Width]&gt;=Misc!$O$2),OR(NOT(ISNUMBER([Width])),[Width]&lt;=Misc!$P$2),OR(NOT(ISNUMBER([Frequency])),[Frequency]&gt;=Misc!$O$3),OR(NOT(ISNUMBER([Frequency])),[Frequency]&lt;=Misc!$P$3),TRUE),TRUE,FALSE)</f>
        <v>1</v>
      </c>
      <c r="N18" s="63"/>
      <c r="O18" s="88" t="s">
        <v>190</v>
      </c>
      <c r="P18" s="85">
        <v>1</v>
      </c>
      <c r="Q18" s="118" t="str">
        <f>REPLACE(INDEX(GroupVertices[Group],MATCH(Edges[[#This Row],[Vertex 1]],GroupVertices[Vertex],0)),1,1,"")</f>
        <v>1</v>
      </c>
      <c r="R18" s="118" t="str">
        <f>REPLACE(INDEX(GroupVertices[Group],MATCH(Edges[[#This Row],[Vertex 2]],GroupVertices[Vertex],0)),1,1,"")</f>
        <v>1</v>
      </c>
    </row>
    <row r="19" spans="1:18" ht="15.75">
      <c r="A19" s="84" t="s">
        <v>178</v>
      </c>
      <c r="B19" s="86" t="s">
        <v>181</v>
      </c>
      <c r="C19" s="53" t="s">
        <v>279</v>
      </c>
      <c r="D19" s="54">
        <v>1</v>
      </c>
      <c r="E19" s="65"/>
      <c r="F19" s="55"/>
      <c r="G19" s="53"/>
      <c r="H19" s="57"/>
      <c r="I19" s="56"/>
      <c r="J19" s="56"/>
      <c r="K19" s="36" t="s">
        <v>65</v>
      </c>
      <c r="L19" s="83">
        <v>19</v>
      </c>
      <c r="M19" s="83" t="b">
        <f>IF(AND(OR(NOT(ISNUMBER([Width])),[Width]&gt;=Misc!$O$2),OR(NOT(ISNUMBER([Width])),[Width]&lt;=Misc!$P$2),OR(NOT(ISNUMBER([Frequency])),[Frequency]&gt;=Misc!$O$3),OR(NOT(ISNUMBER([Frequency])),[Frequency]&lt;=Misc!$P$3),TRUE),TRUE,FALSE)</f>
        <v>1</v>
      </c>
      <c r="N19" s="63"/>
      <c r="O19" s="88" t="s">
        <v>190</v>
      </c>
      <c r="P19" s="85">
        <v>1</v>
      </c>
      <c r="Q19" s="118" t="str">
        <f>REPLACE(INDEX(GroupVertices[Group],MATCH(Edges[[#This Row],[Vertex 1]],GroupVertices[Vertex],0)),1,1,"")</f>
        <v>1</v>
      </c>
      <c r="R19" s="118" t="str">
        <f>REPLACE(INDEX(GroupVertices[Group],MATCH(Edges[[#This Row],[Vertex 2]],GroupVertices[Vertex],0)),1,1,"")</f>
        <v>1</v>
      </c>
    </row>
    <row r="20" spans="1:18" ht="15.75">
      <c r="A20" s="84" t="s">
        <v>178</v>
      </c>
      <c r="B20" s="86" t="s">
        <v>175</v>
      </c>
      <c r="C20" s="53" t="s">
        <v>279</v>
      </c>
      <c r="D20" s="54">
        <v>1</v>
      </c>
      <c r="E20" s="65"/>
      <c r="F20" s="55"/>
      <c r="G20" s="53"/>
      <c r="H20" s="57"/>
      <c r="I20" s="56"/>
      <c r="J20" s="56"/>
      <c r="K20" s="36" t="s">
        <v>65</v>
      </c>
      <c r="L20" s="83">
        <v>20</v>
      </c>
      <c r="M20" s="83" t="b">
        <f>IF(AND(OR(NOT(ISNUMBER([Width])),[Width]&gt;=Misc!$O$2),OR(NOT(ISNUMBER([Width])),[Width]&lt;=Misc!$P$2),OR(NOT(ISNUMBER([Frequency])),[Frequency]&gt;=Misc!$O$3),OR(NOT(ISNUMBER([Frequency])),[Frequency]&lt;=Misc!$P$3),TRUE),TRUE,FALSE)</f>
        <v>1</v>
      </c>
      <c r="N20" s="63"/>
      <c r="O20" s="88" t="s">
        <v>190</v>
      </c>
      <c r="P20" s="85">
        <v>1</v>
      </c>
      <c r="Q20" s="118" t="str">
        <f>REPLACE(INDEX(GroupVertices[Group],MATCH(Edges[[#This Row],[Vertex 1]],GroupVertices[Vertex],0)),1,1,"")</f>
        <v>1</v>
      </c>
      <c r="R20" s="118" t="str">
        <f>REPLACE(INDEX(GroupVertices[Group],MATCH(Edges[[#This Row],[Vertex 2]],GroupVertices[Vertex],0)),1,1,"")</f>
        <v>2</v>
      </c>
    </row>
    <row r="21" spans="1:18" ht="15.75">
      <c r="A21" s="84" t="s">
        <v>176</v>
      </c>
      <c r="B21" s="86" t="s">
        <v>179</v>
      </c>
      <c r="C21" s="53" t="s">
        <v>275</v>
      </c>
      <c r="D21" s="54">
        <v>2.75</v>
      </c>
      <c r="E21" s="65"/>
      <c r="F21" s="55"/>
      <c r="G21" s="53"/>
      <c r="H21" s="57"/>
      <c r="I21" s="56"/>
      <c r="J21" s="56"/>
      <c r="K21" s="36" t="s">
        <v>66</v>
      </c>
      <c r="L21" s="83">
        <v>21</v>
      </c>
      <c r="M21" s="83" t="b">
        <f>IF(AND(OR(NOT(ISNUMBER([Width])),[Width]&gt;=Misc!$O$2),OR(NOT(ISNUMBER([Width])),[Width]&lt;=Misc!$P$2),OR(NOT(ISNUMBER([Frequency])),[Frequency]&gt;=Misc!$O$3),OR(NOT(ISNUMBER([Frequency])),[Frequency]&lt;=Misc!$P$3),TRUE),TRUE,FALSE)</f>
        <v>1</v>
      </c>
      <c r="N21" s="63"/>
      <c r="O21" s="88" t="s">
        <v>186</v>
      </c>
      <c r="P21" s="85">
        <v>3</v>
      </c>
      <c r="Q21" s="118" t="str">
        <f>REPLACE(INDEX(GroupVertices[Group],MATCH(Edges[[#This Row],[Vertex 1]],GroupVertices[Vertex],0)),1,1,"")</f>
        <v>2</v>
      </c>
      <c r="R21" s="118" t="str">
        <f>REPLACE(INDEX(GroupVertices[Group],MATCH(Edges[[#This Row],[Vertex 2]],GroupVertices[Vertex],0)),1,1,"")</f>
        <v>1</v>
      </c>
    </row>
    <row r="22" spans="1:18" ht="15.75">
      <c r="A22" s="84" t="s">
        <v>177</v>
      </c>
      <c r="B22" s="86" t="s">
        <v>179</v>
      </c>
      <c r="C22" s="53" t="s">
        <v>275</v>
      </c>
      <c r="D22" s="54">
        <v>1.875</v>
      </c>
      <c r="E22" s="65"/>
      <c r="F22" s="55"/>
      <c r="G22" s="53"/>
      <c r="H22" s="57"/>
      <c r="I22" s="56"/>
      <c r="J22" s="56"/>
      <c r="K22" s="36" t="s">
        <v>66</v>
      </c>
      <c r="L22" s="83">
        <v>22</v>
      </c>
      <c r="M22" s="83" t="b">
        <f>IF(AND(OR(NOT(ISNUMBER([Width])),[Width]&gt;=Misc!$O$2),OR(NOT(ISNUMBER([Width])),[Width]&lt;=Misc!$P$2),OR(NOT(ISNUMBER([Frequency])),[Frequency]&gt;=Misc!$O$3),OR(NOT(ISNUMBER([Frequency])),[Frequency]&lt;=Misc!$P$3),TRUE),TRUE,FALSE)</f>
        <v>1</v>
      </c>
      <c r="N22" s="63"/>
      <c r="O22" s="88" t="s">
        <v>186</v>
      </c>
      <c r="P22" s="85">
        <v>2</v>
      </c>
      <c r="Q22" s="118" t="str">
        <f>REPLACE(INDEX(GroupVertices[Group],MATCH(Edges[[#This Row],[Vertex 1]],GroupVertices[Vertex],0)),1,1,"")</f>
        <v>2</v>
      </c>
      <c r="R22" s="118" t="str">
        <f>REPLACE(INDEX(GroupVertices[Group],MATCH(Edges[[#This Row],[Vertex 2]],GroupVertices[Vertex],0)),1,1,"")</f>
        <v>1</v>
      </c>
    </row>
    <row r="23" spans="1:18" ht="15.75">
      <c r="A23" s="84" t="s">
        <v>176</v>
      </c>
      <c r="B23" s="86" t="s">
        <v>177</v>
      </c>
      <c r="C23" s="53" t="s">
        <v>275</v>
      </c>
      <c r="D23" s="54">
        <v>2.75</v>
      </c>
      <c r="E23" s="65"/>
      <c r="F23" s="55"/>
      <c r="G23" s="53"/>
      <c r="H23" s="57"/>
      <c r="I23" s="56"/>
      <c r="J23" s="56"/>
      <c r="K23" s="36" t="s">
        <v>66</v>
      </c>
      <c r="L23" s="83">
        <v>23</v>
      </c>
      <c r="M23" s="83" t="b">
        <f>IF(AND(OR(NOT(ISNUMBER([Width])),[Width]&gt;=Misc!$O$2),OR(NOT(ISNUMBER([Width])),[Width]&lt;=Misc!$P$2),OR(NOT(ISNUMBER([Frequency])),[Frequency]&gt;=Misc!$O$3),OR(NOT(ISNUMBER([Frequency])),[Frequency]&lt;=Misc!$P$3),TRUE),TRUE,FALSE)</f>
        <v>1</v>
      </c>
      <c r="N23" s="63"/>
      <c r="O23" s="88" t="s">
        <v>186</v>
      </c>
      <c r="P23" s="85">
        <v>3</v>
      </c>
      <c r="Q23" s="118" t="str">
        <f>REPLACE(INDEX(GroupVertices[Group],MATCH(Edges[[#This Row],[Vertex 1]],GroupVertices[Vertex],0)),1,1,"")</f>
        <v>2</v>
      </c>
      <c r="R23" s="118" t="str">
        <f>REPLACE(INDEX(GroupVertices[Group],MATCH(Edges[[#This Row],[Vertex 2]],GroupVertices[Vertex],0)),1,1,"")</f>
        <v>2</v>
      </c>
    </row>
    <row r="24" spans="1:18" ht="15.75">
      <c r="A24" s="96" t="s">
        <v>178</v>
      </c>
      <c r="B24" s="86" t="s">
        <v>181</v>
      </c>
      <c r="C24" s="53" t="s">
        <v>275</v>
      </c>
      <c r="D24" s="54">
        <v>2.75</v>
      </c>
      <c r="E24" s="65"/>
      <c r="F24" s="55"/>
      <c r="G24" s="53"/>
      <c r="H24" s="57"/>
      <c r="I24" s="56"/>
      <c r="J24" s="56"/>
      <c r="K24" s="36" t="s">
        <v>66</v>
      </c>
      <c r="L24" s="83">
        <v>24</v>
      </c>
      <c r="M24" s="83" t="b">
        <f>IF(AND(OR(NOT(ISNUMBER([Width])),[Width]&gt;=Misc!$O$2),OR(NOT(ISNUMBER([Width])),[Width]&lt;=Misc!$P$2),OR(NOT(ISNUMBER([Frequency])),[Frequency]&gt;=Misc!$O$3),OR(NOT(ISNUMBER([Frequency])),[Frequency]&lt;=Misc!$P$3),TRUE),TRUE,FALSE)</f>
        <v>1</v>
      </c>
      <c r="N24" s="63"/>
      <c r="O24" s="88" t="s">
        <v>186</v>
      </c>
      <c r="P24" s="85">
        <v>3</v>
      </c>
      <c r="Q24" s="118" t="str">
        <f>REPLACE(INDEX(GroupVertices[Group],MATCH(Edges[[#This Row],[Vertex 1]],GroupVertices[Vertex],0)),1,1,"")</f>
        <v>1</v>
      </c>
      <c r="R24" s="118" t="str">
        <f>REPLACE(INDEX(GroupVertices[Group],MATCH(Edges[[#This Row],[Vertex 2]],GroupVertices[Vertex],0)),1,1,"")</f>
        <v>1</v>
      </c>
    </row>
    <row r="25" spans="1:18" ht="15.75">
      <c r="A25" s="96" t="s">
        <v>179</v>
      </c>
      <c r="B25" s="86" t="s">
        <v>175</v>
      </c>
      <c r="C25" s="53" t="s">
        <v>275</v>
      </c>
      <c r="D25" s="54">
        <v>1</v>
      </c>
      <c r="E25" s="65"/>
      <c r="F25" s="55"/>
      <c r="G25" s="53"/>
      <c r="H25" s="57"/>
      <c r="I25" s="56"/>
      <c r="J25" s="56"/>
      <c r="K25" s="36" t="s">
        <v>66</v>
      </c>
      <c r="L25" s="83">
        <v>25</v>
      </c>
      <c r="M25" s="83" t="b">
        <f>IF(AND(OR(NOT(ISNUMBER([Width])),[Width]&gt;=Misc!$O$2),OR(NOT(ISNUMBER([Width])),[Width]&lt;=Misc!$P$2),OR(NOT(ISNUMBER([Frequency])),[Frequency]&gt;=Misc!$O$3),OR(NOT(ISNUMBER([Frequency])),[Frequency]&lt;=Misc!$P$3),TRUE),TRUE,FALSE)</f>
        <v>1</v>
      </c>
      <c r="N25" s="63"/>
      <c r="O25" s="88" t="s">
        <v>186</v>
      </c>
      <c r="P25" s="85">
        <v>1</v>
      </c>
      <c r="Q25" s="118" t="str">
        <f>REPLACE(INDEX(GroupVertices[Group],MATCH(Edges[[#This Row],[Vertex 1]],GroupVertices[Vertex],0)),1,1,"")</f>
        <v>1</v>
      </c>
      <c r="R25" s="118" t="str">
        <f>REPLACE(INDEX(GroupVertices[Group],MATCH(Edges[[#This Row],[Vertex 2]],GroupVertices[Vertex],0)),1,1,"")</f>
        <v>2</v>
      </c>
    </row>
    <row r="26" spans="1:18" ht="15.75">
      <c r="A26" s="84" t="s">
        <v>179</v>
      </c>
      <c r="B26" s="86" t="s">
        <v>181</v>
      </c>
      <c r="C26" s="53" t="s">
        <v>275</v>
      </c>
      <c r="D26" s="54">
        <v>3.625</v>
      </c>
      <c r="E26" s="65"/>
      <c r="F26" s="55"/>
      <c r="G26" s="53"/>
      <c r="H26" s="57"/>
      <c r="I26" s="56"/>
      <c r="J26" s="56"/>
      <c r="K26" s="36" t="s">
        <v>66</v>
      </c>
      <c r="L26" s="83">
        <v>26</v>
      </c>
      <c r="M26" s="83" t="b">
        <f>IF(AND(OR(NOT(ISNUMBER([Width])),[Width]&gt;=Misc!$O$2),OR(NOT(ISNUMBER([Width])),[Width]&lt;=Misc!$P$2),OR(NOT(ISNUMBER([Frequency])),[Frequency]&gt;=Misc!$O$3),OR(NOT(ISNUMBER([Frequency])),[Frequency]&lt;=Misc!$P$3),TRUE),TRUE,FALSE)</f>
        <v>1</v>
      </c>
      <c r="N26" s="63"/>
      <c r="O26" s="88" t="s">
        <v>186</v>
      </c>
      <c r="P26" s="85">
        <v>4</v>
      </c>
      <c r="Q26" s="118" t="str">
        <f>REPLACE(INDEX(GroupVertices[Group],MATCH(Edges[[#This Row],[Vertex 1]],GroupVertices[Vertex],0)),1,1,"")</f>
        <v>1</v>
      </c>
      <c r="R26" s="118" t="str">
        <f>REPLACE(INDEX(GroupVertices[Group],MATCH(Edges[[#This Row],[Vertex 2]],GroupVertices[Vertex],0)),1,1,"")</f>
        <v>1</v>
      </c>
    </row>
    <row r="27" spans="1:18" ht="15.75">
      <c r="A27" s="84" t="s">
        <v>178</v>
      </c>
      <c r="B27" s="97" t="s">
        <v>179</v>
      </c>
      <c r="C27" s="53" t="s">
        <v>275</v>
      </c>
      <c r="D27" s="54">
        <v>2.75</v>
      </c>
      <c r="E27" s="65"/>
      <c r="F27" s="55"/>
      <c r="G27" s="53"/>
      <c r="H27" s="57"/>
      <c r="I27" s="56"/>
      <c r="J27" s="56"/>
      <c r="K27" s="36" t="s">
        <v>66</v>
      </c>
      <c r="L27" s="83">
        <v>27</v>
      </c>
      <c r="M27" s="83" t="b">
        <f>IF(AND(OR(NOT(ISNUMBER([Width])),[Width]&gt;=Misc!$O$2),OR(NOT(ISNUMBER([Width])),[Width]&lt;=Misc!$P$2),OR(NOT(ISNUMBER([Frequency])),[Frequency]&gt;=Misc!$O$3),OR(NOT(ISNUMBER([Frequency])),[Frequency]&lt;=Misc!$P$3),TRUE),TRUE,FALSE)</f>
        <v>1</v>
      </c>
      <c r="N27" s="63"/>
      <c r="O27" s="88" t="s">
        <v>186</v>
      </c>
      <c r="P27" s="85">
        <v>3</v>
      </c>
      <c r="Q27" s="118" t="str">
        <f>REPLACE(INDEX(GroupVertices[Group],MATCH(Edges[[#This Row],[Vertex 1]],GroupVertices[Vertex],0)),1,1,"")</f>
        <v>1</v>
      </c>
      <c r="R27" s="118" t="str">
        <f>REPLACE(INDEX(GroupVertices[Group],MATCH(Edges[[#This Row],[Vertex 2]],GroupVertices[Vertex],0)),1,1,"")</f>
        <v>1</v>
      </c>
    </row>
    <row r="28" spans="1:18" ht="15.75">
      <c r="A28" s="84" t="s">
        <v>178</v>
      </c>
      <c r="B28" s="86" t="s">
        <v>175</v>
      </c>
      <c r="C28" s="53" t="s">
        <v>275</v>
      </c>
      <c r="D28" s="54">
        <v>1</v>
      </c>
      <c r="E28" s="65"/>
      <c r="F28" s="55"/>
      <c r="G28" s="53"/>
      <c r="H28" s="57"/>
      <c r="I28" s="56"/>
      <c r="J28" s="56"/>
      <c r="K28" s="36" t="s">
        <v>66</v>
      </c>
      <c r="L28" s="83">
        <v>28</v>
      </c>
      <c r="M28" s="83" t="b">
        <f>IF(AND(OR(NOT(ISNUMBER([Width])),[Width]&gt;=Misc!$O$2),OR(NOT(ISNUMBER([Width])),[Width]&lt;=Misc!$P$2),OR(NOT(ISNUMBER([Frequency])),[Frequency]&gt;=Misc!$O$3),OR(NOT(ISNUMBER([Frequency])),[Frequency]&lt;=Misc!$P$3),TRUE),TRUE,FALSE)</f>
        <v>1</v>
      </c>
      <c r="N28" s="63"/>
      <c r="O28" s="88" t="s">
        <v>186</v>
      </c>
      <c r="P28" s="85">
        <v>1</v>
      </c>
      <c r="Q28" s="118" t="str">
        <f>REPLACE(INDEX(GroupVertices[Group],MATCH(Edges[[#This Row],[Vertex 1]],GroupVertices[Vertex],0)),1,1,"")</f>
        <v>1</v>
      </c>
      <c r="R28" s="118" t="str">
        <f>REPLACE(INDEX(GroupVertices[Group],MATCH(Edges[[#This Row],[Vertex 2]],GroupVertices[Vertex],0)),1,1,"")</f>
        <v>2</v>
      </c>
    </row>
    <row r="29" spans="1:18" ht="15.75">
      <c r="A29" s="84" t="s">
        <v>176</v>
      </c>
      <c r="B29" s="86" t="s">
        <v>184</v>
      </c>
      <c r="C29" s="53" t="s">
        <v>275</v>
      </c>
      <c r="D29" s="54">
        <v>1.875</v>
      </c>
      <c r="E29" s="65"/>
      <c r="F29" s="55"/>
      <c r="G29" s="53"/>
      <c r="H29" s="57"/>
      <c r="I29" s="56"/>
      <c r="J29" s="56"/>
      <c r="K29" s="36" t="s">
        <v>66</v>
      </c>
      <c r="L29" s="83">
        <v>29</v>
      </c>
      <c r="M29" s="83" t="b">
        <f>IF(AND(OR(NOT(ISNUMBER([Width])),[Width]&gt;=Misc!$O$2),OR(NOT(ISNUMBER([Width])),[Width]&lt;=Misc!$P$2),OR(NOT(ISNUMBER([Frequency])),[Frequency]&gt;=Misc!$O$3),OR(NOT(ISNUMBER([Frequency])),[Frequency]&lt;=Misc!$P$3),TRUE),TRUE,FALSE)</f>
        <v>1</v>
      </c>
      <c r="N29" s="63"/>
      <c r="O29" s="88" t="s">
        <v>186</v>
      </c>
      <c r="P29" s="85">
        <v>2</v>
      </c>
      <c r="Q29" s="118" t="str">
        <f>REPLACE(INDEX(GroupVertices[Group],MATCH(Edges[[#This Row],[Vertex 1]],GroupVertices[Vertex],0)),1,1,"")</f>
        <v>2</v>
      </c>
      <c r="R29" s="118" t="str">
        <f>REPLACE(INDEX(GroupVertices[Group],MATCH(Edges[[#This Row],[Vertex 2]],GroupVertices[Vertex],0)),1,1,"")</f>
        <v>2</v>
      </c>
    </row>
    <row r="30" spans="1:18" ht="15.75">
      <c r="A30" s="84" t="s">
        <v>178</v>
      </c>
      <c r="B30" s="86" t="s">
        <v>184</v>
      </c>
      <c r="C30" s="53" t="s">
        <v>275</v>
      </c>
      <c r="D30" s="54">
        <v>1</v>
      </c>
      <c r="E30" s="65"/>
      <c r="F30" s="55"/>
      <c r="G30" s="53"/>
      <c r="H30" s="57"/>
      <c r="I30" s="56"/>
      <c r="J30" s="56"/>
      <c r="K30" s="36" t="s">
        <v>66</v>
      </c>
      <c r="L30" s="83">
        <v>30</v>
      </c>
      <c r="M30" s="83" t="b">
        <f>IF(AND(OR(NOT(ISNUMBER([Width])),[Width]&gt;=Misc!$O$2),OR(NOT(ISNUMBER([Width])),[Width]&lt;=Misc!$P$2),OR(NOT(ISNUMBER([Frequency])),[Frequency]&gt;=Misc!$O$3),OR(NOT(ISNUMBER([Frequency])),[Frequency]&lt;=Misc!$P$3),TRUE),TRUE,FALSE)</f>
        <v>1</v>
      </c>
      <c r="N30" s="63"/>
      <c r="O30" s="88" t="s">
        <v>186</v>
      </c>
      <c r="P30" s="85">
        <v>1</v>
      </c>
      <c r="Q30" s="118" t="str">
        <f>REPLACE(INDEX(GroupVertices[Group],MATCH(Edges[[#This Row],[Vertex 1]],GroupVertices[Vertex],0)),1,1,"")</f>
        <v>1</v>
      </c>
      <c r="R30" s="118" t="str">
        <f>REPLACE(INDEX(GroupVertices[Group],MATCH(Edges[[#This Row],[Vertex 2]],GroupVertices[Vertex],0)),1,1,"")</f>
        <v>2</v>
      </c>
    </row>
    <row r="31" spans="1:18" ht="15.75">
      <c r="A31" s="96" t="s">
        <v>176</v>
      </c>
      <c r="B31" s="86" t="s">
        <v>175</v>
      </c>
      <c r="C31" s="53" t="s">
        <v>275</v>
      </c>
      <c r="D31" s="54">
        <v>2.75</v>
      </c>
      <c r="E31" s="65"/>
      <c r="F31" s="55"/>
      <c r="G31" s="53"/>
      <c r="H31" s="57"/>
      <c r="I31" s="56"/>
      <c r="J31" s="56"/>
      <c r="K31" s="36" t="s">
        <v>66</v>
      </c>
      <c r="L31" s="83">
        <v>31</v>
      </c>
      <c r="M31" s="83" t="b">
        <f>IF(AND(OR(NOT(ISNUMBER([Width])),[Width]&gt;=Misc!$O$2),OR(NOT(ISNUMBER([Width])),[Width]&lt;=Misc!$P$2),OR(NOT(ISNUMBER([Frequency])),[Frequency]&gt;=Misc!$O$3),OR(NOT(ISNUMBER([Frequency])),[Frequency]&lt;=Misc!$P$3),TRUE),TRUE,FALSE)</f>
        <v>1</v>
      </c>
      <c r="N31" s="63"/>
      <c r="O31" s="88" t="s">
        <v>186</v>
      </c>
      <c r="P31" s="85">
        <v>3</v>
      </c>
      <c r="Q31" s="118" t="str">
        <f>REPLACE(INDEX(GroupVertices[Group],MATCH(Edges[[#This Row],[Vertex 1]],GroupVertices[Vertex],0)),1,1,"")</f>
        <v>2</v>
      </c>
      <c r="R31" s="118" t="str">
        <f>REPLACE(INDEX(GroupVertices[Group],MATCH(Edges[[#This Row],[Vertex 2]],GroupVertices[Vertex],0)),1,1,"")</f>
        <v>2</v>
      </c>
    </row>
    <row r="32" spans="1:18" ht="15.75">
      <c r="A32" s="96" t="s">
        <v>177</v>
      </c>
      <c r="B32" s="86" t="s">
        <v>183</v>
      </c>
      <c r="C32" s="53" t="s">
        <v>275</v>
      </c>
      <c r="D32" s="54">
        <v>1</v>
      </c>
      <c r="E32" s="65"/>
      <c r="F32" s="55"/>
      <c r="G32" s="53"/>
      <c r="H32" s="57"/>
      <c r="I32" s="56"/>
      <c r="J32" s="56"/>
      <c r="K32" s="36" t="s">
        <v>66</v>
      </c>
      <c r="L32" s="83">
        <v>32</v>
      </c>
      <c r="M32" s="83" t="b">
        <f>IF(AND(OR(NOT(ISNUMBER([Width])),[Width]&gt;=Misc!$O$2),OR(NOT(ISNUMBER([Width])),[Width]&lt;=Misc!$P$2),OR(NOT(ISNUMBER([Frequency])),[Frequency]&gt;=Misc!$O$3),OR(NOT(ISNUMBER([Frequency])),[Frequency]&lt;=Misc!$P$3),TRUE),TRUE,FALSE)</f>
        <v>1</v>
      </c>
      <c r="N32" s="63"/>
      <c r="O32" s="88" t="s">
        <v>186</v>
      </c>
      <c r="P32" s="85">
        <v>1</v>
      </c>
      <c r="Q32" s="118" t="str">
        <f>REPLACE(INDEX(GroupVertices[Group],MATCH(Edges[[#This Row],[Vertex 1]],GroupVertices[Vertex],0)),1,1,"")</f>
        <v>2</v>
      </c>
      <c r="R32" s="118" t="str">
        <f>REPLACE(INDEX(GroupVertices[Group],MATCH(Edges[[#This Row],[Vertex 2]],GroupVertices[Vertex],0)),1,1,"")</f>
        <v>1</v>
      </c>
    </row>
    <row r="33" spans="1:18" ht="15.75">
      <c r="A33" s="97" t="s">
        <v>179</v>
      </c>
      <c r="B33" s="86" t="s">
        <v>183</v>
      </c>
      <c r="C33" s="53" t="s">
        <v>275</v>
      </c>
      <c r="D33" s="54">
        <v>1</v>
      </c>
      <c r="E33" s="65"/>
      <c r="F33" s="55"/>
      <c r="G33" s="53"/>
      <c r="H33" s="57"/>
      <c r="I33" s="56"/>
      <c r="J33" s="56"/>
      <c r="K33" s="36" t="s">
        <v>66</v>
      </c>
      <c r="L33" s="83">
        <v>33</v>
      </c>
      <c r="M33" s="83" t="b">
        <f>IF(AND(OR(NOT(ISNUMBER([Width])),[Width]&gt;=Misc!$O$2),OR(NOT(ISNUMBER([Width])),[Width]&lt;=Misc!$P$2),OR(NOT(ISNUMBER([Frequency])),[Frequency]&gt;=Misc!$O$3),OR(NOT(ISNUMBER([Frequency])),[Frequency]&lt;=Misc!$P$3),TRUE),TRUE,FALSE)</f>
        <v>1</v>
      </c>
      <c r="N33" s="63"/>
      <c r="O33" s="88" t="s">
        <v>186</v>
      </c>
      <c r="P33" s="85">
        <v>1</v>
      </c>
      <c r="Q33" s="118" t="str">
        <f>REPLACE(INDEX(GroupVertices[Group],MATCH(Edges[[#This Row],[Vertex 1]],GroupVertices[Vertex],0)),1,1,"")</f>
        <v>1</v>
      </c>
      <c r="R33" s="118" t="str">
        <f>REPLACE(INDEX(GroupVertices[Group],MATCH(Edges[[#This Row],[Vertex 2]],GroupVertices[Vertex],0)),1,1,"")</f>
        <v>1</v>
      </c>
    </row>
    <row r="34" spans="1:18" ht="15.75">
      <c r="A34" s="97" t="s">
        <v>179</v>
      </c>
      <c r="B34" s="86" t="s">
        <v>180</v>
      </c>
      <c r="C34" s="53" t="s">
        <v>275</v>
      </c>
      <c r="D34" s="54">
        <v>1</v>
      </c>
      <c r="E34" s="65"/>
      <c r="F34" s="55"/>
      <c r="G34" s="53"/>
      <c r="H34" s="57"/>
      <c r="I34" s="56"/>
      <c r="J34" s="56"/>
      <c r="K34" s="36" t="s">
        <v>66</v>
      </c>
      <c r="L34" s="83">
        <v>34</v>
      </c>
      <c r="M34" s="83" t="b">
        <f>IF(AND(OR(NOT(ISNUMBER([Width])),[Width]&gt;=Misc!$O$2),OR(NOT(ISNUMBER([Width])),[Width]&lt;=Misc!$P$2),OR(NOT(ISNUMBER([Frequency])),[Frequency]&gt;=Misc!$O$3),OR(NOT(ISNUMBER([Frequency])),[Frequency]&lt;=Misc!$P$3),TRUE),TRUE,FALSE)</f>
        <v>1</v>
      </c>
      <c r="N34" s="63"/>
      <c r="O34" s="88" t="s">
        <v>186</v>
      </c>
      <c r="P34" s="85">
        <v>1</v>
      </c>
      <c r="Q34" s="118" t="str">
        <f>REPLACE(INDEX(GroupVertices[Group],MATCH(Edges[[#This Row],[Vertex 1]],GroupVertices[Vertex],0)),1,1,"")</f>
        <v>1</v>
      </c>
      <c r="R34" s="118" t="str">
        <f>REPLACE(INDEX(GroupVertices[Group],MATCH(Edges[[#This Row],[Vertex 2]],GroupVertices[Vertex],0)),1,1,"")</f>
        <v>1</v>
      </c>
    </row>
    <row r="35" spans="1:18" ht="15.75">
      <c r="A35" s="84" t="s">
        <v>180</v>
      </c>
      <c r="B35" s="86" t="s">
        <v>183</v>
      </c>
      <c r="C35" s="53" t="s">
        <v>275</v>
      </c>
      <c r="D35" s="54">
        <v>2.75</v>
      </c>
      <c r="E35" s="65"/>
      <c r="F35" s="55"/>
      <c r="G35" s="53"/>
      <c r="H35" s="57"/>
      <c r="I35" s="56"/>
      <c r="J35" s="56"/>
      <c r="K35" s="36" t="s">
        <v>66</v>
      </c>
      <c r="L35" s="83">
        <v>35</v>
      </c>
      <c r="M35" s="83" t="b">
        <f>IF(AND(OR(NOT(ISNUMBER([Width])),[Width]&gt;=Misc!$O$2),OR(NOT(ISNUMBER([Width])),[Width]&lt;=Misc!$P$2),OR(NOT(ISNUMBER([Frequency])),[Frequency]&gt;=Misc!$O$3),OR(NOT(ISNUMBER([Frequency])),[Frequency]&lt;=Misc!$P$3),TRUE),TRUE,FALSE)</f>
        <v>1</v>
      </c>
      <c r="N35" s="63"/>
      <c r="O35" s="88" t="s">
        <v>186</v>
      </c>
      <c r="P35" s="85">
        <v>3</v>
      </c>
      <c r="Q35" s="118" t="str">
        <f>REPLACE(INDEX(GroupVertices[Group],MATCH(Edges[[#This Row],[Vertex 1]],GroupVertices[Vertex],0)),1,1,"")</f>
        <v>1</v>
      </c>
      <c r="R35" s="118" t="str">
        <f>REPLACE(INDEX(GroupVertices[Group],MATCH(Edges[[#This Row],[Vertex 2]],GroupVertices[Vertex],0)),1,1,"")</f>
        <v>1</v>
      </c>
    </row>
    <row r="36" spans="1:18" ht="15.75">
      <c r="A36" s="84" t="s">
        <v>177</v>
      </c>
      <c r="B36" s="86" t="s">
        <v>182</v>
      </c>
      <c r="C36" s="53" t="s">
        <v>275</v>
      </c>
      <c r="D36" s="54">
        <v>1</v>
      </c>
      <c r="E36" s="65"/>
      <c r="F36" s="55"/>
      <c r="G36" s="53"/>
      <c r="H36" s="57"/>
      <c r="I36" s="56"/>
      <c r="J36" s="56"/>
      <c r="K36" s="36" t="s">
        <v>66</v>
      </c>
      <c r="L36" s="83">
        <v>36</v>
      </c>
      <c r="M36" s="83" t="b">
        <f>IF(AND(OR(NOT(ISNUMBER([Width])),[Width]&gt;=Misc!$O$2),OR(NOT(ISNUMBER([Width])),[Width]&lt;=Misc!$P$2),OR(NOT(ISNUMBER([Frequency])),[Frequency]&gt;=Misc!$O$3),OR(NOT(ISNUMBER([Frequency])),[Frequency]&lt;=Misc!$P$3),TRUE),TRUE,FALSE)</f>
        <v>1</v>
      </c>
      <c r="N36" s="63"/>
      <c r="O36" s="88" t="s">
        <v>186</v>
      </c>
      <c r="P36" s="85">
        <v>1</v>
      </c>
      <c r="Q36" s="118" t="str">
        <f>REPLACE(INDEX(GroupVertices[Group],MATCH(Edges[[#This Row],[Vertex 1]],GroupVertices[Vertex],0)),1,1,"")</f>
        <v>2</v>
      </c>
      <c r="R36" s="118" t="str">
        <f>REPLACE(INDEX(GroupVertices[Group],MATCH(Edges[[#This Row],[Vertex 2]],GroupVertices[Vertex],0)),1,1,"")</f>
        <v>2</v>
      </c>
    </row>
    <row r="37" spans="1:18" ht="15.75">
      <c r="A37" s="84" t="s">
        <v>181</v>
      </c>
      <c r="B37" s="86" t="s">
        <v>183</v>
      </c>
      <c r="C37" s="53" t="s">
        <v>275</v>
      </c>
      <c r="D37" s="54">
        <v>1</v>
      </c>
      <c r="E37" s="65"/>
      <c r="F37" s="55"/>
      <c r="G37" s="53"/>
      <c r="H37" s="57"/>
      <c r="I37" s="56"/>
      <c r="J37" s="56"/>
      <c r="K37" s="36" t="s">
        <v>66</v>
      </c>
      <c r="L37" s="83">
        <v>37</v>
      </c>
      <c r="M37" s="83" t="b">
        <f>IF(AND(OR(NOT(ISNUMBER([Width])),[Width]&gt;=Misc!$O$2),OR(NOT(ISNUMBER([Width])),[Width]&lt;=Misc!$P$2),OR(NOT(ISNUMBER([Frequency])),[Frequency]&gt;=Misc!$O$3),OR(NOT(ISNUMBER([Frequency])),[Frequency]&lt;=Misc!$P$3),TRUE),TRUE,FALSE)</f>
        <v>1</v>
      </c>
      <c r="N37" s="63"/>
      <c r="O37" s="88" t="s">
        <v>186</v>
      </c>
      <c r="P37" s="85">
        <v>1</v>
      </c>
      <c r="Q37" s="118" t="str">
        <f>REPLACE(INDEX(GroupVertices[Group],MATCH(Edges[[#This Row],[Vertex 1]],GroupVertices[Vertex],0)),1,1,"")</f>
        <v>1</v>
      </c>
      <c r="R37" s="118" t="str">
        <f>REPLACE(INDEX(GroupVertices[Group],MATCH(Edges[[#This Row],[Vertex 2]],GroupVertices[Vertex],0)),1,1,"")</f>
        <v>1</v>
      </c>
    </row>
    <row r="38" spans="1:18" ht="15.75">
      <c r="A38" s="84" t="s">
        <v>181</v>
      </c>
      <c r="B38" s="86" t="s">
        <v>180</v>
      </c>
      <c r="C38" s="53" t="s">
        <v>275</v>
      </c>
      <c r="D38" s="54">
        <v>1</v>
      </c>
      <c r="E38" s="65"/>
      <c r="F38" s="55"/>
      <c r="G38" s="53"/>
      <c r="H38" s="57"/>
      <c r="I38" s="56"/>
      <c r="J38" s="56"/>
      <c r="K38" s="36" t="s">
        <v>66</v>
      </c>
      <c r="L38" s="83">
        <v>38</v>
      </c>
      <c r="M38" s="83" t="b">
        <f>IF(AND(OR(NOT(ISNUMBER([Width])),[Width]&gt;=Misc!$O$2),OR(NOT(ISNUMBER([Width])),[Width]&lt;=Misc!$P$2),OR(NOT(ISNUMBER([Frequency])),[Frequency]&gt;=Misc!$O$3),OR(NOT(ISNUMBER([Frequency])),[Frequency]&lt;=Misc!$P$3),TRUE),TRUE,FALSE)</f>
        <v>1</v>
      </c>
      <c r="N38" s="63"/>
      <c r="O38" s="88" t="s">
        <v>186</v>
      </c>
      <c r="P38" s="85">
        <v>1</v>
      </c>
      <c r="Q38" s="118" t="str">
        <f>REPLACE(INDEX(GroupVertices[Group],MATCH(Edges[[#This Row],[Vertex 1]],GroupVertices[Vertex],0)),1,1,"")</f>
        <v>1</v>
      </c>
      <c r="R38" s="118" t="str">
        <f>REPLACE(INDEX(GroupVertices[Group],MATCH(Edges[[#This Row],[Vertex 2]],GroupVertices[Vertex],0)),1,1,"")</f>
        <v>1</v>
      </c>
    </row>
    <row r="39" spans="1:18" ht="15.75">
      <c r="A39" s="97" t="s">
        <v>178</v>
      </c>
      <c r="B39" s="86" t="s">
        <v>180</v>
      </c>
      <c r="C39" s="53" t="s">
        <v>275</v>
      </c>
      <c r="D39" s="54">
        <v>1.875</v>
      </c>
      <c r="E39" s="65"/>
      <c r="F39" s="55"/>
      <c r="G39" s="53"/>
      <c r="H39" s="57"/>
      <c r="I39" s="56"/>
      <c r="J39" s="56"/>
      <c r="K39" s="36" t="s">
        <v>66</v>
      </c>
      <c r="L39" s="83">
        <v>39</v>
      </c>
      <c r="M39" s="83" t="b">
        <f>IF(AND(OR(NOT(ISNUMBER([Width])),[Width]&gt;=Misc!$O$2),OR(NOT(ISNUMBER([Width])),[Width]&lt;=Misc!$P$2),OR(NOT(ISNUMBER([Frequency])),[Frequency]&gt;=Misc!$O$3),OR(NOT(ISNUMBER([Frequency])),[Frequency]&lt;=Misc!$P$3),TRUE),TRUE,FALSE)</f>
        <v>1</v>
      </c>
      <c r="N39" s="63"/>
      <c r="O39" s="88" t="s">
        <v>186</v>
      </c>
      <c r="P39" s="85">
        <v>2</v>
      </c>
      <c r="Q39" s="118" t="str">
        <f>REPLACE(INDEX(GroupVertices[Group],MATCH(Edges[[#This Row],[Vertex 1]],GroupVertices[Vertex],0)),1,1,"")</f>
        <v>1</v>
      </c>
      <c r="R39" s="118" t="str">
        <f>REPLACE(INDEX(GroupVertices[Group],MATCH(Edges[[#This Row],[Vertex 2]],GroupVertices[Vertex],0)),1,1,"")</f>
        <v>1</v>
      </c>
    </row>
    <row r="40" spans="1:18" ht="15.75">
      <c r="A40" s="84" t="s">
        <v>178</v>
      </c>
      <c r="B40" s="86" t="s">
        <v>183</v>
      </c>
      <c r="C40" s="53" t="s">
        <v>275</v>
      </c>
      <c r="D40" s="54">
        <v>1</v>
      </c>
      <c r="E40" s="65"/>
      <c r="F40" s="55"/>
      <c r="G40" s="53"/>
      <c r="H40" s="57"/>
      <c r="I40" s="56"/>
      <c r="J40" s="56"/>
      <c r="K40" s="36" t="s">
        <v>66</v>
      </c>
      <c r="L40" s="83">
        <v>40</v>
      </c>
      <c r="M40" s="83" t="b">
        <f>IF(AND(OR(NOT(ISNUMBER([Width])),[Width]&gt;=Misc!$O$2),OR(NOT(ISNUMBER([Width])),[Width]&lt;=Misc!$P$2),OR(NOT(ISNUMBER([Frequency])),[Frequency]&gt;=Misc!$O$3),OR(NOT(ISNUMBER([Frequency])),[Frequency]&lt;=Misc!$P$3),TRUE),TRUE,FALSE)</f>
        <v>1</v>
      </c>
      <c r="N40" s="63"/>
      <c r="O40" s="88" t="s">
        <v>186</v>
      </c>
      <c r="P40" s="85">
        <v>1</v>
      </c>
      <c r="Q40" s="118" t="str">
        <f>REPLACE(INDEX(GroupVertices[Group],MATCH(Edges[[#This Row],[Vertex 1]],GroupVertices[Vertex],0)),1,1,"")</f>
        <v>1</v>
      </c>
      <c r="R40" s="118" t="str">
        <f>REPLACE(INDEX(GroupVertices[Group],MATCH(Edges[[#This Row],[Vertex 2]],GroupVertices[Vertex],0)),1,1,"")</f>
        <v>1</v>
      </c>
    </row>
    <row r="41" spans="1:18" ht="15.75">
      <c r="A41" s="84" t="s">
        <v>182</v>
      </c>
      <c r="B41" s="86" t="s">
        <v>176</v>
      </c>
      <c r="C41" s="53" t="s">
        <v>275</v>
      </c>
      <c r="D41" s="54">
        <v>1</v>
      </c>
      <c r="E41" s="65"/>
      <c r="F41" s="55"/>
      <c r="G41" s="53"/>
      <c r="H41" s="57"/>
      <c r="I41" s="56"/>
      <c r="J41" s="56"/>
      <c r="K41" s="36" t="s">
        <v>66</v>
      </c>
      <c r="L41" s="83">
        <v>41</v>
      </c>
      <c r="M41" s="83" t="b">
        <f>IF(AND(OR(NOT(ISNUMBER([Width])),[Width]&gt;=Misc!$O$2),OR(NOT(ISNUMBER([Width])),[Width]&lt;=Misc!$P$2),OR(NOT(ISNUMBER([Frequency])),[Frequency]&gt;=Misc!$O$3),OR(NOT(ISNUMBER([Frequency])),[Frequency]&lt;=Misc!$P$3),TRUE),TRUE,FALSE)</f>
        <v>1</v>
      </c>
      <c r="N41" s="63"/>
      <c r="O41" s="88" t="s">
        <v>186</v>
      </c>
      <c r="P41" s="85">
        <v>1</v>
      </c>
      <c r="Q41" s="118" t="str">
        <f>REPLACE(INDEX(GroupVertices[Group],MATCH(Edges[[#This Row],[Vertex 1]],GroupVertices[Vertex],0)),1,1,"")</f>
        <v>2</v>
      </c>
      <c r="R41" s="118" t="str">
        <f>REPLACE(INDEX(GroupVertices[Group],MATCH(Edges[[#This Row],[Vertex 2]],GroupVertices[Vertex],0)),1,1,"")</f>
        <v>2</v>
      </c>
    </row>
    <row r="42" spans="1:18" ht="15.75">
      <c r="A42" s="84" t="s">
        <v>177</v>
      </c>
      <c r="B42" s="86" t="s">
        <v>180</v>
      </c>
      <c r="C42" s="53" t="s">
        <v>275</v>
      </c>
      <c r="D42" s="54">
        <v>1</v>
      </c>
      <c r="E42" s="65"/>
      <c r="F42" s="55"/>
      <c r="G42" s="53"/>
      <c r="H42" s="57"/>
      <c r="I42" s="56"/>
      <c r="J42" s="56"/>
      <c r="K42" s="36" t="s">
        <v>66</v>
      </c>
      <c r="L42" s="83">
        <v>42</v>
      </c>
      <c r="M42" s="83" t="b">
        <f>IF(AND(OR(NOT(ISNUMBER([Width])),[Width]&gt;=Misc!$O$2),OR(NOT(ISNUMBER([Width])),[Width]&lt;=Misc!$P$2),OR(NOT(ISNUMBER([Frequency])),[Frequency]&gt;=Misc!$O$3),OR(NOT(ISNUMBER([Frequency])),[Frequency]&lt;=Misc!$P$3),TRUE),TRUE,FALSE)</f>
        <v>1</v>
      </c>
      <c r="N42" s="63"/>
      <c r="O42" s="88" t="s">
        <v>186</v>
      </c>
      <c r="P42" s="85">
        <v>1</v>
      </c>
      <c r="Q42" s="118" t="str">
        <f>REPLACE(INDEX(GroupVertices[Group],MATCH(Edges[[#This Row],[Vertex 1]],GroupVertices[Vertex],0)),1,1,"")</f>
        <v>2</v>
      </c>
      <c r="R42" s="118" t="str">
        <f>REPLACE(INDEX(GroupVertices[Group],MATCH(Edges[[#This Row],[Vertex 2]],GroupVertices[Vertex],0)),1,1,"")</f>
        <v>1</v>
      </c>
    </row>
    <row r="43" spans="1:18" ht="15.75">
      <c r="A43" s="84" t="s">
        <v>180</v>
      </c>
      <c r="B43" s="86" t="s">
        <v>183</v>
      </c>
      <c r="C43" s="53" t="s">
        <v>276</v>
      </c>
      <c r="D43" s="54">
        <v>3.625</v>
      </c>
      <c r="E43" s="65"/>
      <c r="F43" s="55"/>
      <c r="G43" s="53"/>
      <c r="H43" s="57"/>
      <c r="I43" s="56"/>
      <c r="J43" s="56"/>
      <c r="K43" s="36" t="s">
        <v>65</v>
      </c>
      <c r="L43" s="83">
        <v>43</v>
      </c>
      <c r="M43" s="83" t="b">
        <f>IF(AND(OR(NOT(ISNUMBER([Width])),[Width]&gt;=Misc!$O$2),OR(NOT(ISNUMBER([Width])),[Width]&lt;=Misc!$P$2),OR(NOT(ISNUMBER([Frequency])),[Frequency]&gt;=Misc!$O$3),OR(NOT(ISNUMBER([Frequency])),[Frequency]&lt;=Misc!$P$3),TRUE),TRUE,FALSE)</f>
        <v>1</v>
      </c>
      <c r="N43" s="63"/>
      <c r="O43" s="88" t="s">
        <v>192</v>
      </c>
      <c r="P43" s="85">
        <v>4</v>
      </c>
      <c r="Q43" s="118" t="str">
        <f>REPLACE(INDEX(GroupVertices[Group],MATCH(Edges[[#This Row],[Vertex 1]],GroupVertices[Vertex],0)),1,1,"")</f>
        <v>1</v>
      </c>
      <c r="R43" s="118" t="str">
        <f>REPLACE(INDEX(GroupVertices[Group],MATCH(Edges[[#This Row],[Vertex 2]],GroupVertices[Vertex],0)),1,1,"")</f>
        <v>1</v>
      </c>
    </row>
    <row r="44" spans="1:18" ht="15.75">
      <c r="A44" s="84" t="s">
        <v>177</v>
      </c>
      <c r="B44" s="86" t="s">
        <v>175</v>
      </c>
      <c r="C44" s="53" t="s">
        <v>276</v>
      </c>
      <c r="D44" s="54">
        <v>1</v>
      </c>
      <c r="E44" s="65"/>
      <c r="F44" s="55"/>
      <c r="G44" s="53"/>
      <c r="H44" s="57"/>
      <c r="I44" s="56"/>
      <c r="J44" s="56"/>
      <c r="K44" s="36" t="s">
        <v>65</v>
      </c>
      <c r="L44" s="83">
        <v>44</v>
      </c>
      <c r="M44" s="83" t="b">
        <f>IF(AND(OR(NOT(ISNUMBER([Width])),[Width]&gt;=Misc!$O$2),OR(NOT(ISNUMBER([Width])),[Width]&lt;=Misc!$P$2),OR(NOT(ISNUMBER([Frequency])),[Frequency]&gt;=Misc!$O$3),OR(NOT(ISNUMBER([Frequency])),[Frequency]&lt;=Misc!$P$3),TRUE),TRUE,FALSE)</f>
        <v>1</v>
      </c>
      <c r="N44" s="63"/>
      <c r="O44" s="88" t="s">
        <v>192</v>
      </c>
      <c r="P44" s="85">
        <v>1</v>
      </c>
      <c r="Q44" s="118" t="str">
        <f>REPLACE(INDEX(GroupVertices[Group],MATCH(Edges[[#This Row],[Vertex 1]],GroupVertices[Vertex],0)),1,1,"")</f>
        <v>2</v>
      </c>
      <c r="R44" s="118" t="str">
        <f>REPLACE(INDEX(GroupVertices[Group],MATCH(Edges[[#This Row],[Vertex 2]],GroupVertices[Vertex],0)),1,1,"")</f>
        <v>2</v>
      </c>
    </row>
    <row r="45" spans="1:18" ht="15.75">
      <c r="A45" s="84" t="s">
        <v>177</v>
      </c>
      <c r="B45" s="86" t="s">
        <v>176</v>
      </c>
      <c r="C45" s="53" t="s">
        <v>276</v>
      </c>
      <c r="D45" s="54">
        <v>1</v>
      </c>
      <c r="E45" s="65"/>
      <c r="F45" s="55"/>
      <c r="G45" s="53"/>
      <c r="H45" s="57"/>
      <c r="I45" s="56"/>
      <c r="J45" s="56"/>
      <c r="K45" s="36" t="s">
        <v>65</v>
      </c>
      <c r="L45" s="83">
        <v>45</v>
      </c>
      <c r="M45" s="83" t="b">
        <f>IF(AND(OR(NOT(ISNUMBER([Width])),[Width]&gt;=Misc!$O$2),OR(NOT(ISNUMBER([Width])),[Width]&lt;=Misc!$P$2),OR(NOT(ISNUMBER([Frequency])),[Frequency]&gt;=Misc!$O$3),OR(NOT(ISNUMBER([Frequency])),[Frequency]&lt;=Misc!$P$3),TRUE),TRUE,FALSE)</f>
        <v>1</v>
      </c>
      <c r="N45" s="63"/>
      <c r="O45" s="88" t="s">
        <v>192</v>
      </c>
      <c r="P45" s="85">
        <v>1</v>
      </c>
      <c r="Q45" s="118" t="str">
        <f>REPLACE(INDEX(GroupVertices[Group],MATCH(Edges[[#This Row],[Vertex 1]],GroupVertices[Vertex],0)),1,1,"")</f>
        <v>2</v>
      </c>
      <c r="R45" s="118" t="str">
        <f>REPLACE(INDEX(GroupVertices[Group],MATCH(Edges[[#This Row],[Vertex 2]],GroupVertices[Vertex],0)),1,1,"")</f>
        <v>2</v>
      </c>
    </row>
  </sheetData>
  <dataValidations count="13" xWindow="336" yWindow="4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2"/>
  <sheetViews>
    <sheetView tabSelected="1" workbookViewId="0" topLeftCell="A1">
      <pane xSplit="1" ySplit="2" topLeftCell="M3" activePane="bottomRight" state="frozen"/>
      <selection pane="topRight" activeCell="B1" sqref="B1"/>
      <selection pane="bottomLeft" activeCell="A3" sqref="A3"/>
      <selection pane="bottomRight" activeCell="X24" sqref="X24"/>
    </sheetView>
  </sheetViews>
  <sheetFormatPr defaultColWidth="9.140625" defaultRowHeight="15"/>
  <cols>
    <col min="1" max="1" width="17.8515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140625" style="2" bestFit="1" customWidth="1"/>
    <col min="31" max="31" width="17.28125" style="3" bestFit="1" customWidth="1"/>
    <col min="32" max="32" width="19.57421875" style="3" bestFit="1" customWidth="1"/>
    <col min="33" max="33" width="17.28125" style="3" bestFit="1" customWidth="1"/>
    <col min="34" max="34" width="19.57421875" style="3" bestFit="1" customWidth="1"/>
    <col min="35" max="35" width="17.28125" style="0" bestFit="1" customWidth="1"/>
    <col min="36" max="36" width="19.57421875" style="0" bestFit="1" customWidth="1"/>
    <col min="37" max="37" width="17.28125" style="0" bestFit="1" customWidth="1"/>
    <col min="38" max="38" width="19.57421875" style="0" bestFit="1" customWidth="1"/>
    <col min="39" max="39" width="18.8515625" style="0" bestFit="1" customWidth="1"/>
    <col min="40" max="40"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136</v>
      </c>
      <c r="Y2" s="13" t="s">
        <v>37</v>
      </c>
      <c r="Z2" s="13" t="s">
        <v>169</v>
      </c>
      <c r="AA2" s="11" t="s">
        <v>12</v>
      </c>
      <c r="AB2" s="11" t="s">
        <v>38</v>
      </c>
      <c r="AC2" s="8" t="s">
        <v>26</v>
      </c>
      <c r="AD2" s="13" t="s">
        <v>202</v>
      </c>
      <c r="AE2" s="124" t="s">
        <v>255</v>
      </c>
      <c r="AF2" s="124" t="s">
        <v>256</v>
      </c>
      <c r="AG2" s="124" t="s">
        <v>257</v>
      </c>
      <c r="AH2" s="124" t="s">
        <v>258</v>
      </c>
      <c r="AI2" s="124" t="s">
        <v>259</v>
      </c>
      <c r="AJ2" s="124" t="s">
        <v>260</v>
      </c>
      <c r="AK2" s="124" t="s">
        <v>261</v>
      </c>
      <c r="AL2" s="124" t="s">
        <v>262</v>
      </c>
      <c r="AM2" s="124" t="s">
        <v>263</v>
      </c>
      <c r="AN2" s="124" t="s">
        <v>264</v>
      </c>
      <c r="AO2" s="3"/>
      <c r="AP2" s="3"/>
    </row>
    <row r="3" spans="1:42" ht="15" customHeight="1">
      <c r="A3" s="14" t="s">
        <v>178</v>
      </c>
      <c r="B3" s="128"/>
      <c r="C3" s="128"/>
      <c r="D3" s="129">
        <v>6</v>
      </c>
      <c r="E3" s="130">
        <v>85</v>
      </c>
      <c r="F3" s="128"/>
      <c r="G3" s="128"/>
      <c r="H3" s="131" t="s">
        <v>178</v>
      </c>
      <c r="I3" s="132"/>
      <c r="J3" s="132"/>
      <c r="K3" s="131" t="s">
        <v>270</v>
      </c>
      <c r="L3" s="133"/>
      <c r="M3" s="134">
        <v>4059.59033203125</v>
      </c>
      <c r="N3" s="134">
        <v>7989.13623046875</v>
      </c>
      <c r="O3" s="135"/>
      <c r="P3" s="136"/>
      <c r="Q3" s="136"/>
      <c r="R3" s="51">
        <f aca="true" t="shared" si="0" ref="R3:R12">S3+T3</f>
        <v>6</v>
      </c>
      <c r="S3" s="51">
        <v>0</v>
      </c>
      <c r="T3" s="51">
        <v>6</v>
      </c>
      <c r="U3" s="52">
        <v>10.666667</v>
      </c>
      <c r="V3" s="52">
        <v>0.083333</v>
      </c>
      <c r="W3" s="52">
        <v>0.117611</v>
      </c>
      <c r="X3" s="52">
        <v>1.232942</v>
      </c>
      <c r="Y3" s="52">
        <v>0.3</v>
      </c>
      <c r="Z3" s="52">
        <v>0</v>
      </c>
      <c r="AA3" s="137">
        <v>3</v>
      </c>
      <c r="AB3" s="137" t="b">
        <f>IF(AND(OR(NOT(ISNUMBER([Size])),[Size]&gt;=Misc!$O$4),OR(NOT(ISNUMBER([Size])),[Size]&lt;=Misc!$P$4),OR(NOT(ISNUMBER([Opacity])),[Opacity]&gt;=Misc!$O$5),OR(NOT(ISNUMBER([Opacity])),[Opacity]&lt;=Misc!$P$5),OR(NOT(ISNUMBER([X])),[X]&gt;=Misc!$O$6),OR(NOT(ISNUMBER([X])),[X]&lt;=Misc!$P$6),OR(NOT(ISNUMBER([Y])),[Y]&gt;=Misc!$O$7),OR(NOT(ISNUMBER([Y])),[Y]&lt;=Misc!$P$7),OR(NOT(ISNUMBER([Degree])),[Degree]&gt;=Misc!$O$8),OR(NOT(ISNUMBER([Degree])),[Degree]&lt;=Misc!$P$8),OR(NOT(ISNUMBER([In-Degree])),[In-Degree]&gt;=Misc!$O$9),OR(NOT(ISNUMBER([In-Degree])),[In-Degree]&lt;=Misc!$P$9),OR(NOT(ISNUMBER([Out-Degree])),[Out-Degree]&gt;=Misc!$O$10),OR(NOT(ISNUMBER([Out-Degree])),[Out-Degree]&lt;=Misc!$P$10),OR(NOT(ISNUMBER([Betweenness Centrality])),[Betweenness Centrality]&gt;=Misc!$O$11),OR(NOT(ISNUMBER([Betweenness Centrality])),[Betweenness Centrality]&lt;=Misc!$P$11),OR(NOT(ISNUMBER([Closeness Centrality])),[Closeness Centrality]&gt;=Misc!$O$12),OR(NOT(ISNUMBER([Closeness Centrality])),[Closeness Centrality]&lt;=Misc!$P$12),OR(NOT(ISNUMBER([Eigenvector Centrality])),[Eigenvector Centrality]&gt;=Misc!$O$13),OR(NOT(ISNUMBER([Eigenvector Centrality])),[Eigenvector Centrality]&lt;=Misc!$P$13),OR(NOT(ISNUMBER([PageRank])),[PageRank]&gt;=Misc!$O$14),OR(NOT(ISNUMBER([PageRank])),[PageRank]&lt;=Misc!$P$14),OR(NOT(ISNUMBER([Clustering Coefficient])),[Clustering Coefficient]&gt;=Misc!$O$15),OR(NOT(ISNUMBER([Clustering Coefficient])),[Clustering Coefficient]&lt;=Misc!$P$15),OR(NOT(ISNUMBER([Reciprocated Vertex Pair Ratio])),[Reciprocated Vertex Pair Ratio]&gt;=Misc!$O$16),OR(NOT(ISNUMBER([Reciprocated Vertex Pair Ratio])),[Reciprocated Vertex Pair Ratio]&lt;=Misc!$P$16),TRUE),TRUE,FALSE)</f>
        <v>1</v>
      </c>
      <c r="AC3" s="91"/>
      <c r="AD3" s="118" t="str">
        <f>REPLACE(INDEX(GroupVertices[Group],MATCH(Vertices[[#This Row],[Vertex]],GroupVertices[Vertex],0)),1,1,"")</f>
        <v>1</v>
      </c>
      <c r="AE3" s="51"/>
      <c r="AF3" s="51"/>
      <c r="AG3" s="51"/>
      <c r="AH3" s="51"/>
      <c r="AI3" s="51"/>
      <c r="AJ3" s="51"/>
      <c r="AK3" s="125" t="s">
        <v>238</v>
      </c>
      <c r="AL3" s="125" t="s">
        <v>238</v>
      </c>
      <c r="AM3" s="125" t="s">
        <v>238</v>
      </c>
      <c r="AN3" s="125" t="s">
        <v>238</v>
      </c>
      <c r="AO3" s="3"/>
      <c r="AP3" s="3"/>
    </row>
    <row r="4" spans="1:45" ht="15">
      <c r="A4" s="14" t="s">
        <v>179</v>
      </c>
      <c r="B4" s="15"/>
      <c r="C4" s="15"/>
      <c r="D4" s="95">
        <v>5.166666666666667</v>
      </c>
      <c r="E4" s="81">
        <v>83.63349802460927</v>
      </c>
      <c r="F4" s="15"/>
      <c r="G4" s="15"/>
      <c r="H4" s="16" t="s">
        <v>179</v>
      </c>
      <c r="I4" s="66"/>
      <c r="J4" s="66"/>
      <c r="K4" s="16" t="s">
        <v>269</v>
      </c>
      <c r="L4" s="94"/>
      <c r="M4" s="93">
        <v>4172.17919921875</v>
      </c>
      <c r="N4" s="93">
        <v>4741.109375</v>
      </c>
      <c r="O4" s="77"/>
      <c r="P4" s="92"/>
      <c r="Q4" s="92"/>
      <c r="R4" s="51">
        <f t="shared" si="0"/>
        <v>9</v>
      </c>
      <c r="S4" s="51">
        <v>4</v>
      </c>
      <c r="T4" s="51">
        <v>5</v>
      </c>
      <c r="U4" s="52">
        <v>9.166667</v>
      </c>
      <c r="V4" s="52">
        <v>0.090909</v>
      </c>
      <c r="W4" s="52">
        <v>0.145236</v>
      </c>
      <c r="X4" s="52">
        <v>1.379422</v>
      </c>
      <c r="Y4" s="52">
        <v>0.38095238095238093</v>
      </c>
      <c r="Z4" s="52">
        <v>0.2857142857142857</v>
      </c>
      <c r="AA4" s="82">
        <v>4</v>
      </c>
      <c r="AB4" s="82" t="b">
        <f>IF(AND(OR(NOT(ISNUMBER([Size])),[Size]&gt;=Misc!$O$4),OR(NOT(ISNUMBER([Size])),[Size]&lt;=Misc!$P$4),OR(NOT(ISNUMBER([Opacity])),[Opacity]&gt;=Misc!$O$5),OR(NOT(ISNUMBER([Opacity])),[Opacity]&lt;=Misc!$P$5),OR(NOT(ISNUMBER([X])),[X]&gt;=Misc!$O$6),OR(NOT(ISNUMBER([X])),[X]&lt;=Misc!$P$6),OR(NOT(ISNUMBER([Y])),[Y]&gt;=Misc!$O$7),OR(NOT(ISNUMBER([Y])),[Y]&lt;=Misc!$P$7),OR(NOT(ISNUMBER([Degree])),[Degree]&gt;=Misc!$O$8),OR(NOT(ISNUMBER([Degree])),[Degree]&lt;=Misc!$P$8),OR(NOT(ISNUMBER([In-Degree])),[In-Degree]&gt;=Misc!$O$9),OR(NOT(ISNUMBER([In-Degree])),[In-Degree]&lt;=Misc!$P$9),OR(NOT(ISNUMBER([Out-Degree])),[Out-Degree]&gt;=Misc!$O$10),OR(NOT(ISNUMBER([Out-Degree])),[Out-Degree]&lt;=Misc!$P$10),OR(NOT(ISNUMBER([Betweenness Centrality])),[Betweenness Centrality]&gt;=Misc!$O$11),OR(NOT(ISNUMBER([Betweenness Centrality])),[Betweenness Centrality]&lt;=Misc!$P$11),OR(NOT(ISNUMBER([Closeness Centrality])),[Closeness Centrality]&gt;=Misc!$O$12),OR(NOT(ISNUMBER([Closeness Centrality])),[Closeness Centrality]&lt;=Misc!$P$12),OR(NOT(ISNUMBER([Eigenvector Centrality])),[Eigenvector Centrality]&gt;=Misc!$O$13),OR(NOT(ISNUMBER([Eigenvector Centrality])),[Eigenvector Centrality]&lt;=Misc!$P$13),OR(NOT(ISNUMBER([PageRank])),[PageRank]&gt;=Misc!$O$14),OR(NOT(ISNUMBER([PageRank])),[PageRank]&lt;=Misc!$P$14),OR(NOT(ISNUMBER([Clustering Coefficient])),[Clustering Coefficient]&gt;=Misc!$O$15),OR(NOT(ISNUMBER([Clustering Coefficient])),[Clustering Coefficient]&lt;=Misc!$P$15),OR(NOT(ISNUMBER([Reciprocated Vertex Pair Ratio])),[Reciprocated Vertex Pair Ratio]&gt;=Misc!$O$16),OR(NOT(ISNUMBER([Reciprocated Vertex Pair Ratio])),[Reciprocated Vertex Pair Ratio]&lt;=Misc!$P$16),TRUE),TRUE,FALSE)</f>
        <v>1</v>
      </c>
      <c r="AC4" s="91"/>
      <c r="AD4" s="118" t="str">
        <f>REPLACE(INDEX(GroupVertices[Group],MATCH(Vertices[[#This Row],[Vertex]],GroupVertices[Vertex],0)),1,1,"")</f>
        <v>1</v>
      </c>
      <c r="AE4" s="51"/>
      <c r="AF4" s="51"/>
      <c r="AG4" s="51"/>
      <c r="AH4" s="51"/>
      <c r="AI4" s="51"/>
      <c r="AJ4" s="51"/>
      <c r="AK4" s="125" t="s">
        <v>238</v>
      </c>
      <c r="AL4" s="125" t="s">
        <v>238</v>
      </c>
      <c r="AM4" s="125" t="s">
        <v>238</v>
      </c>
      <c r="AN4" s="125" t="s">
        <v>238</v>
      </c>
      <c r="AO4" s="2"/>
      <c r="AP4" s="3"/>
      <c r="AQ4" s="3"/>
      <c r="AR4" s="3"/>
      <c r="AS4" s="3"/>
    </row>
    <row r="5" spans="1:45" ht="15">
      <c r="A5" s="14" t="s">
        <v>177</v>
      </c>
      <c r="B5" s="15"/>
      <c r="C5" s="15"/>
      <c r="D5" s="95">
        <v>6</v>
      </c>
      <c r="E5" s="81">
        <v>83.46804634774436</v>
      </c>
      <c r="F5" s="15"/>
      <c r="G5" s="15"/>
      <c r="H5" s="16" t="s">
        <v>177</v>
      </c>
      <c r="I5" s="66"/>
      <c r="J5" s="66"/>
      <c r="K5" s="16" t="s">
        <v>270</v>
      </c>
      <c r="L5" s="94"/>
      <c r="M5" s="93">
        <v>5082.6953125</v>
      </c>
      <c r="N5" s="93">
        <v>907.7675170898438</v>
      </c>
      <c r="O5" s="77"/>
      <c r="P5" s="92"/>
      <c r="Q5" s="92"/>
      <c r="R5" s="51">
        <f t="shared" si="0"/>
        <v>9</v>
      </c>
      <c r="S5" s="51">
        <v>3</v>
      </c>
      <c r="T5" s="51">
        <v>6</v>
      </c>
      <c r="U5" s="52">
        <v>9</v>
      </c>
      <c r="V5" s="52">
        <v>0.083333</v>
      </c>
      <c r="W5" s="52">
        <v>0.120747</v>
      </c>
      <c r="X5" s="52">
        <v>1.215372</v>
      </c>
      <c r="Y5" s="52">
        <v>0.36666666666666664</v>
      </c>
      <c r="Z5" s="52">
        <v>0.5</v>
      </c>
      <c r="AA5" s="82">
        <v>5</v>
      </c>
      <c r="AB5" s="82" t="b">
        <f>IF(AND(OR(NOT(ISNUMBER([Size])),[Size]&gt;=Misc!$O$4),OR(NOT(ISNUMBER([Size])),[Size]&lt;=Misc!$P$4),OR(NOT(ISNUMBER([Opacity])),[Opacity]&gt;=Misc!$O$5),OR(NOT(ISNUMBER([Opacity])),[Opacity]&lt;=Misc!$P$5),OR(NOT(ISNUMBER([X])),[X]&gt;=Misc!$O$6),OR(NOT(ISNUMBER([X])),[X]&lt;=Misc!$P$6),OR(NOT(ISNUMBER([Y])),[Y]&gt;=Misc!$O$7),OR(NOT(ISNUMBER([Y])),[Y]&lt;=Misc!$P$7),OR(NOT(ISNUMBER([Degree])),[Degree]&gt;=Misc!$O$8),OR(NOT(ISNUMBER([Degree])),[Degree]&lt;=Misc!$P$8),OR(NOT(ISNUMBER([In-Degree])),[In-Degree]&gt;=Misc!$O$9),OR(NOT(ISNUMBER([In-Degree])),[In-Degree]&lt;=Misc!$P$9),OR(NOT(ISNUMBER([Out-Degree])),[Out-Degree]&gt;=Misc!$O$10),OR(NOT(ISNUMBER([Out-Degree])),[Out-Degree]&lt;=Misc!$P$10),OR(NOT(ISNUMBER([Betweenness Centrality])),[Betweenness Centrality]&gt;=Misc!$O$11),OR(NOT(ISNUMBER([Betweenness Centrality])),[Betweenness Centrality]&lt;=Misc!$P$11),OR(NOT(ISNUMBER([Closeness Centrality])),[Closeness Centrality]&gt;=Misc!$O$12),OR(NOT(ISNUMBER([Closeness Centrality])),[Closeness Centrality]&lt;=Misc!$P$12),OR(NOT(ISNUMBER([Eigenvector Centrality])),[Eigenvector Centrality]&gt;=Misc!$O$13),OR(NOT(ISNUMBER([Eigenvector Centrality])),[Eigenvector Centrality]&lt;=Misc!$P$13),OR(NOT(ISNUMBER([PageRank])),[PageRank]&gt;=Misc!$O$14),OR(NOT(ISNUMBER([PageRank])),[PageRank]&lt;=Misc!$P$14),OR(NOT(ISNUMBER([Clustering Coefficient])),[Clustering Coefficient]&gt;=Misc!$O$15),OR(NOT(ISNUMBER([Clustering Coefficient])),[Clustering Coefficient]&lt;=Misc!$P$15),OR(NOT(ISNUMBER([Reciprocated Vertex Pair Ratio])),[Reciprocated Vertex Pair Ratio]&gt;=Misc!$O$16),OR(NOT(ISNUMBER([Reciprocated Vertex Pair Ratio])),[Reciprocated Vertex Pair Ratio]&lt;=Misc!$P$16),TRUE),TRUE,FALSE)</f>
        <v>1</v>
      </c>
      <c r="AC5" s="91"/>
      <c r="AD5" s="118" t="str">
        <f>REPLACE(INDEX(GroupVertices[Group],MATCH(Vertices[[#This Row],[Vertex]],GroupVertices[Vertex],0)),1,1,"")</f>
        <v>2</v>
      </c>
      <c r="AE5" s="51"/>
      <c r="AF5" s="51"/>
      <c r="AG5" s="51"/>
      <c r="AH5" s="51"/>
      <c r="AI5" s="51"/>
      <c r="AJ5" s="51"/>
      <c r="AK5" s="125" t="s">
        <v>238</v>
      </c>
      <c r="AL5" s="125" t="s">
        <v>238</v>
      </c>
      <c r="AM5" s="125" t="s">
        <v>238</v>
      </c>
      <c r="AN5" s="125" t="s">
        <v>238</v>
      </c>
      <c r="AO5" s="2"/>
      <c r="AP5" s="3"/>
      <c r="AQ5" s="3"/>
      <c r="AR5" s="3"/>
      <c r="AS5" s="3"/>
    </row>
    <row r="6" spans="1:45" ht="15">
      <c r="A6" s="14" t="s">
        <v>176</v>
      </c>
      <c r="B6" s="15"/>
      <c r="C6" s="15"/>
      <c r="D6" s="95">
        <v>4.333333333333333</v>
      </c>
      <c r="E6" s="81">
        <v>81.20198296847617</v>
      </c>
      <c r="F6" s="15"/>
      <c r="G6" s="15"/>
      <c r="H6" s="16" t="s">
        <v>176</v>
      </c>
      <c r="I6" s="66"/>
      <c r="J6" s="66"/>
      <c r="K6" s="16" t="s">
        <v>267</v>
      </c>
      <c r="L6" s="94"/>
      <c r="M6" s="93">
        <v>9698.5263671875</v>
      </c>
      <c r="N6" s="93">
        <v>5222.634765625</v>
      </c>
      <c r="O6" s="77"/>
      <c r="P6" s="92"/>
      <c r="Q6" s="92"/>
      <c r="R6" s="51">
        <f t="shared" si="0"/>
        <v>7</v>
      </c>
      <c r="S6" s="51">
        <v>3</v>
      </c>
      <c r="T6" s="51">
        <v>4</v>
      </c>
      <c r="U6" s="52">
        <v>7</v>
      </c>
      <c r="V6" s="52">
        <v>0.076923</v>
      </c>
      <c r="W6" s="52">
        <v>0.090392</v>
      </c>
      <c r="X6" s="52">
        <v>1.0754</v>
      </c>
      <c r="Y6" s="52">
        <v>0.3</v>
      </c>
      <c r="Z6" s="52">
        <v>0.4</v>
      </c>
      <c r="AA6" s="82">
        <v>6</v>
      </c>
      <c r="AB6" s="82" t="b">
        <f>IF(AND(OR(NOT(ISNUMBER([Size])),[Size]&gt;=Misc!$O$4),OR(NOT(ISNUMBER([Size])),[Size]&lt;=Misc!$P$4),OR(NOT(ISNUMBER([Opacity])),[Opacity]&gt;=Misc!$O$5),OR(NOT(ISNUMBER([Opacity])),[Opacity]&lt;=Misc!$P$5),OR(NOT(ISNUMBER([X])),[X]&gt;=Misc!$O$6),OR(NOT(ISNUMBER([X])),[X]&lt;=Misc!$P$6),OR(NOT(ISNUMBER([Y])),[Y]&gt;=Misc!$O$7),OR(NOT(ISNUMBER([Y])),[Y]&lt;=Misc!$P$7),OR(NOT(ISNUMBER([Degree])),[Degree]&gt;=Misc!$O$8),OR(NOT(ISNUMBER([Degree])),[Degree]&lt;=Misc!$P$8),OR(NOT(ISNUMBER([In-Degree])),[In-Degree]&gt;=Misc!$O$9),OR(NOT(ISNUMBER([In-Degree])),[In-Degree]&lt;=Misc!$P$9),OR(NOT(ISNUMBER([Out-Degree])),[Out-Degree]&gt;=Misc!$O$10),OR(NOT(ISNUMBER([Out-Degree])),[Out-Degree]&lt;=Misc!$P$10),OR(NOT(ISNUMBER([Betweenness Centrality])),[Betweenness Centrality]&gt;=Misc!$O$11),OR(NOT(ISNUMBER([Betweenness Centrality])),[Betweenness Centrality]&lt;=Misc!$P$11),OR(NOT(ISNUMBER([Closeness Centrality])),[Closeness Centrality]&gt;=Misc!$O$12),OR(NOT(ISNUMBER([Closeness Centrality])),[Closeness Centrality]&lt;=Misc!$P$12),OR(NOT(ISNUMBER([Eigenvector Centrality])),[Eigenvector Centrality]&gt;=Misc!$O$13),OR(NOT(ISNUMBER([Eigenvector Centrality])),[Eigenvector Centrality]&lt;=Misc!$P$13),OR(NOT(ISNUMBER([PageRank])),[PageRank]&gt;=Misc!$O$14),OR(NOT(ISNUMBER([PageRank])),[PageRank]&lt;=Misc!$P$14),OR(NOT(ISNUMBER([Clustering Coefficient])),[Clustering Coefficient]&gt;=Misc!$O$15),OR(NOT(ISNUMBER([Clustering Coefficient])),[Clustering Coefficient]&lt;=Misc!$P$15),OR(NOT(ISNUMBER([Reciprocated Vertex Pair Ratio])),[Reciprocated Vertex Pair Ratio]&gt;=Misc!$O$16),OR(NOT(ISNUMBER([Reciprocated Vertex Pair Ratio])),[Reciprocated Vertex Pair Ratio]&lt;=Misc!$P$16),TRUE),TRUE,FALSE)</f>
        <v>1</v>
      </c>
      <c r="AC6" s="91"/>
      <c r="AD6" s="118" t="str">
        <f>REPLACE(INDEX(GroupVertices[Group],MATCH(Vertices[[#This Row],[Vertex]],GroupVertices[Vertex],0)),1,1,"")</f>
        <v>2</v>
      </c>
      <c r="AE6" s="51"/>
      <c r="AF6" s="51"/>
      <c r="AG6" s="51"/>
      <c r="AH6" s="51"/>
      <c r="AI6" s="51"/>
      <c r="AJ6" s="51"/>
      <c r="AK6" s="125" t="s">
        <v>238</v>
      </c>
      <c r="AL6" s="125" t="s">
        <v>238</v>
      </c>
      <c r="AM6" s="125" t="s">
        <v>238</v>
      </c>
      <c r="AN6" s="125" t="s">
        <v>238</v>
      </c>
      <c r="AO6" s="2"/>
      <c r="AP6" s="3"/>
      <c r="AQ6" s="3"/>
      <c r="AR6" s="3"/>
      <c r="AS6" s="3"/>
    </row>
    <row r="7" spans="1:45" ht="15">
      <c r="A7" s="50" t="s">
        <v>175</v>
      </c>
      <c r="B7" s="53"/>
      <c r="C7" s="53"/>
      <c r="D7" s="54">
        <v>2.6666666666666665</v>
      </c>
      <c r="E7" s="55">
        <v>77.21804529108306</v>
      </c>
      <c r="F7" s="53"/>
      <c r="G7" s="53"/>
      <c r="H7" s="57" t="s">
        <v>175</v>
      </c>
      <c r="I7" s="56"/>
      <c r="J7" s="56"/>
      <c r="K7" s="57" t="s">
        <v>267</v>
      </c>
      <c r="L7" s="59"/>
      <c r="M7" s="60">
        <v>7862.02392578125</v>
      </c>
      <c r="N7" s="60">
        <v>3016.150390625</v>
      </c>
      <c r="O7" s="58"/>
      <c r="P7" s="61"/>
      <c r="Q7" s="61"/>
      <c r="R7" s="51">
        <f t="shared" si="0"/>
        <v>6</v>
      </c>
      <c r="S7" s="51">
        <v>4</v>
      </c>
      <c r="T7" s="51">
        <v>2</v>
      </c>
      <c r="U7" s="52">
        <v>4.5</v>
      </c>
      <c r="V7" s="52">
        <v>0.076923</v>
      </c>
      <c r="W7" s="52">
        <v>0.102915</v>
      </c>
      <c r="X7" s="52">
        <v>1.040346</v>
      </c>
      <c r="Y7" s="52">
        <v>0.4</v>
      </c>
      <c r="Z7" s="52">
        <v>0.2</v>
      </c>
      <c r="AA7" s="62">
        <v>7</v>
      </c>
      <c r="AB7" s="62" t="b">
        <f>IF(AND(OR(NOT(ISNUMBER([Size])),[Size]&gt;=Misc!$O$4),OR(NOT(ISNUMBER([Size])),[Size]&lt;=Misc!$P$4),OR(NOT(ISNUMBER([Opacity])),[Opacity]&gt;=Misc!$O$5),OR(NOT(ISNUMBER([Opacity])),[Opacity]&lt;=Misc!$P$5),OR(NOT(ISNUMBER([X])),[X]&gt;=Misc!$O$6),OR(NOT(ISNUMBER([X])),[X]&lt;=Misc!$P$6),OR(NOT(ISNUMBER([Y])),[Y]&gt;=Misc!$O$7),OR(NOT(ISNUMBER([Y])),[Y]&lt;=Misc!$P$7),OR(NOT(ISNUMBER([Degree])),[Degree]&gt;=Misc!$O$8),OR(NOT(ISNUMBER([Degree])),[Degree]&lt;=Misc!$P$8),OR(NOT(ISNUMBER([In-Degree])),[In-Degree]&gt;=Misc!$O$9),OR(NOT(ISNUMBER([In-Degree])),[In-Degree]&lt;=Misc!$P$9),OR(NOT(ISNUMBER([Out-Degree])),[Out-Degree]&gt;=Misc!$O$10),OR(NOT(ISNUMBER([Out-Degree])),[Out-Degree]&lt;=Misc!$P$10),OR(NOT(ISNUMBER([Betweenness Centrality])),[Betweenness Centrality]&gt;=Misc!$O$11),OR(NOT(ISNUMBER([Betweenness Centrality])),[Betweenness Centrality]&lt;=Misc!$P$11),OR(NOT(ISNUMBER([Closeness Centrality])),[Closeness Centrality]&gt;=Misc!$O$12),OR(NOT(ISNUMBER([Closeness Centrality])),[Closeness Centrality]&lt;=Misc!$P$12),OR(NOT(ISNUMBER([Eigenvector Centrality])),[Eigenvector Centrality]&gt;=Misc!$O$13),OR(NOT(ISNUMBER([Eigenvector Centrality])),[Eigenvector Centrality]&lt;=Misc!$P$13),OR(NOT(ISNUMBER([PageRank])),[PageRank]&gt;=Misc!$O$14),OR(NOT(ISNUMBER([PageRank])),[PageRank]&lt;=Misc!$P$14),OR(NOT(ISNUMBER([Clustering Coefficient])),[Clustering Coefficient]&gt;=Misc!$O$15),OR(NOT(ISNUMBER([Clustering Coefficient])),[Clustering Coefficient]&lt;=Misc!$P$15),OR(NOT(ISNUMBER([Reciprocated Vertex Pair Ratio])),[Reciprocated Vertex Pair Ratio]&gt;=Misc!$O$16),OR(NOT(ISNUMBER([Reciprocated Vertex Pair Ratio])),[Reciprocated Vertex Pair Ratio]&lt;=Misc!$P$16),TRUE),TRUE,FALSE)</f>
        <v>1</v>
      </c>
      <c r="AC7" s="63"/>
      <c r="AD7" s="118" t="str">
        <f>REPLACE(INDEX(GroupVertices[Group],MATCH(Vertices[[#This Row],[Vertex]],GroupVertices[Vertex],0)),1,1,"")</f>
        <v>2</v>
      </c>
      <c r="AE7" s="51"/>
      <c r="AF7" s="51"/>
      <c r="AG7" s="51"/>
      <c r="AH7" s="51"/>
      <c r="AI7" s="51"/>
      <c r="AJ7" s="51"/>
      <c r="AK7" s="125" t="s">
        <v>238</v>
      </c>
      <c r="AL7" s="125" t="s">
        <v>238</v>
      </c>
      <c r="AM7" s="125" t="s">
        <v>238</v>
      </c>
      <c r="AN7" s="125" t="s">
        <v>238</v>
      </c>
      <c r="AO7" s="2"/>
      <c r="AP7" s="3"/>
      <c r="AQ7" s="3"/>
      <c r="AR7" s="3"/>
      <c r="AS7" s="3"/>
    </row>
    <row r="8" spans="1:45" ht="15">
      <c r="A8" s="14" t="s">
        <v>183</v>
      </c>
      <c r="B8" s="15"/>
      <c r="C8" s="15"/>
      <c r="D8" s="95">
        <v>3.5</v>
      </c>
      <c r="E8" s="81">
        <v>67.3120279868073</v>
      </c>
      <c r="F8" s="15"/>
      <c r="G8" s="15"/>
      <c r="H8" s="16" t="s">
        <v>183</v>
      </c>
      <c r="I8" s="66"/>
      <c r="J8" s="66"/>
      <c r="K8" s="16" t="s">
        <v>267</v>
      </c>
      <c r="L8" s="94"/>
      <c r="M8" s="93">
        <v>644.8771362304688</v>
      </c>
      <c r="N8" s="93">
        <v>4984.39013671875</v>
      </c>
      <c r="O8" s="77"/>
      <c r="P8" s="92"/>
      <c r="Q8" s="92"/>
      <c r="R8" s="51">
        <f t="shared" si="0"/>
        <v>8</v>
      </c>
      <c r="S8" s="51">
        <v>5</v>
      </c>
      <c r="T8" s="51">
        <v>3</v>
      </c>
      <c r="U8" s="52">
        <v>1.5</v>
      </c>
      <c r="V8" s="52">
        <v>0.076923</v>
      </c>
      <c r="W8" s="52">
        <v>0.114023</v>
      </c>
      <c r="X8" s="52">
        <v>1.014744</v>
      </c>
      <c r="Y8" s="52">
        <v>0.45</v>
      </c>
      <c r="Z8" s="52">
        <v>0.6</v>
      </c>
      <c r="AA8" s="82">
        <v>8</v>
      </c>
      <c r="AB8" s="82" t="b">
        <f>IF(AND(OR(NOT(ISNUMBER([Size])),[Size]&gt;=Misc!$O$4),OR(NOT(ISNUMBER([Size])),[Size]&lt;=Misc!$P$4),OR(NOT(ISNUMBER([Opacity])),[Opacity]&gt;=Misc!$O$5),OR(NOT(ISNUMBER([Opacity])),[Opacity]&lt;=Misc!$P$5),OR(NOT(ISNUMBER([X])),[X]&gt;=Misc!$O$6),OR(NOT(ISNUMBER([X])),[X]&lt;=Misc!$P$6),OR(NOT(ISNUMBER([Y])),[Y]&gt;=Misc!$O$7),OR(NOT(ISNUMBER([Y])),[Y]&lt;=Misc!$P$7),OR(NOT(ISNUMBER([Degree])),[Degree]&gt;=Misc!$O$8),OR(NOT(ISNUMBER([Degree])),[Degree]&lt;=Misc!$P$8),OR(NOT(ISNUMBER([In-Degree])),[In-Degree]&gt;=Misc!$O$9),OR(NOT(ISNUMBER([In-Degree])),[In-Degree]&lt;=Misc!$P$9),OR(NOT(ISNUMBER([Out-Degree])),[Out-Degree]&gt;=Misc!$O$10),OR(NOT(ISNUMBER([Out-Degree])),[Out-Degree]&lt;=Misc!$P$10),OR(NOT(ISNUMBER([Betweenness Centrality])),[Betweenness Centrality]&gt;=Misc!$O$11),OR(NOT(ISNUMBER([Betweenness Centrality])),[Betweenness Centrality]&lt;=Misc!$P$11),OR(NOT(ISNUMBER([Closeness Centrality])),[Closeness Centrality]&gt;=Misc!$O$12),OR(NOT(ISNUMBER([Closeness Centrality])),[Closeness Centrality]&lt;=Misc!$P$12),OR(NOT(ISNUMBER([Eigenvector Centrality])),[Eigenvector Centrality]&gt;=Misc!$O$13),OR(NOT(ISNUMBER([Eigenvector Centrality])),[Eigenvector Centrality]&lt;=Misc!$P$13),OR(NOT(ISNUMBER([PageRank])),[PageRank]&gt;=Misc!$O$14),OR(NOT(ISNUMBER([PageRank])),[PageRank]&lt;=Misc!$P$14),OR(NOT(ISNUMBER([Clustering Coefficient])),[Clustering Coefficient]&gt;=Misc!$O$15),OR(NOT(ISNUMBER([Clustering Coefficient])),[Clustering Coefficient]&lt;=Misc!$P$15),OR(NOT(ISNUMBER([Reciprocated Vertex Pair Ratio])),[Reciprocated Vertex Pair Ratio]&gt;=Misc!$O$16),OR(NOT(ISNUMBER([Reciprocated Vertex Pair Ratio])),[Reciprocated Vertex Pair Ratio]&lt;=Misc!$P$16),TRUE),TRUE,FALSE)</f>
        <v>1</v>
      </c>
      <c r="AC8" s="91"/>
      <c r="AD8" s="118" t="str">
        <f>REPLACE(INDEX(GroupVertices[Group],MATCH(Vertices[[#This Row],[Vertex]],GroupVertices[Vertex],0)),1,1,"")</f>
        <v>1</v>
      </c>
      <c r="AE8" s="51"/>
      <c r="AF8" s="51"/>
      <c r="AG8" s="51"/>
      <c r="AH8" s="51"/>
      <c r="AI8" s="51"/>
      <c r="AJ8" s="51"/>
      <c r="AK8" s="125" t="s">
        <v>238</v>
      </c>
      <c r="AL8" s="125" t="s">
        <v>238</v>
      </c>
      <c r="AM8" s="125" t="s">
        <v>238</v>
      </c>
      <c r="AN8" s="125" t="s">
        <v>238</v>
      </c>
      <c r="AO8" s="2"/>
      <c r="AP8" s="3"/>
      <c r="AQ8" s="3"/>
      <c r="AR8" s="3"/>
      <c r="AS8" s="3"/>
    </row>
    <row r="9" spans="1:45" ht="15">
      <c r="A9" s="90" t="s">
        <v>180</v>
      </c>
      <c r="B9" s="128"/>
      <c r="C9" s="128"/>
      <c r="D9" s="129">
        <v>1.8333333333333333</v>
      </c>
      <c r="E9" s="130">
        <v>67.3120279868073</v>
      </c>
      <c r="F9" s="128"/>
      <c r="G9" s="128"/>
      <c r="H9" s="131" t="s">
        <v>180</v>
      </c>
      <c r="I9" s="132"/>
      <c r="J9" s="132"/>
      <c r="K9" s="131" t="s">
        <v>267</v>
      </c>
      <c r="L9" s="133"/>
      <c r="M9" s="134">
        <v>874.3284301757812</v>
      </c>
      <c r="N9" s="134">
        <v>2754.767333984375</v>
      </c>
      <c r="O9" s="135"/>
      <c r="P9" s="136"/>
      <c r="Q9" s="136"/>
      <c r="R9" s="51">
        <f t="shared" si="0"/>
        <v>6</v>
      </c>
      <c r="S9" s="51">
        <v>5</v>
      </c>
      <c r="T9" s="51">
        <v>1</v>
      </c>
      <c r="U9" s="52">
        <v>1.5</v>
      </c>
      <c r="V9" s="52">
        <v>0.076923</v>
      </c>
      <c r="W9" s="52">
        <v>0.114023</v>
      </c>
      <c r="X9" s="52">
        <v>1.014744</v>
      </c>
      <c r="Y9" s="52">
        <v>0.55</v>
      </c>
      <c r="Z9" s="52">
        <v>0.2</v>
      </c>
      <c r="AA9" s="137">
        <v>9</v>
      </c>
      <c r="AB9" s="137" t="b">
        <f>IF(AND(OR(NOT(ISNUMBER([Size])),[Size]&gt;=Misc!$O$4),OR(NOT(ISNUMBER([Size])),[Size]&lt;=Misc!$P$4),OR(NOT(ISNUMBER([Opacity])),[Opacity]&gt;=Misc!$O$5),OR(NOT(ISNUMBER([Opacity])),[Opacity]&lt;=Misc!$P$5),OR(NOT(ISNUMBER([X])),[X]&gt;=Misc!$O$6),OR(NOT(ISNUMBER([X])),[X]&lt;=Misc!$P$6),OR(NOT(ISNUMBER([Y])),[Y]&gt;=Misc!$O$7),OR(NOT(ISNUMBER([Y])),[Y]&lt;=Misc!$P$7),OR(NOT(ISNUMBER([Degree])),[Degree]&gt;=Misc!$O$8),OR(NOT(ISNUMBER([Degree])),[Degree]&lt;=Misc!$P$8),OR(NOT(ISNUMBER([In-Degree])),[In-Degree]&gt;=Misc!$O$9),OR(NOT(ISNUMBER([In-Degree])),[In-Degree]&lt;=Misc!$P$9),OR(NOT(ISNUMBER([Out-Degree])),[Out-Degree]&gt;=Misc!$O$10),OR(NOT(ISNUMBER([Out-Degree])),[Out-Degree]&lt;=Misc!$P$10),OR(NOT(ISNUMBER([Betweenness Centrality])),[Betweenness Centrality]&gt;=Misc!$O$11),OR(NOT(ISNUMBER([Betweenness Centrality])),[Betweenness Centrality]&lt;=Misc!$P$11),OR(NOT(ISNUMBER([Closeness Centrality])),[Closeness Centrality]&gt;=Misc!$O$12),OR(NOT(ISNUMBER([Closeness Centrality])),[Closeness Centrality]&lt;=Misc!$P$12),OR(NOT(ISNUMBER([Eigenvector Centrality])),[Eigenvector Centrality]&gt;=Misc!$O$13),OR(NOT(ISNUMBER([Eigenvector Centrality])),[Eigenvector Centrality]&lt;=Misc!$P$13),OR(NOT(ISNUMBER([PageRank])),[PageRank]&gt;=Misc!$O$14),OR(NOT(ISNUMBER([PageRank])),[PageRank]&lt;=Misc!$P$14),OR(NOT(ISNUMBER([Clustering Coefficient])),[Clustering Coefficient]&gt;=Misc!$O$15),OR(NOT(ISNUMBER([Clustering Coefficient])),[Clustering Coefficient]&lt;=Misc!$P$15),OR(NOT(ISNUMBER([Reciprocated Vertex Pair Ratio])),[Reciprocated Vertex Pair Ratio]&gt;=Misc!$O$16),OR(NOT(ISNUMBER([Reciprocated Vertex Pair Ratio])),[Reciprocated Vertex Pair Ratio]&lt;=Misc!$P$16),TRUE),TRUE,FALSE)</f>
        <v>1</v>
      </c>
      <c r="AC9" s="107"/>
      <c r="AD9" s="118" t="str">
        <f>REPLACE(INDEX(GroupVertices[Group],MATCH(Vertices[[#This Row],[Vertex]],GroupVertices[Vertex],0)),1,1,"")</f>
        <v>1</v>
      </c>
      <c r="AE9" s="51"/>
      <c r="AF9" s="51"/>
      <c r="AG9" s="51"/>
      <c r="AH9" s="51"/>
      <c r="AI9" s="51"/>
      <c r="AJ9" s="51"/>
      <c r="AK9" s="125" t="s">
        <v>238</v>
      </c>
      <c r="AL9" s="125" t="s">
        <v>238</v>
      </c>
      <c r="AM9" s="125" t="s">
        <v>238</v>
      </c>
      <c r="AN9" s="125" t="s">
        <v>238</v>
      </c>
      <c r="AO9" s="2"/>
      <c r="AP9" s="3"/>
      <c r="AQ9" s="3"/>
      <c r="AR9" s="3"/>
      <c r="AS9" s="3"/>
    </row>
    <row r="10" spans="1:45" ht="15">
      <c r="A10" s="14" t="s">
        <v>184</v>
      </c>
      <c r="B10" s="128"/>
      <c r="C10" s="128"/>
      <c r="D10" s="129">
        <v>1</v>
      </c>
      <c r="E10" s="130">
        <v>60</v>
      </c>
      <c r="F10" s="128"/>
      <c r="G10" s="128"/>
      <c r="H10" s="131" t="s">
        <v>184</v>
      </c>
      <c r="I10" s="132"/>
      <c r="J10" s="132"/>
      <c r="K10" s="131" t="s">
        <v>268</v>
      </c>
      <c r="L10" s="133"/>
      <c r="M10" s="134">
        <v>9232.3720703125</v>
      </c>
      <c r="N10" s="134">
        <v>9216.5849609375</v>
      </c>
      <c r="O10" s="135"/>
      <c r="P10" s="136"/>
      <c r="Q10" s="136"/>
      <c r="R10" s="51">
        <f t="shared" si="0"/>
        <v>2</v>
      </c>
      <c r="S10" s="51">
        <v>2</v>
      </c>
      <c r="T10" s="51">
        <v>0</v>
      </c>
      <c r="U10" s="52">
        <v>0.666667</v>
      </c>
      <c r="V10" s="52">
        <v>0.0625</v>
      </c>
      <c r="W10" s="52">
        <v>0.040053</v>
      </c>
      <c r="X10" s="52">
        <v>0.507482</v>
      </c>
      <c r="Y10" s="52">
        <v>0</v>
      </c>
      <c r="Z10" s="52">
        <v>0</v>
      </c>
      <c r="AA10" s="137">
        <v>10</v>
      </c>
      <c r="AB10" s="137" t="b">
        <f>IF(AND(OR(NOT(ISNUMBER([Size])),[Size]&gt;=Misc!$O$4),OR(NOT(ISNUMBER([Size])),[Size]&lt;=Misc!$P$4),OR(NOT(ISNUMBER([Opacity])),[Opacity]&gt;=Misc!$O$5),OR(NOT(ISNUMBER([Opacity])),[Opacity]&lt;=Misc!$P$5),OR(NOT(ISNUMBER([X])),[X]&gt;=Misc!$O$6),OR(NOT(ISNUMBER([X])),[X]&lt;=Misc!$P$6),OR(NOT(ISNUMBER([Y])),[Y]&gt;=Misc!$O$7),OR(NOT(ISNUMBER([Y])),[Y]&lt;=Misc!$P$7),OR(NOT(ISNUMBER([Degree])),[Degree]&gt;=Misc!$O$8),OR(NOT(ISNUMBER([Degree])),[Degree]&lt;=Misc!$P$8),OR(NOT(ISNUMBER([In-Degree])),[In-Degree]&gt;=Misc!$O$9),OR(NOT(ISNUMBER([In-Degree])),[In-Degree]&lt;=Misc!$P$9),OR(NOT(ISNUMBER([Out-Degree])),[Out-Degree]&gt;=Misc!$O$10),OR(NOT(ISNUMBER([Out-Degree])),[Out-Degree]&lt;=Misc!$P$10),OR(NOT(ISNUMBER([Betweenness Centrality])),[Betweenness Centrality]&gt;=Misc!$O$11),OR(NOT(ISNUMBER([Betweenness Centrality])),[Betweenness Centrality]&lt;=Misc!$P$11),OR(NOT(ISNUMBER([Closeness Centrality])),[Closeness Centrality]&gt;=Misc!$O$12),OR(NOT(ISNUMBER([Closeness Centrality])),[Closeness Centrality]&lt;=Misc!$P$12),OR(NOT(ISNUMBER([Eigenvector Centrality])),[Eigenvector Centrality]&gt;=Misc!$O$13),OR(NOT(ISNUMBER([Eigenvector Centrality])),[Eigenvector Centrality]&lt;=Misc!$P$13),OR(NOT(ISNUMBER([PageRank])),[PageRank]&gt;=Misc!$O$14),OR(NOT(ISNUMBER([PageRank])),[PageRank]&lt;=Misc!$P$14),OR(NOT(ISNUMBER([Clustering Coefficient])),[Clustering Coefficient]&gt;=Misc!$O$15),OR(NOT(ISNUMBER([Clustering Coefficient])),[Clustering Coefficient]&lt;=Misc!$P$15),OR(NOT(ISNUMBER([Reciprocated Vertex Pair Ratio])),[Reciprocated Vertex Pair Ratio]&gt;=Misc!$O$16),OR(NOT(ISNUMBER([Reciprocated Vertex Pair Ratio])),[Reciprocated Vertex Pair Ratio]&lt;=Misc!$P$16),TRUE),TRUE,FALSE)</f>
        <v>0</v>
      </c>
      <c r="AC10" s="91"/>
      <c r="AD10" s="118" t="str">
        <f>REPLACE(INDEX(GroupVertices[Group],MATCH(Vertices[[#This Row],[Vertex]],GroupVertices[Vertex],0)),1,1,"")</f>
        <v>2</v>
      </c>
      <c r="AE10" s="51"/>
      <c r="AF10" s="51"/>
      <c r="AG10" s="51"/>
      <c r="AH10" s="51"/>
      <c r="AI10" s="51"/>
      <c r="AJ10" s="51"/>
      <c r="AK10" s="51"/>
      <c r="AL10" s="51"/>
      <c r="AM10" s="51"/>
      <c r="AN10" s="51"/>
      <c r="AO10" s="2"/>
      <c r="AP10" s="3"/>
      <c r="AQ10" s="3"/>
      <c r="AR10" s="3"/>
      <c r="AS10" s="3"/>
    </row>
    <row r="11" spans="1:45" ht="15">
      <c r="A11" s="14" t="s">
        <v>181</v>
      </c>
      <c r="B11" s="128"/>
      <c r="C11" s="128"/>
      <c r="D11" s="129">
        <v>2.6666666666666665</v>
      </c>
      <c r="E11" s="130">
        <v>66.12958972164296</v>
      </c>
      <c r="F11" s="128"/>
      <c r="G11" s="128"/>
      <c r="H11" s="131" t="s">
        <v>181</v>
      </c>
      <c r="I11" s="132"/>
      <c r="J11" s="132"/>
      <c r="K11" s="131" t="s">
        <v>271</v>
      </c>
      <c r="L11" s="133"/>
      <c r="M11" s="134">
        <v>141.28855895996094</v>
      </c>
      <c r="N11" s="134">
        <v>8134.66455078125</v>
      </c>
      <c r="O11" s="135"/>
      <c r="P11" s="136"/>
      <c r="Q11" s="136"/>
      <c r="R11" s="51">
        <f t="shared" si="0"/>
        <v>4</v>
      </c>
      <c r="S11" s="51">
        <v>2</v>
      </c>
      <c r="T11" s="51">
        <v>2</v>
      </c>
      <c r="U11" s="52">
        <v>0</v>
      </c>
      <c r="V11" s="52">
        <v>0.066667</v>
      </c>
      <c r="W11" s="52">
        <v>0.094526</v>
      </c>
      <c r="X11" s="52">
        <v>0.837174</v>
      </c>
      <c r="Y11" s="52">
        <v>0.6666666666666666</v>
      </c>
      <c r="Z11" s="52">
        <v>0</v>
      </c>
      <c r="AA11" s="137">
        <v>11</v>
      </c>
      <c r="AB11" s="137" t="b">
        <f>IF(AND(OR(NOT(ISNUMBER([Size])),[Size]&gt;=Misc!$O$4),OR(NOT(ISNUMBER([Size])),[Size]&lt;=Misc!$P$4),OR(NOT(ISNUMBER([Opacity])),[Opacity]&gt;=Misc!$O$5),OR(NOT(ISNUMBER([Opacity])),[Opacity]&lt;=Misc!$P$5),OR(NOT(ISNUMBER([X])),[X]&gt;=Misc!$O$6),OR(NOT(ISNUMBER([X])),[X]&lt;=Misc!$P$6),OR(NOT(ISNUMBER([Y])),[Y]&gt;=Misc!$O$7),OR(NOT(ISNUMBER([Y])),[Y]&lt;=Misc!$P$7),OR(NOT(ISNUMBER([Degree])),[Degree]&gt;=Misc!$O$8),OR(NOT(ISNUMBER([Degree])),[Degree]&lt;=Misc!$P$8),OR(NOT(ISNUMBER([In-Degree])),[In-Degree]&gt;=Misc!$O$9),OR(NOT(ISNUMBER([In-Degree])),[In-Degree]&lt;=Misc!$P$9),OR(NOT(ISNUMBER([Out-Degree])),[Out-Degree]&gt;=Misc!$O$10),OR(NOT(ISNUMBER([Out-Degree])),[Out-Degree]&lt;=Misc!$P$10),OR(NOT(ISNUMBER([Betweenness Centrality])),[Betweenness Centrality]&gt;=Misc!$O$11),OR(NOT(ISNUMBER([Betweenness Centrality])),[Betweenness Centrality]&lt;=Misc!$P$11),OR(NOT(ISNUMBER([Closeness Centrality])),[Closeness Centrality]&gt;=Misc!$O$12),OR(NOT(ISNUMBER([Closeness Centrality])),[Closeness Centrality]&lt;=Misc!$P$12),OR(NOT(ISNUMBER([Eigenvector Centrality])),[Eigenvector Centrality]&gt;=Misc!$O$13),OR(NOT(ISNUMBER([Eigenvector Centrality])),[Eigenvector Centrality]&lt;=Misc!$P$13),OR(NOT(ISNUMBER([PageRank])),[PageRank]&gt;=Misc!$O$14),OR(NOT(ISNUMBER([PageRank])),[PageRank]&lt;=Misc!$P$14),OR(NOT(ISNUMBER([Clustering Coefficient])),[Clustering Coefficient]&gt;=Misc!$O$15),OR(NOT(ISNUMBER([Clustering Coefficient])),[Clustering Coefficient]&lt;=Misc!$P$15),OR(NOT(ISNUMBER([Reciprocated Vertex Pair Ratio])),[Reciprocated Vertex Pair Ratio]&gt;=Misc!$O$16),OR(NOT(ISNUMBER([Reciprocated Vertex Pair Ratio])),[Reciprocated Vertex Pair Ratio]&lt;=Misc!$P$16),TRUE),TRUE,FALSE)</f>
        <v>1</v>
      </c>
      <c r="AC11" s="91"/>
      <c r="AD11" s="118" t="str">
        <f>REPLACE(INDEX(GroupVertices[Group],MATCH(Vertices[[#This Row],[Vertex]],GroupVertices[Vertex],0)),1,1,"")</f>
        <v>1</v>
      </c>
      <c r="AE11" s="51"/>
      <c r="AF11" s="51"/>
      <c r="AG11" s="51"/>
      <c r="AH11" s="51"/>
      <c r="AI11" s="51"/>
      <c r="AJ11" s="51"/>
      <c r="AK11" s="125" t="s">
        <v>238</v>
      </c>
      <c r="AL11" s="125" t="s">
        <v>238</v>
      </c>
      <c r="AM11" s="125" t="s">
        <v>238</v>
      </c>
      <c r="AN11" s="125" t="s">
        <v>238</v>
      </c>
      <c r="AO11" s="2"/>
      <c r="AP11" s="3"/>
      <c r="AQ11" s="3"/>
      <c r="AR11" s="3"/>
      <c r="AS11" s="3"/>
    </row>
    <row r="12" spans="1:45" ht="15">
      <c r="A12" s="14" t="s">
        <v>182</v>
      </c>
      <c r="B12" s="89"/>
      <c r="C12" s="89"/>
      <c r="D12" s="98">
        <v>1.8333333333333333</v>
      </c>
      <c r="E12" s="99">
        <v>59.43520513917852</v>
      </c>
      <c r="F12" s="89"/>
      <c r="G12" s="89"/>
      <c r="H12" s="100" t="s">
        <v>182</v>
      </c>
      <c r="I12" s="101"/>
      <c r="J12" s="101"/>
      <c r="K12" s="100" t="s">
        <v>268</v>
      </c>
      <c r="L12" s="102"/>
      <c r="M12" s="103">
        <v>9716.18359375</v>
      </c>
      <c r="N12" s="103">
        <v>428.5987854003906</v>
      </c>
      <c r="O12" s="104"/>
      <c r="P12" s="105"/>
      <c r="Q12" s="105"/>
      <c r="R12" s="51">
        <f t="shared" si="0"/>
        <v>3</v>
      </c>
      <c r="S12" s="51">
        <v>2</v>
      </c>
      <c r="T12" s="51">
        <v>1</v>
      </c>
      <c r="U12" s="52">
        <v>0</v>
      </c>
      <c r="V12" s="52">
        <v>0.0625</v>
      </c>
      <c r="W12" s="52">
        <v>0.060474</v>
      </c>
      <c r="X12" s="52">
        <v>0.68185</v>
      </c>
      <c r="Y12" s="52">
        <v>0.8333333333333334</v>
      </c>
      <c r="Z12" s="52">
        <v>0</v>
      </c>
      <c r="AA12" s="106">
        <v>12</v>
      </c>
      <c r="AB12" s="106" t="b">
        <f>IF(AND(OR(NOT(ISNUMBER([Size])),[Size]&gt;=Misc!$O$4),OR(NOT(ISNUMBER([Size])),[Size]&lt;=Misc!$P$4),OR(NOT(ISNUMBER([Opacity])),[Opacity]&gt;=Misc!$O$5),OR(NOT(ISNUMBER([Opacity])),[Opacity]&lt;=Misc!$P$5),OR(NOT(ISNUMBER([X])),[X]&gt;=Misc!$O$6),OR(NOT(ISNUMBER([X])),[X]&lt;=Misc!$P$6),OR(NOT(ISNUMBER([Y])),[Y]&gt;=Misc!$O$7),OR(NOT(ISNUMBER([Y])),[Y]&lt;=Misc!$P$7),OR(NOT(ISNUMBER([Degree])),[Degree]&gt;=Misc!$O$8),OR(NOT(ISNUMBER([Degree])),[Degree]&lt;=Misc!$P$8),OR(NOT(ISNUMBER([In-Degree])),[In-Degree]&gt;=Misc!$O$9),OR(NOT(ISNUMBER([In-Degree])),[In-Degree]&lt;=Misc!$P$9),OR(NOT(ISNUMBER([Out-Degree])),[Out-Degree]&gt;=Misc!$O$10),OR(NOT(ISNUMBER([Out-Degree])),[Out-Degree]&lt;=Misc!$P$10),OR(NOT(ISNUMBER([Betweenness Centrality])),[Betweenness Centrality]&gt;=Misc!$O$11),OR(NOT(ISNUMBER([Betweenness Centrality])),[Betweenness Centrality]&lt;=Misc!$P$11),OR(NOT(ISNUMBER([Closeness Centrality])),[Closeness Centrality]&gt;=Misc!$O$12),OR(NOT(ISNUMBER([Closeness Centrality])),[Closeness Centrality]&lt;=Misc!$P$12),OR(NOT(ISNUMBER([Eigenvector Centrality])),[Eigenvector Centrality]&gt;=Misc!$O$13),OR(NOT(ISNUMBER([Eigenvector Centrality])),[Eigenvector Centrality]&lt;=Misc!$P$13),OR(NOT(ISNUMBER([PageRank])),[PageRank]&gt;=Misc!$O$14),OR(NOT(ISNUMBER([PageRank])),[PageRank]&lt;=Misc!$P$14),OR(NOT(ISNUMBER([Clustering Coefficient])),[Clustering Coefficient]&gt;=Misc!$O$15),OR(NOT(ISNUMBER([Clustering Coefficient])),[Clustering Coefficient]&lt;=Misc!$P$15),OR(NOT(ISNUMBER([Reciprocated Vertex Pair Ratio])),[Reciprocated Vertex Pair Ratio]&gt;=Misc!$O$16),OR(NOT(ISNUMBER([Reciprocated Vertex Pair Ratio])),[Reciprocated Vertex Pair Ratio]&lt;=Misc!$P$16),TRUE),TRUE,FALSE)</f>
        <v>1</v>
      </c>
      <c r="AC12" s="91"/>
      <c r="AD12" s="118" t="str">
        <f>REPLACE(INDEX(GroupVertices[Group],MATCH(Vertices[[#This Row],[Vertex]],GroupVertices[Vertex],0)),1,1,"")</f>
        <v>2</v>
      </c>
      <c r="AE12" s="51"/>
      <c r="AF12" s="51"/>
      <c r="AG12" s="51"/>
      <c r="AH12" s="51"/>
      <c r="AI12" s="51"/>
      <c r="AJ12" s="51"/>
      <c r="AK12" s="125" t="s">
        <v>238</v>
      </c>
      <c r="AL12" s="125" t="s">
        <v>238</v>
      </c>
      <c r="AM12" s="125" t="s">
        <v>238</v>
      </c>
      <c r="AN12" s="125" t="s">
        <v>238</v>
      </c>
      <c r="AO12" s="2"/>
      <c r="AP12" s="3"/>
      <c r="AQ12" s="3"/>
      <c r="AR12" s="3"/>
      <c r="AS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
  <sheetViews>
    <sheetView workbookViewId="0" topLeftCell="A1">
      <pane ySplit="2" topLeftCell="A3" activePane="bottomLeft" state="frozen"/>
      <selection pane="bottomLeft" activeCell="A2" sqref="A2:AF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32" s="13" customFormat="1" ht="30" customHeight="1">
      <c r="A2" s="11" t="s">
        <v>143</v>
      </c>
      <c r="B2" s="13" t="s">
        <v>21</v>
      </c>
      <c r="C2" s="13" t="s">
        <v>20</v>
      </c>
      <c r="D2" s="13" t="s">
        <v>11</v>
      </c>
      <c r="E2" s="13" t="s">
        <v>144</v>
      </c>
      <c r="F2" s="13" t="s">
        <v>46</v>
      </c>
      <c r="G2" s="13" t="s">
        <v>166</v>
      </c>
      <c r="H2" s="13" t="s">
        <v>167</v>
      </c>
      <c r="I2" s="13" t="s">
        <v>12</v>
      </c>
      <c r="J2" s="13" t="s">
        <v>165</v>
      </c>
      <c r="K2" s="13" t="s">
        <v>145</v>
      </c>
      <c r="L2" s="13" t="s">
        <v>147</v>
      </c>
      <c r="M2" s="13" t="s">
        <v>148</v>
      </c>
      <c r="N2" s="13" t="s">
        <v>149</v>
      </c>
      <c r="O2" s="13" t="s">
        <v>150</v>
      </c>
      <c r="P2" s="13" t="s">
        <v>169</v>
      </c>
      <c r="Q2" s="13" t="s">
        <v>170</v>
      </c>
      <c r="R2" s="13" t="s">
        <v>151</v>
      </c>
      <c r="S2" s="13" t="s">
        <v>152</v>
      </c>
      <c r="T2" s="13" t="s">
        <v>153</v>
      </c>
      <c r="U2" s="13" t="s">
        <v>154</v>
      </c>
      <c r="V2" s="13" t="s">
        <v>155</v>
      </c>
      <c r="W2" s="13" t="s">
        <v>156</v>
      </c>
      <c r="X2" s="13" t="s">
        <v>157</v>
      </c>
      <c r="Y2" s="13" t="s">
        <v>220</v>
      </c>
      <c r="Z2" s="13" t="s">
        <v>224</v>
      </c>
      <c r="AA2" s="13" t="s">
        <v>228</v>
      </c>
      <c r="AB2" s="13" t="s">
        <v>237</v>
      </c>
      <c r="AC2" s="13" t="s">
        <v>242</v>
      </c>
      <c r="AD2" s="13" t="s">
        <v>249</v>
      </c>
      <c r="AE2" s="13" t="s">
        <v>250</v>
      </c>
      <c r="AF2" s="13" t="s">
        <v>254</v>
      </c>
    </row>
    <row r="3" spans="1:32" ht="15">
      <c r="A3" s="117" t="s">
        <v>198</v>
      </c>
      <c r="B3" s="119" t="s">
        <v>200</v>
      </c>
      <c r="C3" s="119" t="s">
        <v>56</v>
      </c>
      <c r="D3" s="109"/>
      <c r="E3" s="108"/>
      <c r="F3" s="110" t="s">
        <v>274</v>
      </c>
      <c r="G3" s="111"/>
      <c r="H3" s="111"/>
      <c r="I3" s="112">
        <v>3</v>
      </c>
      <c r="J3" s="113"/>
      <c r="K3" s="51">
        <v>5</v>
      </c>
      <c r="L3" s="51">
        <v>6</v>
      </c>
      <c r="M3" s="51">
        <v>15</v>
      </c>
      <c r="N3" s="51">
        <v>21</v>
      </c>
      <c r="O3" s="51">
        <v>0</v>
      </c>
      <c r="P3" s="52">
        <v>0.2</v>
      </c>
      <c r="Q3" s="52">
        <v>0.3333333333333333</v>
      </c>
      <c r="R3" s="51">
        <v>1</v>
      </c>
      <c r="S3" s="51">
        <v>0</v>
      </c>
      <c r="T3" s="51">
        <v>5</v>
      </c>
      <c r="U3" s="51">
        <v>21</v>
      </c>
      <c r="V3" s="51">
        <v>1</v>
      </c>
      <c r="W3" s="52">
        <v>0.8</v>
      </c>
      <c r="X3" s="52">
        <v>0.6</v>
      </c>
      <c r="Y3" s="118"/>
      <c r="Z3" s="118"/>
      <c r="AA3" s="118"/>
      <c r="AB3" s="120" t="s">
        <v>238</v>
      </c>
      <c r="AC3" s="120" t="s">
        <v>238</v>
      </c>
      <c r="AD3" s="120"/>
      <c r="AE3" s="120"/>
      <c r="AF3" s="120"/>
    </row>
    <row r="4" spans="1:32" ht="15">
      <c r="A4" s="117" t="s">
        <v>199</v>
      </c>
      <c r="B4" s="119" t="s">
        <v>201</v>
      </c>
      <c r="C4" s="119" t="s">
        <v>56</v>
      </c>
      <c r="D4" s="114"/>
      <c r="E4" s="89"/>
      <c r="F4" s="100" t="s">
        <v>273</v>
      </c>
      <c r="G4" s="104"/>
      <c r="H4" s="104"/>
      <c r="I4" s="115">
        <v>4</v>
      </c>
      <c r="J4" s="106"/>
      <c r="K4" s="51">
        <v>5</v>
      </c>
      <c r="L4" s="51">
        <v>7</v>
      </c>
      <c r="M4" s="51">
        <v>4</v>
      </c>
      <c r="N4" s="51">
        <v>11</v>
      </c>
      <c r="O4" s="51">
        <v>0</v>
      </c>
      <c r="P4" s="52">
        <v>0.2857142857142857</v>
      </c>
      <c r="Q4" s="52">
        <v>0.4444444444444444</v>
      </c>
      <c r="R4" s="51">
        <v>1</v>
      </c>
      <c r="S4" s="51">
        <v>0</v>
      </c>
      <c r="T4" s="51">
        <v>5</v>
      </c>
      <c r="U4" s="51">
        <v>11</v>
      </c>
      <c r="V4" s="51">
        <v>2</v>
      </c>
      <c r="W4" s="52">
        <v>1.04</v>
      </c>
      <c r="X4" s="52">
        <v>0.45</v>
      </c>
      <c r="Y4" s="118"/>
      <c r="Z4" s="118"/>
      <c r="AA4" s="118"/>
      <c r="AB4" s="120" t="s">
        <v>238</v>
      </c>
      <c r="AC4" s="120" t="s">
        <v>238</v>
      </c>
      <c r="AD4" s="120"/>
      <c r="AE4" s="120"/>
      <c r="AF4" s="120"/>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143</v>
      </c>
      <c r="B1" s="11" t="s">
        <v>5</v>
      </c>
      <c r="C1" s="11" t="s">
        <v>146</v>
      </c>
    </row>
    <row r="2" spans="1:3" ht="15">
      <c r="A2" s="118" t="s">
        <v>198</v>
      </c>
      <c r="B2" s="120" t="s">
        <v>183</v>
      </c>
      <c r="C2" s="118">
        <f>VLOOKUP(GroupVertices[[#This Row],[Vertex]],Vertices[],MATCH("ID",Vertices[[#Headers],[Vertex]:[Top Word Pairs in Tweet by Salience]],0),FALSE)</f>
        <v>8</v>
      </c>
    </row>
    <row r="3" spans="1:3" ht="15">
      <c r="A3" s="118" t="s">
        <v>198</v>
      </c>
      <c r="B3" s="120" t="s">
        <v>180</v>
      </c>
      <c r="C3" s="118">
        <f>VLOOKUP(GroupVertices[[#This Row],[Vertex]],Vertices[],MATCH("ID",Vertices[[#Headers],[Vertex]:[Top Word Pairs in Tweet by Salience]],0),FALSE)</f>
        <v>9</v>
      </c>
    </row>
    <row r="4" spans="1:3" ht="15">
      <c r="A4" s="118" t="s">
        <v>198</v>
      </c>
      <c r="B4" s="120" t="s">
        <v>179</v>
      </c>
      <c r="C4" s="118">
        <f>VLOOKUP(GroupVertices[[#This Row],[Vertex]],Vertices[],MATCH("ID",Vertices[[#Headers],[Vertex]:[Top Word Pairs in Tweet by Salience]],0),FALSE)</f>
        <v>4</v>
      </c>
    </row>
    <row r="5" spans="1:3" ht="15">
      <c r="A5" s="118" t="s">
        <v>198</v>
      </c>
      <c r="B5" s="120" t="s">
        <v>178</v>
      </c>
      <c r="C5" s="118">
        <f>VLOOKUP(GroupVertices[[#This Row],[Vertex]],Vertices[],MATCH("ID",Vertices[[#Headers],[Vertex]:[Top Word Pairs in Tweet by Salience]],0),FALSE)</f>
        <v>3</v>
      </c>
    </row>
    <row r="6" spans="1:3" ht="15">
      <c r="A6" s="118" t="s">
        <v>198</v>
      </c>
      <c r="B6" s="120" t="s">
        <v>181</v>
      </c>
      <c r="C6" s="118">
        <f>VLOOKUP(GroupVertices[[#This Row],[Vertex]],Vertices[],MATCH("ID",Vertices[[#Headers],[Vertex]:[Top Word Pairs in Tweet by Salience]],0),FALSE)</f>
        <v>11</v>
      </c>
    </row>
    <row r="7" spans="1:3" ht="15">
      <c r="A7" s="118" t="s">
        <v>199</v>
      </c>
      <c r="B7" s="120" t="s">
        <v>177</v>
      </c>
      <c r="C7" s="118">
        <f>VLOOKUP(GroupVertices[[#This Row],[Vertex]],Vertices[],MATCH("ID",Vertices[[#Headers],[Vertex]:[Top Word Pairs in Tweet by Salience]],0),FALSE)</f>
        <v>5</v>
      </c>
    </row>
    <row r="8" spans="1:3" ht="15">
      <c r="A8" s="118" t="s">
        <v>199</v>
      </c>
      <c r="B8" s="120" t="s">
        <v>184</v>
      </c>
      <c r="C8" s="118">
        <f>VLOOKUP(GroupVertices[[#This Row],[Vertex]],Vertices[],MATCH("ID",Vertices[[#Headers],[Vertex]:[Top Word Pairs in Tweet by Salience]],0),FALSE)</f>
        <v>10</v>
      </c>
    </row>
    <row r="9" spans="1:3" ht="15">
      <c r="A9" s="118" t="s">
        <v>199</v>
      </c>
      <c r="B9" s="120" t="s">
        <v>176</v>
      </c>
      <c r="C9" s="118">
        <f>VLOOKUP(GroupVertices[[#This Row],[Vertex]],Vertices[],MATCH("ID",Vertices[[#Headers],[Vertex]:[Top Word Pairs in Tweet by Salience]],0),FALSE)</f>
        <v>6</v>
      </c>
    </row>
    <row r="10" spans="1:3" ht="15">
      <c r="A10" s="118" t="s">
        <v>199</v>
      </c>
      <c r="B10" s="120" t="s">
        <v>175</v>
      </c>
      <c r="C10" s="118">
        <f>VLOOKUP(GroupVertices[[#This Row],[Vertex]],Vertices[],MATCH("ID",Vertices[[#Headers],[Vertex]:[Top Word Pairs in Tweet by Salience]],0),FALSE)</f>
        <v>7</v>
      </c>
    </row>
    <row r="11" spans="1:3" ht="15">
      <c r="A11" s="118" t="s">
        <v>199</v>
      </c>
      <c r="B11" s="120" t="s">
        <v>182</v>
      </c>
      <c r="C11" s="11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7" t="s">
        <v>86</v>
      </c>
      <c r="G1" s="38" t="s">
        <v>87</v>
      </c>
      <c r="H1" s="37" t="s">
        <v>92</v>
      </c>
      <c r="I1" s="38" t="s">
        <v>93</v>
      </c>
      <c r="J1" s="37" t="s">
        <v>98</v>
      </c>
      <c r="K1" s="38" t="s">
        <v>99</v>
      </c>
      <c r="L1" s="37" t="s">
        <v>104</v>
      </c>
      <c r="M1" s="38" t="s">
        <v>105</v>
      </c>
      <c r="N1" s="37" t="s">
        <v>110</v>
      </c>
      <c r="O1" s="38" t="s">
        <v>111</v>
      </c>
      <c r="P1" s="38" t="s">
        <v>137</v>
      </c>
      <c r="Q1" s="38" t="s">
        <v>138</v>
      </c>
      <c r="R1" s="37" t="s">
        <v>116</v>
      </c>
      <c r="S1" s="37" t="s">
        <v>117</v>
      </c>
      <c r="T1" s="37" t="s">
        <v>122</v>
      </c>
      <c r="U1" s="38" t="s">
        <v>123</v>
      </c>
      <c r="W1" t="s">
        <v>127</v>
      </c>
      <c r="X1" t="s">
        <v>17</v>
      </c>
    </row>
    <row r="2" spans="1:24" ht="15.75" thickTop="1">
      <c r="A2" s="36" t="s">
        <v>210</v>
      </c>
      <c r="B2" s="36" t="s">
        <v>265</v>
      </c>
      <c r="D2" s="33">
        <f>MIN(Vertices[Degree])</f>
        <v>2</v>
      </c>
      <c r="E2" s="3">
        <f>COUNTIF(Vertices[Degree],"&gt;= "&amp;D2)-COUNTIF(Vertices[Degree],"&gt;="&amp;D3)</f>
        <v>1</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v>
      </c>
      <c r="L2" s="39">
        <f>MIN(Vertices[Closeness Centrality])</f>
        <v>0.0625</v>
      </c>
      <c r="M2" s="40">
        <f>COUNTIF(Vertices[Closeness Centrality],"&gt;= "&amp;L2)-COUNTIF(Vertices[Closeness Centrality],"&gt;="&amp;L3)</f>
        <v>2</v>
      </c>
      <c r="N2" s="39">
        <f>MIN(Vertices[Eigenvector Centrality])</f>
        <v>0.040053</v>
      </c>
      <c r="O2" s="40">
        <f>COUNTIF(Vertices[Eigenvector Centrality],"&gt;= "&amp;N2)-COUNTIF(Vertices[Eigenvector Centrality],"&gt;="&amp;N3)</f>
        <v>1</v>
      </c>
      <c r="P2" s="39">
        <f>MIN(Vertices[PageRank])</f>
        <v>0.507482</v>
      </c>
      <c r="Q2" s="40">
        <f>COUNTIF(Vertices[PageRank],"&gt;= "&amp;P2)-COUNTIF(Vertices[PageRank],"&gt;="&amp;P3)</f>
        <v>1</v>
      </c>
      <c r="R2" s="39">
        <f>MIN(Vertices[Clustering Coefficient])</f>
        <v>0</v>
      </c>
      <c r="S2" s="45">
        <f>COUNTIF(Vertices[Clustering Coefficient],"&gt;= "&amp;R2)-COUNTIF(Vertices[Clustering Coefficient],"&gt;="&amp;R3)</f>
        <v>1</v>
      </c>
      <c r="T2" s="39">
        <f ca="1">MIN(INDIRECT(DynamicFilterSourceColumnRange))</f>
        <v>0</v>
      </c>
      <c r="U2" s="40">
        <f aca="true" t="shared" si="0" ref="U2:U57">COUNTIF(INDIRECT(DynamicFilterSourceColumnRange),"&gt;= "&amp;T2)-COUNTIF(INDIRECT(DynamicFilterSourceColumnRange),"&gt;="&amp;T3)</f>
        <v>4</v>
      </c>
      <c r="W2" t="s">
        <v>124</v>
      </c>
      <c r="X2">
        <f>ROWS(HistogramBins[Degree Bin])-1</f>
        <v>55</v>
      </c>
    </row>
    <row r="3" spans="1:24" ht="15">
      <c r="A3" s="123"/>
      <c r="B3" s="123"/>
      <c r="D3" s="34">
        <f aca="true" t="shared" si="1" ref="D3:D26">D2+($D$57-$D$2)/BinDivisor</f>
        <v>2.1272727272727274</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0.1939394</v>
      </c>
      <c r="K3" s="42">
        <f>COUNTIF(Vertices[Betweenness Centrality],"&gt;= "&amp;J3)-COUNTIF(Vertices[Betweenness Centrality],"&gt;="&amp;J4)</f>
        <v>0</v>
      </c>
      <c r="L3" s="41">
        <f aca="true" t="shared" si="5" ref="L3:L26">L2+($L$57-$L$2)/BinDivisor</f>
        <v>0.06301652727272727</v>
      </c>
      <c r="M3" s="42">
        <f>COUNTIF(Vertices[Closeness Centrality],"&gt;= "&amp;L3)-COUNTIF(Vertices[Closeness Centrality],"&gt;="&amp;L4)</f>
        <v>0</v>
      </c>
      <c r="N3" s="41">
        <f aca="true" t="shared" si="6" ref="N3:N26">N2+($N$57-$N$2)/BinDivisor</f>
        <v>0.04196541818181818</v>
      </c>
      <c r="O3" s="42">
        <f>COUNTIF(Vertices[Eigenvector Centrality],"&gt;= "&amp;N3)-COUNTIF(Vertices[Eigenvector Centrality],"&gt;="&amp;N4)</f>
        <v>0</v>
      </c>
      <c r="P3" s="41">
        <f aca="true" t="shared" si="7" ref="P3:P26">P2+($P$57-$P$2)/BinDivisor</f>
        <v>0.5233354545454545</v>
      </c>
      <c r="Q3" s="42">
        <f>COUNTIF(Vertices[PageRank],"&gt;= "&amp;P3)-COUNTIF(Vertices[PageRank],"&gt;="&amp;P4)</f>
        <v>0</v>
      </c>
      <c r="R3" s="41">
        <f aca="true" t="shared" si="8" ref="R3:R26">R2+($R$57-$R$2)/BinDivisor</f>
        <v>0.015151515151515152</v>
      </c>
      <c r="S3" s="46">
        <f>COUNTIF(Vertices[Clustering Coefficient],"&gt;= "&amp;R3)-COUNTIF(Vertices[Clustering Coefficient],"&gt;="&amp;R4)</f>
        <v>0</v>
      </c>
      <c r="T3" s="41">
        <f aca="true" t="shared" si="9" ref="T3:T26">T2+($T$57-$T$2)/BinDivisor</f>
        <v>0.010909090909090908</v>
      </c>
      <c r="U3" s="42">
        <f ca="1" t="shared" si="0"/>
        <v>0</v>
      </c>
      <c r="W3" t="s">
        <v>125</v>
      </c>
      <c r="X3" t="s">
        <v>85</v>
      </c>
    </row>
    <row r="4" spans="1:24" ht="15">
      <c r="A4" s="36" t="s">
        <v>145</v>
      </c>
      <c r="B4" s="36">
        <v>10</v>
      </c>
      <c r="D4" s="34">
        <f t="shared" si="1"/>
        <v>2.254545454545455</v>
      </c>
      <c r="E4" s="3">
        <f>COUNTIF(Vertices[Degree],"&gt;= "&amp;D4)-COUNTIF(Vertices[Degree],"&gt;="&amp;D5)</f>
        <v>0</v>
      </c>
      <c r="F4" s="39">
        <f t="shared" si="2"/>
        <v>0.18181818181818182</v>
      </c>
      <c r="G4" s="40">
        <f>COUNTIF(Vertices[In-Degree],"&gt;= "&amp;F4)-COUNTIF(Vertices[In-Degree],"&gt;="&amp;F5)</f>
        <v>0</v>
      </c>
      <c r="H4" s="39">
        <f t="shared" si="3"/>
        <v>0.21818181818181817</v>
      </c>
      <c r="I4" s="40">
        <f>COUNTIF(Vertices[Out-Degree],"&gt;= "&amp;H4)-COUNTIF(Vertices[Out-Degree],"&gt;="&amp;H5)</f>
        <v>0</v>
      </c>
      <c r="J4" s="39">
        <f t="shared" si="4"/>
        <v>0.3878788</v>
      </c>
      <c r="K4" s="40">
        <f>COUNTIF(Vertices[Betweenness Centrality],"&gt;= "&amp;J4)-COUNTIF(Vertices[Betweenness Centrality],"&gt;="&amp;J5)</f>
        <v>0</v>
      </c>
      <c r="L4" s="39">
        <f t="shared" si="5"/>
        <v>0.06353305454545455</v>
      </c>
      <c r="M4" s="40">
        <f>COUNTIF(Vertices[Closeness Centrality],"&gt;= "&amp;L4)-COUNTIF(Vertices[Closeness Centrality],"&gt;="&amp;L5)</f>
        <v>0</v>
      </c>
      <c r="N4" s="39">
        <f t="shared" si="6"/>
        <v>0.04387783636363637</v>
      </c>
      <c r="O4" s="40">
        <f>COUNTIF(Vertices[Eigenvector Centrality],"&gt;= "&amp;N4)-COUNTIF(Vertices[Eigenvector Centrality],"&gt;="&amp;N5)</f>
        <v>0</v>
      </c>
      <c r="P4" s="39">
        <f t="shared" si="7"/>
        <v>0.539188909090909</v>
      </c>
      <c r="Q4" s="40">
        <f>COUNTIF(Vertices[PageRank],"&gt;= "&amp;P4)-COUNTIF(Vertices[PageRank],"&gt;="&amp;P5)</f>
        <v>0</v>
      </c>
      <c r="R4" s="39">
        <f t="shared" si="8"/>
        <v>0.030303030303030304</v>
      </c>
      <c r="S4" s="45">
        <f>COUNTIF(Vertices[Clustering Coefficient],"&gt;= "&amp;R4)-COUNTIF(Vertices[Clustering Coefficient],"&gt;="&amp;R5)</f>
        <v>0</v>
      </c>
      <c r="T4" s="39">
        <f ca="1" t="shared" si="9"/>
        <v>0.021818181818181816</v>
      </c>
      <c r="U4" s="40">
        <f ca="1" t="shared" si="0"/>
        <v>0</v>
      </c>
      <c r="W4" s="12" t="s">
        <v>126</v>
      </c>
      <c r="X4" s="12" t="s">
        <v>280</v>
      </c>
    </row>
    <row r="5" spans="1:21" ht="15">
      <c r="A5" s="123"/>
      <c r="B5" s="123"/>
      <c r="D5" s="34">
        <f t="shared" si="1"/>
        <v>2.3818181818181823</v>
      </c>
      <c r="E5" s="3">
        <f>COUNTIF(Vertices[Degree],"&gt;= "&amp;D5)-COUNTIF(Vertices[Degree],"&gt;="&amp;D6)</f>
        <v>0</v>
      </c>
      <c r="F5" s="41">
        <f t="shared" si="2"/>
        <v>0.2727272727272727</v>
      </c>
      <c r="G5" s="42">
        <f>COUNTIF(Vertices[In-Degree],"&gt;= "&amp;F5)-COUNTIF(Vertices[In-Degree],"&gt;="&amp;F6)</f>
        <v>0</v>
      </c>
      <c r="H5" s="41">
        <f t="shared" si="3"/>
        <v>0.32727272727272727</v>
      </c>
      <c r="I5" s="42">
        <f>COUNTIF(Vertices[Out-Degree],"&gt;= "&amp;H5)-COUNTIF(Vertices[Out-Degree],"&gt;="&amp;H6)</f>
        <v>0</v>
      </c>
      <c r="J5" s="41">
        <f t="shared" si="4"/>
        <v>0.5818182000000001</v>
      </c>
      <c r="K5" s="42">
        <f>COUNTIF(Vertices[Betweenness Centrality],"&gt;= "&amp;J5)-COUNTIF(Vertices[Betweenness Centrality],"&gt;="&amp;J6)</f>
        <v>1</v>
      </c>
      <c r="L5" s="41">
        <f t="shared" si="5"/>
        <v>0.06404958181818182</v>
      </c>
      <c r="M5" s="42">
        <f>COUNTIF(Vertices[Closeness Centrality],"&gt;= "&amp;L5)-COUNTIF(Vertices[Closeness Centrality],"&gt;="&amp;L6)</f>
        <v>0</v>
      </c>
      <c r="N5" s="41">
        <f t="shared" si="6"/>
        <v>0.04579025454545455</v>
      </c>
      <c r="O5" s="42">
        <f>COUNTIF(Vertices[Eigenvector Centrality],"&gt;= "&amp;N5)-COUNTIF(Vertices[Eigenvector Centrality],"&gt;="&amp;N6)</f>
        <v>0</v>
      </c>
      <c r="P5" s="41">
        <f t="shared" si="7"/>
        <v>0.5550423636363635</v>
      </c>
      <c r="Q5" s="42">
        <f>COUNTIF(Vertices[PageRank],"&gt;= "&amp;P5)-COUNTIF(Vertices[PageRank],"&gt;="&amp;P6)</f>
        <v>0</v>
      </c>
      <c r="R5" s="41">
        <f t="shared" si="8"/>
        <v>0.045454545454545456</v>
      </c>
      <c r="S5" s="46">
        <f>COUNTIF(Vertices[Clustering Coefficient],"&gt;= "&amp;R5)-COUNTIF(Vertices[Clustering Coefficient],"&gt;="&amp;R6)</f>
        <v>0</v>
      </c>
      <c r="T5" s="41">
        <f ca="1" t="shared" si="9"/>
        <v>0.03272727272727272</v>
      </c>
      <c r="U5" s="42">
        <f ca="1" t="shared" si="0"/>
        <v>0</v>
      </c>
    </row>
    <row r="6" spans="1:21" ht="15">
      <c r="A6" s="36" t="s">
        <v>147</v>
      </c>
      <c r="B6" s="36">
        <v>21</v>
      </c>
      <c r="D6" s="34">
        <f t="shared" si="1"/>
        <v>2.5090909090909097</v>
      </c>
      <c r="E6" s="3">
        <f>COUNTIF(Vertices[Degree],"&gt;= "&amp;D6)-COUNTIF(Vertices[Degree],"&gt;="&amp;D7)</f>
        <v>0</v>
      </c>
      <c r="F6" s="39">
        <f t="shared" si="2"/>
        <v>0.36363636363636365</v>
      </c>
      <c r="G6" s="40">
        <f>COUNTIF(Vertices[In-Degree],"&gt;= "&amp;F6)-COUNTIF(Vertices[In-Degree],"&gt;="&amp;F7)</f>
        <v>0</v>
      </c>
      <c r="H6" s="39">
        <f t="shared" si="3"/>
        <v>0.43636363636363634</v>
      </c>
      <c r="I6" s="40">
        <f>COUNTIF(Vertices[Out-Degree],"&gt;= "&amp;H6)-COUNTIF(Vertices[Out-Degree],"&gt;="&amp;H7)</f>
        <v>0</v>
      </c>
      <c r="J6" s="39">
        <f t="shared" si="4"/>
        <v>0.7757576</v>
      </c>
      <c r="K6" s="40">
        <f>COUNTIF(Vertices[Betweenness Centrality],"&gt;= "&amp;J6)-COUNTIF(Vertices[Betweenness Centrality],"&gt;="&amp;J7)</f>
        <v>0</v>
      </c>
      <c r="L6" s="39">
        <f t="shared" si="5"/>
        <v>0.0645661090909091</v>
      </c>
      <c r="M6" s="40">
        <f>COUNTIF(Vertices[Closeness Centrality],"&gt;= "&amp;L6)-COUNTIF(Vertices[Closeness Centrality],"&gt;="&amp;L7)</f>
        <v>0</v>
      </c>
      <c r="N6" s="39">
        <f t="shared" si="6"/>
        <v>0.04770267272727274</v>
      </c>
      <c r="O6" s="40">
        <f>COUNTIF(Vertices[Eigenvector Centrality],"&gt;= "&amp;N6)-COUNTIF(Vertices[Eigenvector Centrality],"&gt;="&amp;N7)</f>
        <v>0</v>
      </c>
      <c r="P6" s="39">
        <f t="shared" si="7"/>
        <v>0.570895818181818</v>
      </c>
      <c r="Q6" s="40">
        <f>COUNTIF(Vertices[PageRank],"&gt;= "&amp;P6)-COUNTIF(Vertices[PageRank],"&gt;="&amp;P7)</f>
        <v>0</v>
      </c>
      <c r="R6" s="39">
        <f t="shared" si="8"/>
        <v>0.06060606060606061</v>
      </c>
      <c r="S6" s="45">
        <f>COUNTIF(Vertices[Clustering Coefficient],"&gt;= "&amp;R6)-COUNTIF(Vertices[Clustering Coefficient],"&gt;="&amp;R7)</f>
        <v>0</v>
      </c>
      <c r="T6" s="39">
        <f ca="1" t="shared" si="9"/>
        <v>0.04363636363636363</v>
      </c>
      <c r="U6" s="40">
        <f ca="1" t="shared" si="0"/>
        <v>0</v>
      </c>
    </row>
    <row r="7" spans="1:21" ht="15">
      <c r="A7" s="36" t="s">
        <v>148</v>
      </c>
      <c r="B7" s="36">
        <v>22</v>
      </c>
      <c r="D7" s="34">
        <f t="shared" si="1"/>
        <v>2.636363636363637</v>
      </c>
      <c r="E7" s="3">
        <f>COUNTIF(Vertices[Degree],"&gt;= "&amp;D7)-COUNTIF(Vertices[Degree],"&gt;="&amp;D8)</f>
        <v>0</v>
      </c>
      <c r="F7" s="41">
        <f t="shared" si="2"/>
        <v>0.4545454545454546</v>
      </c>
      <c r="G7" s="42">
        <f>COUNTIF(Vertices[In-Degree],"&gt;= "&amp;F7)-COUNTIF(Vertices[In-Degree],"&gt;="&amp;F8)</f>
        <v>0</v>
      </c>
      <c r="H7" s="41">
        <f t="shared" si="3"/>
        <v>0.5454545454545454</v>
      </c>
      <c r="I7" s="42">
        <f>COUNTIF(Vertices[Out-Degree],"&gt;= "&amp;H7)-COUNTIF(Vertices[Out-Degree],"&gt;="&amp;H8)</f>
        <v>0</v>
      </c>
      <c r="J7" s="41">
        <f t="shared" si="4"/>
        <v>0.969697</v>
      </c>
      <c r="K7" s="42">
        <f>COUNTIF(Vertices[Betweenness Centrality],"&gt;= "&amp;J7)-COUNTIF(Vertices[Betweenness Centrality],"&gt;="&amp;J8)</f>
        <v>0</v>
      </c>
      <c r="L7" s="41">
        <f t="shared" si="5"/>
        <v>0.06508263636363637</v>
      </c>
      <c r="M7" s="42">
        <f>COUNTIF(Vertices[Closeness Centrality],"&gt;= "&amp;L7)-COUNTIF(Vertices[Closeness Centrality],"&gt;="&amp;L8)</f>
        <v>0</v>
      </c>
      <c r="N7" s="41">
        <f t="shared" si="6"/>
        <v>0.04961509090909092</v>
      </c>
      <c r="O7" s="42">
        <f>COUNTIF(Vertices[Eigenvector Centrality],"&gt;= "&amp;N7)-COUNTIF(Vertices[Eigenvector Centrality],"&gt;="&amp;N8)</f>
        <v>0</v>
      </c>
      <c r="P7" s="41">
        <f t="shared" si="7"/>
        <v>0.5867492727272725</v>
      </c>
      <c r="Q7" s="42">
        <f>COUNTIF(Vertices[PageRank],"&gt;= "&amp;P7)-COUNTIF(Vertices[PageRank],"&gt;="&amp;P8)</f>
        <v>0</v>
      </c>
      <c r="R7" s="41">
        <f t="shared" si="8"/>
        <v>0.07575757575757576</v>
      </c>
      <c r="S7" s="46">
        <f>COUNTIF(Vertices[Clustering Coefficient],"&gt;= "&amp;R7)-COUNTIF(Vertices[Clustering Coefficient],"&gt;="&amp;R8)</f>
        <v>0</v>
      </c>
      <c r="T7" s="41">
        <f ca="1" t="shared" si="9"/>
        <v>0.05454545454545454</v>
      </c>
      <c r="U7" s="42">
        <f ca="1" t="shared" si="0"/>
        <v>0</v>
      </c>
    </row>
    <row r="8" spans="1:21" ht="15">
      <c r="A8" s="36" t="s">
        <v>149</v>
      </c>
      <c r="B8" s="36">
        <v>43</v>
      </c>
      <c r="D8" s="34">
        <f t="shared" si="1"/>
        <v>2.7636363636363646</v>
      </c>
      <c r="E8" s="3">
        <f>COUNTIF(Vertices[Degree],"&gt;= "&amp;D8)-COUNTIF(Vertices[Degree],"&gt;="&amp;D9)</f>
        <v>0</v>
      </c>
      <c r="F8" s="39">
        <f t="shared" si="2"/>
        <v>0.5454545454545455</v>
      </c>
      <c r="G8" s="40">
        <f>COUNTIF(Vertices[In-Degree],"&gt;= "&amp;F8)-COUNTIF(Vertices[In-Degree],"&gt;="&amp;F9)</f>
        <v>0</v>
      </c>
      <c r="H8" s="39">
        <f t="shared" si="3"/>
        <v>0.6545454545454545</v>
      </c>
      <c r="I8" s="40">
        <f>COUNTIF(Vertices[Out-Degree],"&gt;= "&amp;H8)-COUNTIF(Vertices[Out-Degree],"&gt;="&amp;H9)</f>
        <v>0</v>
      </c>
      <c r="J8" s="39">
        <f t="shared" si="4"/>
        <v>1.1636364000000001</v>
      </c>
      <c r="K8" s="40">
        <f>COUNTIF(Vertices[Betweenness Centrality],"&gt;= "&amp;J8)-COUNTIF(Vertices[Betweenness Centrality],"&gt;="&amp;J9)</f>
        <v>0</v>
      </c>
      <c r="L8" s="39">
        <f t="shared" si="5"/>
        <v>0.06559916363636364</v>
      </c>
      <c r="M8" s="40">
        <f>COUNTIF(Vertices[Closeness Centrality],"&gt;= "&amp;L8)-COUNTIF(Vertices[Closeness Centrality],"&gt;="&amp;L9)</f>
        <v>0</v>
      </c>
      <c r="N8" s="39">
        <f t="shared" si="6"/>
        <v>0.051527509090909106</v>
      </c>
      <c r="O8" s="40">
        <f>COUNTIF(Vertices[Eigenvector Centrality],"&gt;= "&amp;N8)-COUNTIF(Vertices[Eigenvector Centrality],"&gt;="&amp;N9)</f>
        <v>0</v>
      </c>
      <c r="P8" s="39">
        <f t="shared" si="7"/>
        <v>0.602602727272727</v>
      </c>
      <c r="Q8" s="40">
        <f>COUNTIF(Vertices[PageRank],"&gt;= "&amp;P8)-COUNTIF(Vertices[PageRank],"&gt;="&amp;P9)</f>
        <v>0</v>
      </c>
      <c r="R8" s="39">
        <f t="shared" si="8"/>
        <v>0.09090909090909091</v>
      </c>
      <c r="S8" s="45">
        <f>COUNTIF(Vertices[Clustering Coefficient],"&gt;= "&amp;R8)-COUNTIF(Vertices[Clustering Coefficient],"&gt;="&amp;R9)</f>
        <v>0</v>
      </c>
      <c r="T8" s="39">
        <f ca="1" t="shared" si="9"/>
        <v>0.06545454545454545</v>
      </c>
      <c r="U8" s="40">
        <f ca="1" t="shared" si="0"/>
        <v>0</v>
      </c>
    </row>
    <row r="9" spans="1:21" ht="15">
      <c r="A9" s="123"/>
      <c r="B9" s="123"/>
      <c r="D9" s="34">
        <f t="shared" si="1"/>
        <v>2.890909090909092</v>
      </c>
      <c r="E9" s="3">
        <f>COUNTIF(Vertices[Degree],"&gt;= "&amp;D9)-COUNTIF(Vertices[Degree],"&gt;="&amp;D10)</f>
        <v>1</v>
      </c>
      <c r="F9" s="41">
        <f t="shared" si="2"/>
        <v>0.6363636363636365</v>
      </c>
      <c r="G9" s="42">
        <f>COUNTIF(Vertices[In-Degree],"&gt;= "&amp;F9)-COUNTIF(Vertices[In-Degree],"&gt;="&amp;F10)</f>
        <v>0</v>
      </c>
      <c r="H9" s="41">
        <f t="shared" si="3"/>
        <v>0.7636363636363637</v>
      </c>
      <c r="I9" s="42">
        <f>COUNTIF(Vertices[Out-Degree],"&gt;= "&amp;H9)-COUNTIF(Vertices[Out-Degree],"&gt;="&amp;H10)</f>
        <v>0</v>
      </c>
      <c r="J9" s="41">
        <f t="shared" si="4"/>
        <v>1.3575758000000002</v>
      </c>
      <c r="K9" s="42">
        <f>COUNTIF(Vertices[Betweenness Centrality],"&gt;= "&amp;J9)-COUNTIF(Vertices[Betweenness Centrality],"&gt;="&amp;J10)</f>
        <v>2</v>
      </c>
      <c r="L9" s="41">
        <f t="shared" si="5"/>
        <v>0.06611569090909092</v>
      </c>
      <c r="M9" s="42">
        <f>COUNTIF(Vertices[Closeness Centrality],"&gt;= "&amp;L9)-COUNTIF(Vertices[Closeness Centrality],"&gt;="&amp;L10)</f>
        <v>0</v>
      </c>
      <c r="N9" s="41">
        <f t="shared" si="6"/>
        <v>0.05343992727272729</v>
      </c>
      <c r="O9" s="42">
        <f>COUNTIF(Vertices[Eigenvector Centrality],"&gt;= "&amp;N9)-COUNTIF(Vertices[Eigenvector Centrality],"&gt;="&amp;N10)</f>
        <v>0</v>
      </c>
      <c r="P9" s="41">
        <f t="shared" si="7"/>
        <v>0.6184561818181815</v>
      </c>
      <c r="Q9" s="42">
        <f>COUNTIF(Vertices[PageRank],"&gt;= "&amp;P9)-COUNTIF(Vertices[PageRank],"&gt;="&amp;P10)</f>
        <v>0</v>
      </c>
      <c r="R9" s="41">
        <f t="shared" si="8"/>
        <v>0.10606060606060606</v>
      </c>
      <c r="S9" s="46">
        <f>COUNTIF(Vertices[Clustering Coefficient],"&gt;= "&amp;R9)-COUNTIF(Vertices[Clustering Coefficient],"&gt;="&amp;R10)</f>
        <v>0</v>
      </c>
      <c r="T9" s="41">
        <f ca="1" t="shared" si="9"/>
        <v>0.07636363636363636</v>
      </c>
      <c r="U9" s="42">
        <f ca="1" t="shared" si="0"/>
        <v>0</v>
      </c>
    </row>
    <row r="10" spans="1:21" ht="15">
      <c r="A10" s="36" t="s">
        <v>150</v>
      </c>
      <c r="B10" s="36">
        <v>0</v>
      </c>
      <c r="D10" s="34">
        <f t="shared" si="1"/>
        <v>3.0181818181818194</v>
      </c>
      <c r="E10" s="3">
        <f>COUNTIF(Vertices[Degree],"&gt;= "&amp;D10)-COUNTIF(Vertices[Degree],"&gt;="&amp;D11)</f>
        <v>0</v>
      </c>
      <c r="F10" s="39">
        <f t="shared" si="2"/>
        <v>0.7272727272727274</v>
      </c>
      <c r="G10" s="40">
        <f>COUNTIF(Vertices[In-Degree],"&gt;= "&amp;F10)-COUNTIF(Vertices[In-Degree],"&gt;="&amp;F11)</f>
        <v>0</v>
      </c>
      <c r="H10" s="39">
        <f t="shared" si="3"/>
        <v>0.8727272727272728</v>
      </c>
      <c r="I10" s="40">
        <f>COUNTIF(Vertices[Out-Degree],"&gt;= "&amp;H10)-COUNTIF(Vertices[Out-Degree],"&gt;="&amp;H11)</f>
        <v>0</v>
      </c>
      <c r="J10" s="39">
        <f t="shared" si="4"/>
        <v>1.5515152000000003</v>
      </c>
      <c r="K10" s="40">
        <f>COUNTIF(Vertices[Betweenness Centrality],"&gt;= "&amp;J10)-COUNTIF(Vertices[Betweenness Centrality],"&gt;="&amp;J11)</f>
        <v>0</v>
      </c>
      <c r="L10" s="39">
        <f t="shared" si="5"/>
        <v>0.06663221818181819</v>
      </c>
      <c r="M10" s="40">
        <f>COUNTIF(Vertices[Closeness Centrality],"&gt;= "&amp;L10)-COUNTIF(Vertices[Closeness Centrality],"&gt;="&amp;L11)</f>
        <v>1</v>
      </c>
      <c r="N10" s="39">
        <f t="shared" si="6"/>
        <v>0.055352345454545475</v>
      </c>
      <c r="O10" s="40">
        <f>COUNTIF(Vertices[Eigenvector Centrality],"&gt;= "&amp;N10)-COUNTIF(Vertices[Eigenvector Centrality],"&gt;="&amp;N11)</f>
        <v>0</v>
      </c>
      <c r="P10" s="39">
        <f t="shared" si="7"/>
        <v>0.634309636363636</v>
      </c>
      <c r="Q10" s="40">
        <f>COUNTIF(Vertices[PageRank],"&gt;= "&amp;P10)-COUNTIF(Vertices[PageRank],"&gt;="&amp;P11)</f>
        <v>0</v>
      </c>
      <c r="R10" s="39">
        <f t="shared" si="8"/>
        <v>0.12121212121212122</v>
      </c>
      <c r="S10" s="45">
        <f>COUNTIF(Vertices[Clustering Coefficient],"&gt;= "&amp;R10)-COUNTIF(Vertices[Clustering Coefficient],"&gt;="&amp;R11)</f>
        <v>0</v>
      </c>
      <c r="T10" s="39">
        <f ca="1" t="shared" si="9"/>
        <v>0.08727272727272727</v>
      </c>
      <c r="U10" s="40">
        <f ca="1" t="shared" si="0"/>
        <v>0</v>
      </c>
    </row>
    <row r="11" spans="1:21" ht="15">
      <c r="A11" s="123"/>
      <c r="B11" s="123"/>
      <c r="D11" s="34">
        <f t="shared" si="1"/>
        <v>3.145454545454547</v>
      </c>
      <c r="E11" s="3">
        <f>COUNTIF(Vertices[Degree],"&gt;= "&amp;D11)-COUNTIF(Vertices[Degree],"&gt;="&amp;D12)</f>
        <v>0</v>
      </c>
      <c r="F11" s="41">
        <f t="shared" si="2"/>
        <v>0.8181818181818183</v>
      </c>
      <c r="G11" s="42">
        <f>COUNTIF(Vertices[In-Degree],"&gt;= "&amp;F11)-COUNTIF(Vertices[In-Degree],"&gt;="&amp;F12)</f>
        <v>0</v>
      </c>
      <c r="H11" s="41">
        <f t="shared" si="3"/>
        <v>0.9818181818181819</v>
      </c>
      <c r="I11" s="42">
        <f>COUNTIF(Vertices[Out-Degree],"&gt;= "&amp;H11)-COUNTIF(Vertices[Out-Degree],"&gt;="&amp;H12)</f>
        <v>2</v>
      </c>
      <c r="J11" s="41">
        <f t="shared" si="4"/>
        <v>1.7454546000000004</v>
      </c>
      <c r="K11" s="42">
        <f>COUNTIF(Vertices[Betweenness Centrality],"&gt;= "&amp;J11)-COUNTIF(Vertices[Betweenness Centrality],"&gt;="&amp;J12)</f>
        <v>0</v>
      </c>
      <c r="L11" s="41">
        <f t="shared" si="5"/>
        <v>0.06714874545454547</v>
      </c>
      <c r="M11" s="42">
        <f>COUNTIF(Vertices[Closeness Centrality],"&gt;= "&amp;L11)-COUNTIF(Vertices[Closeness Centrality],"&gt;="&amp;L12)</f>
        <v>0</v>
      </c>
      <c r="N11" s="41">
        <f t="shared" si="6"/>
        <v>0.05726476363636366</v>
      </c>
      <c r="O11" s="42">
        <f>COUNTIF(Vertices[Eigenvector Centrality],"&gt;= "&amp;N11)-COUNTIF(Vertices[Eigenvector Centrality],"&gt;="&amp;N12)</f>
        <v>0</v>
      </c>
      <c r="P11" s="41">
        <f t="shared" si="7"/>
        <v>0.6501630909090905</v>
      </c>
      <c r="Q11" s="42">
        <f>COUNTIF(Vertices[PageRank],"&gt;= "&amp;P11)-COUNTIF(Vertices[PageRank],"&gt;="&amp;P12)</f>
        <v>0</v>
      </c>
      <c r="R11" s="41">
        <f t="shared" si="8"/>
        <v>0.13636363636363635</v>
      </c>
      <c r="S11" s="46">
        <f>COUNTIF(Vertices[Clustering Coefficient],"&gt;= "&amp;R11)-COUNTIF(Vertices[Clustering Coefficient],"&gt;="&amp;R12)</f>
        <v>0</v>
      </c>
      <c r="T11" s="41">
        <f ca="1" t="shared" si="9"/>
        <v>0.09818181818181818</v>
      </c>
      <c r="U11" s="42">
        <f ca="1" t="shared" si="0"/>
        <v>0</v>
      </c>
    </row>
    <row r="12" spans="1:21" ht="15">
      <c r="A12" s="36" t="s">
        <v>169</v>
      </c>
      <c r="B12" s="36">
        <v>0.25</v>
      </c>
      <c r="D12" s="34">
        <f t="shared" si="1"/>
        <v>3.2727272727272743</v>
      </c>
      <c r="E12" s="3">
        <f>COUNTIF(Vertices[Degree],"&gt;= "&amp;D12)-COUNTIF(Vertices[Degree],"&gt;="&amp;D13)</f>
        <v>0</v>
      </c>
      <c r="F12" s="39">
        <f t="shared" si="2"/>
        <v>0.9090909090909093</v>
      </c>
      <c r="G12" s="40">
        <f>COUNTIF(Vertices[In-Degree],"&gt;= "&amp;F12)-COUNTIF(Vertices[In-Degree],"&gt;="&amp;F13)</f>
        <v>0</v>
      </c>
      <c r="H12" s="39">
        <f t="shared" si="3"/>
        <v>1.090909090909091</v>
      </c>
      <c r="I12" s="40">
        <f>COUNTIF(Vertices[Out-Degree],"&gt;= "&amp;H12)-COUNTIF(Vertices[Out-Degree],"&gt;="&amp;H13)</f>
        <v>0</v>
      </c>
      <c r="J12" s="39">
        <f t="shared" si="4"/>
        <v>1.9393940000000005</v>
      </c>
      <c r="K12" s="40">
        <f>COUNTIF(Vertices[Betweenness Centrality],"&gt;= "&amp;J12)-COUNTIF(Vertices[Betweenness Centrality],"&gt;="&amp;J13)</f>
        <v>0</v>
      </c>
      <c r="L12" s="39">
        <f t="shared" si="5"/>
        <v>0.06766527272727274</v>
      </c>
      <c r="M12" s="40">
        <f>COUNTIF(Vertices[Closeness Centrality],"&gt;= "&amp;L12)-COUNTIF(Vertices[Closeness Centrality],"&gt;="&amp;L13)</f>
        <v>0</v>
      </c>
      <c r="N12" s="39">
        <f t="shared" si="6"/>
        <v>0.059177181818181844</v>
      </c>
      <c r="O12" s="40">
        <f>COUNTIF(Vertices[Eigenvector Centrality],"&gt;= "&amp;N12)-COUNTIF(Vertices[Eigenvector Centrality],"&gt;="&amp;N13)</f>
        <v>1</v>
      </c>
      <c r="P12" s="39">
        <f t="shared" si="7"/>
        <v>0.666016545454545</v>
      </c>
      <c r="Q12" s="40">
        <f>COUNTIF(Vertices[PageRank],"&gt;= "&amp;P12)-COUNTIF(Vertices[PageRank],"&gt;="&amp;P13)</f>
        <v>1</v>
      </c>
      <c r="R12" s="39">
        <f t="shared" si="8"/>
        <v>0.1515151515151515</v>
      </c>
      <c r="S12" s="45">
        <f>COUNTIF(Vertices[Clustering Coefficient],"&gt;= "&amp;R12)-COUNTIF(Vertices[Clustering Coefficient],"&gt;="&amp;R13)</f>
        <v>0</v>
      </c>
      <c r="T12" s="39">
        <f ca="1" t="shared" si="9"/>
        <v>0.10909090909090909</v>
      </c>
      <c r="U12" s="40">
        <f ca="1" t="shared" si="0"/>
        <v>0</v>
      </c>
    </row>
    <row r="13" spans="1:21" ht="15">
      <c r="A13" s="36" t="s">
        <v>170</v>
      </c>
      <c r="B13" s="36">
        <v>0.4</v>
      </c>
      <c r="D13" s="34">
        <f t="shared" si="1"/>
        <v>3.4000000000000017</v>
      </c>
      <c r="E13" s="3">
        <f>COUNTIF(Vertices[Degree],"&gt;= "&amp;D13)-COUNTIF(Vertices[Degree],"&gt;="&amp;D14)</f>
        <v>0</v>
      </c>
      <c r="F13" s="41">
        <f t="shared" si="2"/>
        <v>1.0000000000000002</v>
      </c>
      <c r="G13" s="42">
        <f>COUNTIF(Vertices[In-Degree],"&gt;= "&amp;F13)-COUNTIF(Vertices[In-Degree],"&gt;="&amp;F14)</f>
        <v>0</v>
      </c>
      <c r="H13" s="41">
        <f t="shared" si="3"/>
        <v>1.2000000000000002</v>
      </c>
      <c r="I13" s="42">
        <f>COUNTIF(Vertices[Out-Degree],"&gt;= "&amp;H13)-COUNTIF(Vertices[Out-Degree],"&gt;="&amp;H14)</f>
        <v>0</v>
      </c>
      <c r="J13" s="41">
        <f t="shared" si="4"/>
        <v>2.1333334000000006</v>
      </c>
      <c r="K13" s="42">
        <f>COUNTIF(Vertices[Betweenness Centrality],"&gt;= "&amp;J13)-COUNTIF(Vertices[Betweenness Centrality],"&gt;="&amp;J14)</f>
        <v>0</v>
      </c>
      <c r="L13" s="41">
        <f t="shared" si="5"/>
        <v>0.06818180000000001</v>
      </c>
      <c r="M13" s="42">
        <f>COUNTIF(Vertices[Closeness Centrality],"&gt;= "&amp;L13)-COUNTIF(Vertices[Closeness Centrality],"&gt;="&amp;L14)</f>
        <v>0</v>
      </c>
      <c r="N13" s="41">
        <f t="shared" si="6"/>
        <v>0.06108960000000003</v>
      </c>
      <c r="O13" s="42">
        <f>COUNTIF(Vertices[Eigenvector Centrality],"&gt;= "&amp;N13)-COUNTIF(Vertices[Eigenvector Centrality],"&gt;="&amp;N14)</f>
        <v>0</v>
      </c>
      <c r="P13" s="41">
        <f t="shared" si="7"/>
        <v>0.6818699999999995</v>
      </c>
      <c r="Q13" s="42">
        <f>COUNTIF(Vertices[PageRank],"&gt;= "&amp;P13)-COUNTIF(Vertices[PageRank],"&gt;="&amp;P14)</f>
        <v>0</v>
      </c>
      <c r="R13" s="41">
        <f t="shared" si="8"/>
        <v>0.16666666666666663</v>
      </c>
      <c r="S13" s="46">
        <f>COUNTIF(Vertices[Clustering Coefficient],"&gt;= "&amp;R13)-COUNTIF(Vertices[Clustering Coefficient],"&gt;="&amp;R14)</f>
        <v>0</v>
      </c>
      <c r="T13" s="41">
        <f ca="1" t="shared" si="9"/>
        <v>0.12</v>
      </c>
      <c r="U13" s="42">
        <f ca="1" t="shared" si="0"/>
        <v>0</v>
      </c>
    </row>
    <row r="14" spans="1:21" ht="15">
      <c r="A14" s="123"/>
      <c r="B14" s="123"/>
      <c r="D14" s="34">
        <f t="shared" si="1"/>
        <v>3.527272727272729</v>
      </c>
      <c r="E14" s="3">
        <f>COUNTIF(Vertices[Degree],"&gt;= "&amp;D14)-COUNTIF(Vertices[Degree],"&gt;="&amp;D15)</f>
        <v>0</v>
      </c>
      <c r="F14" s="39">
        <f t="shared" si="2"/>
        <v>1.090909090909091</v>
      </c>
      <c r="G14" s="40">
        <f>COUNTIF(Vertices[In-Degree],"&gt;= "&amp;F14)-COUNTIF(Vertices[In-Degree],"&gt;="&amp;F15)</f>
        <v>0</v>
      </c>
      <c r="H14" s="39">
        <f t="shared" si="3"/>
        <v>1.3090909090909093</v>
      </c>
      <c r="I14" s="40">
        <f>COUNTIF(Vertices[Out-Degree],"&gt;= "&amp;H14)-COUNTIF(Vertices[Out-Degree],"&gt;="&amp;H15)</f>
        <v>0</v>
      </c>
      <c r="J14" s="39">
        <f t="shared" si="4"/>
        <v>2.3272728000000007</v>
      </c>
      <c r="K14" s="40">
        <f>COUNTIF(Vertices[Betweenness Centrality],"&gt;= "&amp;J14)-COUNTIF(Vertices[Betweenness Centrality],"&gt;="&amp;J15)</f>
        <v>0</v>
      </c>
      <c r="L14" s="39">
        <f t="shared" si="5"/>
        <v>0.06869832727272729</v>
      </c>
      <c r="M14" s="40">
        <f>COUNTIF(Vertices[Closeness Centrality],"&gt;= "&amp;L14)-COUNTIF(Vertices[Closeness Centrality],"&gt;="&amp;L15)</f>
        <v>0</v>
      </c>
      <c r="N14" s="39">
        <f t="shared" si="6"/>
        <v>0.0630020181818182</v>
      </c>
      <c r="O14" s="40">
        <f>COUNTIF(Vertices[Eigenvector Centrality],"&gt;= "&amp;N14)-COUNTIF(Vertices[Eigenvector Centrality],"&gt;="&amp;N15)</f>
        <v>0</v>
      </c>
      <c r="P14" s="39">
        <f t="shared" si="7"/>
        <v>0.697723454545454</v>
      </c>
      <c r="Q14" s="40">
        <f>COUNTIF(Vertices[PageRank],"&gt;= "&amp;P14)-COUNTIF(Vertices[PageRank],"&gt;="&amp;P15)</f>
        <v>0</v>
      </c>
      <c r="R14" s="39">
        <f t="shared" si="8"/>
        <v>0.18181818181818177</v>
      </c>
      <c r="S14" s="45">
        <f>COUNTIF(Vertices[Clustering Coefficient],"&gt;= "&amp;R14)-COUNTIF(Vertices[Clustering Coefficient],"&gt;="&amp;R15)</f>
        <v>0</v>
      </c>
      <c r="T14" s="39">
        <f ca="1" t="shared" si="9"/>
        <v>0.1309090909090909</v>
      </c>
      <c r="U14" s="40">
        <f ca="1" t="shared" si="0"/>
        <v>0</v>
      </c>
    </row>
    <row r="15" spans="1:21" ht="15">
      <c r="A15" s="36" t="s">
        <v>151</v>
      </c>
      <c r="B15" s="36">
        <v>1</v>
      </c>
      <c r="D15" s="34">
        <f t="shared" si="1"/>
        <v>3.6545454545454565</v>
      </c>
      <c r="E15" s="3">
        <f>COUNTIF(Vertices[Degree],"&gt;= "&amp;D15)-COUNTIF(Vertices[Degree],"&gt;="&amp;D16)</f>
        <v>0</v>
      </c>
      <c r="F15" s="41">
        <f t="shared" si="2"/>
        <v>1.1818181818181819</v>
      </c>
      <c r="G15" s="42">
        <f>COUNTIF(Vertices[In-Degree],"&gt;= "&amp;F15)-COUNTIF(Vertices[In-Degree],"&gt;="&amp;F16)</f>
        <v>0</v>
      </c>
      <c r="H15" s="41">
        <f t="shared" si="3"/>
        <v>1.4181818181818184</v>
      </c>
      <c r="I15" s="42">
        <f>COUNTIF(Vertices[Out-Degree],"&gt;= "&amp;H15)-COUNTIF(Vertices[Out-Degree],"&gt;="&amp;H16)</f>
        <v>0</v>
      </c>
      <c r="J15" s="41">
        <f t="shared" si="4"/>
        <v>2.521212200000001</v>
      </c>
      <c r="K15" s="42">
        <f>COUNTIF(Vertices[Betweenness Centrality],"&gt;= "&amp;J15)-COUNTIF(Vertices[Betweenness Centrality],"&gt;="&amp;J16)</f>
        <v>0</v>
      </c>
      <c r="L15" s="41">
        <f t="shared" si="5"/>
        <v>0.06921485454545456</v>
      </c>
      <c r="M15" s="42">
        <f>COUNTIF(Vertices[Closeness Centrality],"&gt;= "&amp;L15)-COUNTIF(Vertices[Closeness Centrality],"&gt;="&amp;L16)</f>
        <v>0</v>
      </c>
      <c r="N15" s="41">
        <f t="shared" si="6"/>
        <v>0.06491443636363639</v>
      </c>
      <c r="O15" s="42">
        <f>COUNTIF(Vertices[Eigenvector Centrality],"&gt;= "&amp;N15)-COUNTIF(Vertices[Eigenvector Centrality],"&gt;="&amp;N16)</f>
        <v>0</v>
      </c>
      <c r="P15" s="41">
        <f t="shared" si="7"/>
        <v>0.7135769090909085</v>
      </c>
      <c r="Q15" s="42">
        <f>COUNTIF(Vertices[PageRank],"&gt;= "&amp;P15)-COUNTIF(Vertices[PageRank],"&gt;="&amp;P16)</f>
        <v>0</v>
      </c>
      <c r="R15" s="41">
        <f t="shared" si="8"/>
        <v>0.1969696969696969</v>
      </c>
      <c r="S15" s="46">
        <f>COUNTIF(Vertices[Clustering Coefficient],"&gt;= "&amp;R15)-COUNTIF(Vertices[Clustering Coefficient],"&gt;="&amp;R16)</f>
        <v>0</v>
      </c>
      <c r="T15" s="41">
        <f ca="1" t="shared" si="9"/>
        <v>0.1418181818181818</v>
      </c>
      <c r="U15" s="42">
        <f ca="1" t="shared" si="0"/>
        <v>0</v>
      </c>
    </row>
    <row r="16" spans="1:21" ht="15">
      <c r="A16" s="36" t="s">
        <v>152</v>
      </c>
      <c r="B16" s="36">
        <v>0</v>
      </c>
      <c r="D16" s="34">
        <f t="shared" si="1"/>
        <v>3.781818181818184</v>
      </c>
      <c r="E16" s="3">
        <f>COUNTIF(Vertices[Degree],"&gt;= "&amp;D16)-COUNTIF(Vertices[Degree],"&gt;="&amp;D17)</f>
        <v>0</v>
      </c>
      <c r="F16" s="39">
        <f t="shared" si="2"/>
        <v>1.2727272727272727</v>
      </c>
      <c r="G16" s="40">
        <f>COUNTIF(Vertices[In-Degree],"&gt;= "&amp;F16)-COUNTIF(Vertices[In-Degree],"&gt;="&amp;F17)</f>
        <v>0</v>
      </c>
      <c r="H16" s="39">
        <f t="shared" si="3"/>
        <v>1.5272727272727276</v>
      </c>
      <c r="I16" s="40">
        <f>COUNTIF(Vertices[Out-Degree],"&gt;= "&amp;H16)-COUNTIF(Vertices[Out-Degree],"&gt;="&amp;H17)</f>
        <v>0</v>
      </c>
      <c r="J16" s="39">
        <f t="shared" si="4"/>
        <v>2.715151600000001</v>
      </c>
      <c r="K16" s="40">
        <f>COUNTIF(Vertices[Betweenness Centrality],"&gt;= "&amp;J16)-COUNTIF(Vertices[Betweenness Centrality],"&gt;="&amp;J17)</f>
        <v>0</v>
      </c>
      <c r="L16" s="39">
        <f t="shared" si="5"/>
        <v>0.06973138181818184</v>
      </c>
      <c r="M16" s="40">
        <f>COUNTIF(Vertices[Closeness Centrality],"&gt;= "&amp;L16)-COUNTIF(Vertices[Closeness Centrality],"&gt;="&amp;L17)</f>
        <v>0</v>
      </c>
      <c r="N16" s="39">
        <f t="shared" si="6"/>
        <v>0.06682685454545458</v>
      </c>
      <c r="O16" s="40">
        <f>COUNTIF(Vertices[Eigenvector Centrality],"&gt;= "&amp;N16)-COUNTIF(Vertices[Eigenvector Centrality],"&gt;="&amp;N17)</f>
        <v>0</v>
      </c>
      <c r="P16" s="39">
        <f t="shared" si="7"/>
        <v>0.729430363636363</v>
      </c>
      <c r="Q16" s="40">
        <f>COUNTIF(Vertices[PageRank],"&gt;= "&amp;P16)-COUNTIF(Vertices[PageRank],"&gt;="&amp;P17)</f>
        <v>0</v>
      </c>
      <c r="R16" s="39">
        <f t="shared" si="8"/>
        <v>0.21212121212121204</v>
      </c>
      <c r="S16" s="45">
        <f>COUNTIF(Vertices[Clustering Coefficient],"&gt;= "&amp;R16)-COUNTIF(Vertices[Clustering Coefficient],"&gt;="&amp;R17)</f>
        <v>0</v>
      </c>
      <c r="T16" s="39">
        <f ca="1" t="shared" si="9"/>
        <v>0.15272727272727268</v>
      </c>
      <c r="U16" s="40">
        <f ca="1" t="shared" si="0"/>
        <v>0</v>
      </c>
    </row>
    <row r="17" spans="1:21" ht="15">
      <c r="A17" s="36" t="s">
        <v>153</v>
      </c>
      <c r="B17" s="36">
        <v>10</v>
      </c>
      <c r="D17" s="34">
        <f t="shared" si="1"/>
        <v>3.9090909090909114</v>
      </c>
      <c r="E17" s="3">
        <f>COUNTIF(Vertices[Degree],"&gt;= "&amp;D17)-COUNTIF(Vertices[Degree],"&gt;="&amp;D18)</f>
        <v>1</v>
      </c>
      <c r="F17" s="41">
        <f t="shared" si="2"/>
        <v>1.3636363636363635</v>
      </c>
      <c r="G17" s="42">
        <f>COUNTIF(Vertices[In-Degree],"&gt;= "&amp;F17)-COUNTIF(Vertices[In-Degree],"&gt;="&amp;F18)</f>
        <v>0</v>
      </c>
      <c r="H17" s="41">
        <f t="shared" si="3"/>
        <v>1.6363636363636367</v>
      </c>
      <c r="I17" s="42">
        <f>COUNTIF(Vertices[Out-Degree],"&gt;= "&amp;H17)-COUNTIF(Vertices[Out-Degree],"&gt;="&amp;H18)</f>
        <v>0</v>
      </c>
      <c r="J17" s="41">
        <f t="shared" si="4"/>
        <v>2.909091000000001</v>
      </c>
      <c r="K17" s="42">
        <f>COUNTIF(Vertices[Betweenness Centrality],"&gt;= "&amp;J17)-COUNTIF(Vertices[Betweenness Centrality],"&gt;="&amp;J18)</f>
        <v>0</v>
      </c>
      <c r="L17" s="41">
        <f t="shared" si="5"/>
        <v>0.07024790909090911</v>
      </c>
      <c r="M17" s="42">
        <f>COUNTIF(Vertices[Closeness Centrality],"&gt;= "&amp;L17)-COUNTIF(Vertices[Closeness Centrality],"&gt;="&amp;L18)</f>
        <v>0</v>
      </c>
      <c r="N17" s="41">
        <f t="shared" si="6"/>
        <v>0.06873927272727276</v>
      </c>
      <c r="O17" s="42">
        <f>COUNTIF(Vertices[Eigenvector Centrality],"&gt;= "&amp;N17)-COUNTIF(Vertices[Eigenvector Centrality],"&gt;="&amp;N18)</f>
        <v>0</v>
      </c>
      <c r="P17" s="41">
        <f t="shared" si="7"/>
        <v>0.7452838181818175</v>
      </c>
      <c r="Q17" s="42">
        <f>COUNTIF(Vertices[PageRank],"&gt;= "&amp;P17)-COUNTIF(Vertices[PageRank],"&gt;="&amp;P18)</f>
        <v>0</v>
      </c>
      <c r="R17" s="41">
        <f t="shared" si="8"/>
        <v>0.22727272727272718</v>
      </c>
      <c r="S17" s="46">
        <f>COUNTIF(Vertices[Clustering Coefficient],"&gt;= "&amp;R17)-COUNTIF(Vertices[Clustering Coefficient],"&gt;="&amp;R18)</f>
        <v>0</v>
      </c>
      <c r="T17" s="41">
        <f ca="1" t="shared" si="9"/>
        <v>0.16363636363636358</v>
      </c>
      <c r="U17" s="42">
        <f ca="1" t="shared" si="0"/>
        <v>0</v>
      </c>
    </row>
    <row r="18" spans="1:21" ht="15">
      <c r="A18" s="36" t="s">
        <v>154</v>
      </c>
      <c r="B18" s="36">
        <v>43</v>
      </c>
      <c r="D18" s="34">
        <f t="shared" si="1"/>
        <v>4.036363636363639</v>
      </c>
      <c r="E18" s="3">
        <f>COUNTIF(Vertices[Degree],"&gt;= "&amp;D18)-COUNTIF(Vertices[Degree],"&gt;="&amp;D19)</f>
        <v>0</v>
      </c>
      <c r="F18" s="39">
        <f t="shared" si="2"/>
        <v>1.4545454545454544</v>
      </c>
      <c r="G18" s="40">
        <f>COUNTIF(Vertices[In-Degree],"&gt;= "&amp;F18)-COUNTIF(Vertices[In-Degree],"&gt;="&amp;F19)</f>
        <v>0</v>
      </c>
      <c r="H18" s="39">
        <f t="shared" si="3"/>
        <v>1.7454545454545458</v>
      </c>
      <c r="I18" s="40">
        <f>COUNTIF(Vertices[Out-Degree],"&gt;= "&amp;H18)-COUNTIF(Vertices[Out-Degree],"&gt;="&amp;H19)</f>
        <v>0</v>
      </c>
      <c r="J18" s="39">
        <f t="shared" si="4"/>
        <v>3.103030400000001</v>
      </c>
      <c r="K18" s="40">
        <f>COUNTIF(Vertices[Betweenness Centrality],"&gt;= "&amp;J18)-COUNTIF(Vertices[Betweenness Centrality],"&gt;="&amp;J19)</f>
        <v>0</v>
      </c>
      <c r="L18" s="39">
        <f t="shared" si="5"/>
        <v>0.07076443636363638</v>
      </c>
      <c r="M18" s="40">
        <f>COUNTIF(Vertices[Closeness Centrality],"&gt;= "&amp;L18)-COUNTIF(Vertices[Closeness Centrality],"&gt;="&amp;L19)</f>
        <v>0</v>
      </c>
      <c r="N18" s="39">
        <f t="shared" si="6"/>
        <v>0.07065169090909094</v>
      </c>
      <c r="O18" s="40">
        <f>COUNTIF(Vertices[Eigenvector Centrality],"&gt;= "&amp;N18)-COUNTIF(Vertices[Eigenvector Centrality],"&gt;="&amp;N19)</f>
        <v>0</v>
      </c>
      <c r="P18" s="39">
        <f t="shared" si="7"/>
        <v>0.761137272727272</v>
      </c>
      <c r="Q18" s="40">
        <f>COUNTIF(Vertices[PageRank],"&gt;= "&amp;P18)-COUNTIF(Vertices[PageRank],"&gt;="&amp;P19)</f>
        <v>0</v>
      </c>
      <c r="R18" s="39">
        <f t="shared" si="8"/>
        <v>0.24242424242424232</v>
      </c>
      <c r="S18" s="45">
        <f>COUNTIF(Vertices[Clustering Coefficient],"&gt;= "&amp;R18)-COUNTIF(Vertices[Clustering Coefficient],"&gt;="&amp;R19)</f>
        <v>0</v>
      </c>
      <c r="T18" s="39">
        <f ca="1" t="shared" si="9"/>
        <v>0.17454545454545448</v>
      </c>
      <c r="U18" s="40">
        <f ca="1" t="shared" si="0"/>
        <v>0</v>
      </c>
    </row>
    <row r="19" spans="1:21" ht="15">
      <c r="A19" s="123"/>
      <c r="B19" s="123"/>
      <c r="D19" s="34">
        <f t="shared" si="1"/>
        <v>4.163636363636366</v>
      </c>
      <c r="E19" s="3">
        <f>COUNTIF(Vertices[Degree],"&gt;= "&amp;D19)-COUNTIF(Vertices[Degree],"&gt;="&amp;D20)</f>
        <v>0</v>
      </c>
      <c r="F19" s="41">
        <f t="shared" si="2"/>
        <v>1.5454545454545452</v>
      </c>
      <c r="G19" s="42">
        <f>COUNTIF(Vertices[In-Degree],"&gt;= "&amp;F19)-COUNTIF(Vertices[In-Degree],"&gt;="&amp;F20)</f>
        <v>0</v>
      </c>
      <c r="H19" s="41">
        <f t="shared" si="3"/>
        <v>1.854545454545455</v>
      </c>
      <c r="I19" s="42">
        <f>COUNTIF(Vertices[Out-Degree],"&gt;= "&amp;H19)-COUNTIF(Vertices[Out-Degree],"&gt;="&amp;H20)</f>
        <v>0</v>
      </c>
      <c r="J19" s="41">
        <f t="shared" si="4"/>
        <v>3.296969800000001</v>
      </c>
      <c r="K19" s="42">
        <f>COUNTIF(Vertices[Betweenness Centrality],"&gt;= "&amp;J19)-COUNTIF(Vertices[Betweenness Centrality],"&gt;="&amp;J20)</f>
        <v>0</v>
      </c>
      <c r="L19" s="41">
        <f t="shared" si="5"/>
        <v>0.07128096363636366</v>
      </c>
      <c r="M19" s="42">
        <f>COUNTIF(Vertices[Closeness Centrality],"&gt;= "&amp;L19)-COUNTIF(Vertices[Closeness Centrality],"&gt;="&amp;L20)</f>
        <v>0</v>
      </c>
      <c r="N19" s="41">
        <f t="shared" si="6"/>
        <v>0.07256410909090913</v>
      </c>
      <c r="O19" s="42">
        <f>COUNTIF(Vertices[Eigenvector Centrality],"&gt;= "&amp;N19)-COUNTIF(Vertices[Eigenvector Centrality],"&gt;="&amp;N20)</f>
        <v>0</v>
      </c>
      <c r="P19" s="41">
        <f t="shared" si="7"/>
        <v>0.7769907272727266</v>
      </c>
      <c r="Q19" s="42">
        <f>COUNTIF(Vertices[PageRank],"&gt;= "&amp;P19)-COUNTIF(Vertices[PageRank],"&gt;="&amp;P20)</f>
        <v>0</v>
      </c>
      <c r="R19" s="41">
        <f t="shared" si="8"/>
        <v>0.25757575757575746</v>
      </c>
      <c r="S19" s="46">
        <f>COUNTIF(Vertices[Clustering Coefficient],"&gt;= "&amp;R19)-COUNTIF(Vertices[Clustering Coefficient],"&gt;="&amp;R20)</f>
        <v>0</v>
      </c>
      <c r="T19" s="41">
        <f ca="1" t="shared" si="9"/>
        <v>0.18545454545454537</v>
      </c>
      <c r="U19" s="42">
        <f ca="1" t="shared" si="0"/>
        <v>0</v>
      </c>
    </row>
    <row r="20" spans="1:21" ht="15">
      <c r="A20" s="36" t="s">
        <v>155</v>
      </c>
      <c r="B20" s="36">
        <v>3</v>
      </c>
      <c r="D20" s="34">
        <f t="shared" si="1"/>
        <v>4.290909090909093</v>
      </c>
      <c r="E20" s="3">
        <f>COUNTIF(Vertices[Degree],"&gt;= "&amp;D20)-COUNTIF(Vertices[Degree],"&gt;="&amp;D21)</f>
        <v>0</v>
      </c>
      <c r="F20" s="39">
        <f t="shared" si="2"/>
        <v>1.636363636363636</v>
      </c>
      <c r="G20" s="40">
        <f>COUNTIF(Vertices[In-Degree],"&gt;= "&amp;F20)-COUNTIF(Vertices[In-Degree],"&gt;="&amp;F21)</f>
        <v>0</v>
      </c>
      <c r="H20" s="39">
        <f t="shared" si="3"/>
        <v>1.963636363636364</v>
      </c>
      <c r="I20" s="40">
        <f>COUNTIF(Vertices[Out-Degree],"&gt;= "&amp;H20)-COUNTIF(Vertices[Out-Degree],"&gt;="&amp;H21)</f>
        <v>2</v>
      </c>
      <c r="J20" s="39">
        <f t="shared" si="4"/>
        <v>3.4909092000000013</v>
      </c>
      <c r="K20" s="40">
        <f>COUNTIF(Vertices[Betweenness Centrality],"&gt;= "&amp;J20)-COUNTIF(Vertices[Betweenness Centrality],"&gt;="&amp;J21)</f>
        <v>0</v>
      </c>
      <c r="L20" s="39">
        <f t="shared" si="5"/>
        <v>0.07179749090909093</v>
      </c>
      <c r="M20" s="40">
        <f>COUNTIF(Vertices[Closeness Centrality],"&gt;= "&amp;L20)-COUNTIF(Vertices[Closeness Centrality],"&gt;="&amp;L21)</f>
        <v>0</v>
      </c>
      <c r="N20" s="39">
        <f t="shared" si="6"/>
        <v>0.07447652727272731</v>
      </c>
      <c r="O20" s="40">
        <f>COUNTIF(Vertices[Eigenvector Centrality],"&gt;= "&amp;N20)-COUNTIF(Vertices[Eigenvector Centrality],"&gt;="&amp;N21)</f>
        <v>0</v>
      </c>
      <c r="P20" s="39">
        <f t="shared" si="7"/>
        <v>0.7928441818181811</v>
      </c>
      <c r="Q20" s="40">
        <f>COUNTIF(Vertices[PageRank],"&gt;= "&amp;P20)-COUNTIF(Vertices[PageRank],"&gt;="&amp;P21)</f>
        <v>0</v>
      </c>
      <c r="R20" s="39">
        <f t="shared" si="8"/>
        <v>0.2727272727272726</v>
      </c>
      <c r="S20" s="45">
        <f>COUNTIF(Vertices[Clustering Coefficient],"&gt;= "&amp;R20)-COUNTIF(Vertices[Clustering Coefficient],"&gt;="&amp;R21)</f>
        <v>0</v>
      </c>
      <c r="T20" s="39">
        <f ca="1" t="shared" si="9"/>
        <v>0.19636363636363627</v>
      </c>
      <c r="U20" s="40">
        <f ca="1" t="shared" si="0"/>
        <v>2</v>
      </c>
    </row>
    <row r="21" spans="1:21" ht="15">
      <c r="A21" s="36" t="s">
        <v>156</v>
      </c>
      <c r="B21" s="36">
        <v>1.34</v>
      </c>
      <c r="D21" s="34">
        <f t="shared" si="1"/>
        <v>4.41818181818182</v>
      </c>
      <c r="E21" s="3">
        <f>COUNTIF(Vertices[Degree],"&gt;= "&amp;D21)-COUNTIF(Vertices[Degree],"&gt;="&amp;D22)</f>
        <v>0</v>
      </c>
      <c r="F21" s="41">
        <f t="shared" si="2"/>
        <v>1.7272727272727268</v>
      </c>
      <c r="G21" s="42">
        <f>COUNTIF(Vertices[In-Degree],"&gt;= "&amp;F21)-COUNTIF(Vertices[In-Degree],"&gt;="&amp;F22)</f>
        <v>0</v>
      </c>
      <c r="H21" s="41">
        <f t="shared" si="3"/>
        <v>2.072727272727273</v>
      </c>
      <c r="I21" s="42">
        <f>COUNTIF(Vertices[Out-Degree],"&gt;= "&amp;H21)-COUNTIF(Vertices[Out-Degree],"&gt;="&amp;H22)</f>
        <v>0</v>
      </c>
      <c r="J21" s="41">
        <f t="shared" si="4"/>
        <v>3.6848486000000014</v>
      </c>
      <c r="K21" s="42">
        <f>COUNTIF(Vertices[Betweenness Centrality],"&gt;= "&amp;J21)-COUNTIF(Vertices[Betweenness Centrality],"&gt;="&amp;J22)</f>
        <v>0</v>
      </c>
      <c r="L21" s="41">
        <f t="shared" si="5"/>
        <v>0.07231401818181821</v>
      </c>
      <c r="M21" s="42">
        <f>COUNTIF(Vertices[Closeness Centrality],"&gt;= "&amp;L21)-COUNTIF(Vertices[Closeness Centrality],"&gt;="&amp;L22)</f>
        <v>0</v>
      </c>
      <c r="N21" s="41">
        <f t="shared" si="6"/>
        <v>0.0763889454545455</v>
      </c>
      <c r="O21" s="42">
        <f>COUNTIF(Vertices[Eigenvector Centrality],"&gt;= "&amp;N21)-COUNTIF(Vertices[Eigenvector Centrality],"&gt;="&amp;N22)</f>
        <v>0</v>
      </c>
      <c r="P21" s="41">
        <f t="shared" si="7"/>
        <v>0.8086976363636356</v>
      </c>
      <c r="Q21" s="42">
        <f>COUNTIF(Vertices[PageRank],"&gt;= "&amp;P21)-COUNTIF(Vertices[PageRank],"&gt;="&amp;P22)</f>
        <v>0</v>
      </c>
      <c r="R21" s="41">
        <f t="shared" si="8"/>
        <v>0.28787878787878773</v>
      </c>
      <c r="S21" s="46">
        <f>COUNTIF(Vertices[Clustering Coefficient],"&gt;= "&amp;R21)-COUNTIF(Vertices[Clustering Coefficient],"&gt;="&amp;R22)</f>
        <v>2</v>
      </c>
      <c r="T21" s="41">
        <f ca="1" t="shared" si="9"/>
        <v>0.20727272727272716</v>
      </c>
      <c r="U21" s="42">
        <f ca="1" t="shared" si="0"/>
        <v>0</v>
      </c>
    </row>
    <row r="22" spans="1:21" ht="15">
      <c r="A22" s="123"/>
      <c r="B22" s="123"/>
      <c r="D22" s="34">
        <f t="shared" si="1"/>
        <v>4.545454545454547</v>
      </c>
      <c r="E22" s="3">
        <f>COUNTIF(Vertices[Degree],"&gt;= "&amp;D22)-COUNTIF(Vertices[Degree],"&gt;="&amp;D23)</f>
        <v>0</v>
      </c>
      <c r="F22" s="39">
        <f t="shared" si="2"/>
        <v>1.8181818181818177</v>
      </c>
      <c r="G22" s="40">
        <f>COUNTIF(Vertices[In-Degree],"&gt;= "&amp;F22)-COUNTIF(Vertices[In-Degree],"&gt;="&amp;F23)</f>
        <v>0</v>
      </c>
      <c r="H22" s="39">
        <f t="shared" si="3"/>
        <v>2.181818181818182</v>
      </c>
      <c r="I22" s="40">
        <f>COUNTIF(Vertices[Out-Degree],"&gt;= "&amp;H22)-COUNTIF(Vertices[Out-Degree],"&gt;="&amp;H23)</f>
        <v>0</v>
      </c>
      <c r="J22" s="39">
        <f t="shared" si="4"/>
        <v>3.8787880000000015</v>
      </c>
      <c r="K22" s="40">
        <f>COUNTIF(Vertices[Betweenness Centrality],"&gt;= "&amp;J22)-COUNTIF(Vertices[Betweenness Centrality],"&gt;="&amp;J23)</f>
        <v>0</v>
      </c>
      <c r="L22" s="39">
        <f t="shared" si="5"/>
        <v>0.07283054545454548</v>
      </c>
      <c r="M22" s="40">
        <f>COUNTIF(Vertices[Closeness Centrality],"&gt;= "&amp;L22)-COUNTIF(Vertices[Closeness Centrality],"&gt;="&amp;L23)</f>
        <v>0</v>
      </c>
      <c r="N22" s="39">
        <f t="shared" si="6"/>
        <v>0.07830136363636368</v>
      </c>
      <c r="O22" s="40">
        <f>COUNTIF(Vertices[Eigenvector Centrality],"&gt;= "&amp;N22)-COUNTIF(Vertices[Eigenvector Centrality],"&gt;="&amp;N23)</f>
        <v>0</v>
      </c>
      <c r="P22" s="39">
        <f t="shared" si="7"/>
        <v>0.8245510909090901</v>
      </c>
      <c r="Q22" s="40">
        <f>COUNTIF(Vertices[PageRank],"&gt;= "&amp;P22)-COUNTIF(Vertices[PageRank],"&gt;="&amp;P23)</f>
        <v>1</v>
      </c>
      <c r="R22" s="39">
        <f t="shared" si="8"/>
        <v>0.30303030303030287</v>
      </c>
      <c r="S22" s="45">
        <f>COUNTIF(Vertices[Clustering Coefficient],"&gt;= "&amp;R22)-COUNTIF(Vertices[Clustering Coefficient],"&gt;="&amp;R23)</f>
        <v>0</v>
      </c>
      <c r="T22" s="39">
        <f ca="1" t="shared" si="9"/>
        <v>0.21818181818181806</v>
      </c>
      <c r="U22" s="40">
        <f ca="1" t="shared" si="0"/>
        <v>0</v>
      </c>
    </row>
    <row r="23" spans="1:21" ht="15">
      <c r="A23" s="36" t="s">
        <v>157</v>
      </c>
      <c r="B23" s="36">
        <v>0.3333333333333333</v>
      </c>
      <c r="D23" s="34">
        <f t="shared" si="1"/>
        <v>4.672727272727274</v>
      </c>
      <c r="E23" s="3">
        <f>COUNTIF(Vertices[Degree],"&gt;= "&amp;D23)-COUNTIF(Vertices[Degree],"&gt;="&amp;D24)</f>
        <v>0</v>
      </c>
      <c r="F23" s="41">
        <f t="shared" si="2"/>
        <v>1.9090909090909085</v>
      </c>
      <c r="G23" s="42">
        <f>COUNTIF(Vertices[In-Degree],"&gt;= "&amp;F23)-COUNTIF(Vertices[In-Degree],"&gt;="&amp;F24)</f>
        <v>0</v>
      </c>
      <c r="H23" s="41">
        <f t="shared" si="3"/>
        <v>2.290909090909091</v>
      </c>
      <c r="I23" s="42">
        <f>COUNTIF(Vertices[Out-Degree],"&gt;= "&amp;H23)-COUNTIF(Vertices[Out-Degree],"&gt;="&amp;H24)</f>
        <v>0</v>
      </c>
      <c r="J23" s="41">
        <f t="shared" si="4"/>
        <v>4.0727274000000016</v>
      </c>
      <c r="K23" s="42">
        <f>COUNTIF(Vertices[Betweenness Centrality],"&gt;= "&amp;J23)-COUNTIF(Vertices[Betweenness Centrality],"&gt;="&amp;J24)</f>
        <v>0</v>
      </c>
      <c r="L23" s="41">
        <f t="shared" si="5"/>
        <v>0.07334707272727276</v>
      </c>
      <c r="M23" s="42">
        <f>COUNTIF(Vertices[Closeness Centrality],"&gt;= "&amp;L23)-COUNTIF(Vertices[Closeness Centrality],"&gt;="&amp;L24)</f>
        <v>0</v>
      </c>
      <c r="N23" s="41">
        <f t="shared" si="6"/>
        <v>0.08021378181818187</v>
      </c>
      <c r="O23" s="42">
        <f>COUNTIF(Vertices[Eigenvector Centrality],"&gt;= "&amp;N23)-COUNTIF(Vertices[Eigenvector Centrality],"&gt;="&amp;N24)</f>
        <v>0</v>
      </c>
      <c r="P23" s="41">
        <f t="shared" si="7"/>
        <v>0.8404045454545446</v>
      </c>
      <c r="Q23" s="42">
        <f>COUNTIF(Vertices[PageRank],"&gt;= "&amp;P23)-COUNTIF(Vertices[PageRank],"&gt;="&amp;P24)</f>
        <v>0</v>
      </c>
      <c r="R23" s="41">
        <f t="shared" si="8"/>
        <v>0.318181818181818</v>
      </c>
      <c r="S23" s="46">
        <f>COUNTIF(Vertices[Clustering Coefficient],"&gt;= "&amp;R23)-COUNTIF(Vertices[Clustering Coefficient],"&gt;="&amp;R24)</f>
        <v>0</v>
      </c>
      <c r="T23" s="41">
        <f ca="1" t="shared" si="9"/>
        <v>0.22909090909090896</v>
      </c>
      <c r="U23" s="42">
        <f ca="1" t="shared" si="0"/>
        <v>0</v>
      </c>
    </row>
    <row r="24" spans="1:21" ht="15">
      <c r="A24" s="36" t="s">
        <v>211</v>
      </c>
      <c r="B24" s="36">
        <v>0.237155</v>
      </c>
      <c r="D24" s="34">
        <f t="shared" si="1"/>
        <v>4.800000000000001</v>
      </c>
      <c r="E24" s="3">
        <f>COUNTIF(Vertices[Degree],"&gt;= "&amp;D24)-COUNTIF(Vertices[Degree],"&gt;="&amp;D25)</f>
        <v>0</v>
      </c>
      <c r="F24" s="39">
        <f t="shared" si="2"/>
        <v>1.9999999999999993</v>
      </c>
      <c r="G24" s="40">
        <f>COUNTIF(Vertices[In-Degree],"&gt;= "&amp;F24)-COUNTIF(Vertices[In-Degree],"&gt;="&amp;F25)</f>
        <v>3</v>
      </c>
      <c r="H24" s="39">
        <f t="shared" si="3"/>
        <v>2.4</v>
      </c>
      <c r="I24" s="40">
        <f>COUNTIF(Vertices[Out-Degree],"&gt;= "&amp;H24)-COUNTIF(Vertices[Out-Degree],"&gt;="&amp;H25)</f>
        <v>0</v>
      </c>
      <c r="J24" s="39">
        <f t="shared" si="4"/>
        <v>4.266666800000001</v>
      </c>
      <c r="K24" s="40">
        <f>COUNTIF(Vertices[Betweenness Centrality],"&gt;= "&amp;J24)-COUNTIF(Vertices[Betweenness Centrality],"&gt;="&amp;J25)</f>
        <v>0</v>
      </c>
      <c r="L24" s="39">
        <f t="shared" si="5"/>
        <v>0.07386360000000003</v>
      </c>
      <c r="M24" s="40">
        <f>COUNTIF(Vertices[Closeness Centrality],"&gt;= "&amp;L24)-COUNTIF(Vertices[Closeness Centrality],"&gt;="&amp;L25)</f>
        <v>0</v>
      </c>
      <c r="N24" s="39">
        <f t="shared" si="6"/>
        <v>0.08212620000000005</v>
      </c>
      <c r="O24" s="40">
        <f>COUNTIF(Vertices[Eigenvector Centrality],"&gt;= "&amp;N24)-COUNTIF(Vertices[Eigenvector Centrality],"&gt;="&amp;N25)</f>
        <v>0</v>
      </c>
      <c r="P24" s="39">
        <f t="shared" si="7"/>
        <v>0.8562579999999991</v>
      </c>
      <c r="Q24" s="40">
        <f>COUNTIF(Vertices[PageRank],"&gt;= "&amp;P24)-COUNTIF(Vertices[PageRank],"&gt;="&amp;P25)</f>
        <v>0</v>
      </c>
      <c r="R24" s="39">
        <f t="shared" si="8"/>
        <v>0.33333333333333315</v>
      </c>
      <c r="S24" s="45">
        <f>COUNTIF(Vertices[Clustering Coefficient],"&gt;= "&amp;R24)-COUNTIF(Vertices[Clustering Coefficient],"&gt;="&amp;R25)</f>
        <v>0</v>
      </c>
      <c r="T24" s="39">
        <f ca="1" t="shared" si="9"/>
        <v>0.23999999999999985</v>
      </c>
      <c r="U24" s="40">
        <f ca="1" t="shared" si="0"/>
        <v>0</v>
      </c>
    </row>
    <row r="25" spans="1:21" ht="15">
      <c r="A25" s="123"/>
      <c r="B25" s="123"/>
      <c r="D25" s="34">
        <f t="shared" si="1"/>
        <v>4.927272727272728</v>
      </c>
      <c r="E25" s="3">
        <f>COUNTIF(Vertices[Degree],"&gt;= "&amp;D25)-COUNTIF(Vertices[Degree],"&gt;="&amp;D26)</f>
        <v>0</v>
      </c>
      <c r="F25" s="41">
        <f t="shared" si="2"/>
        <v>2.0909090909090904</v>
      </c>
      <c r="G25" s="42">
        <f>COUNTIF(Vertices[In-Degree],"&gt;= "&amp;F25)-COUNTIF(Vertices[In-Degree],"&gt;="&amp;F26)</f>
        <v>0</v>
      </c>
      <c r="H25" s="41">
        <f t="shared" si="3"/>
        <v>2.509090909090909</v>
      </c>
      <c r="I25" s="42">
        <f>COUNTIF(Vertices[Out-Degree],"&gt;= "&amp;H25)-COUNTIF(Vertices[Out-Degree],"&gt;="&amp;H26)</f>
        <v>0</v>
      </c>
      <c r="J25" s="41">
        <f t="shared" si="4"/>
        <v>4.460606200000001</v>
      </c>
      <c r="K25" s="42">
        <f>COUNTIF(Vertices[Betweenness Centrality],"&gt;= "&amp;J25)-COUNTIF(Vertices[Betweenness Centrality],"&gt;="&amp;J26)</f>
        <v>1</v>
      </c>
      <c r="L25" s="41">
        <f t="shared" si="5"/>
        <v>0.0743801272727273</v>
      </c>
      <c r="M25" s="42">
        <f>COUNTIF(Vertices[Closeness Centrality],"&gt;= "&amp;L25)-COUNTIF(Vertices[Closeness Centrality],"&gt;="&amp;L26)</f>
        <v>0</v>
      </c>
      <c r="N25" s="41">
        <f t="shared" si="6"/>
        <v>0.08403861818181824</v>
      </c>
      <c r="O25" s="42">
        <f>COUNTIF(Vertices[Eigenvector Centrality],"&gt;= "&amp;N25)-COUNTIF(Vertices[Eigenvector Centrality],"&gt;="&amp;N26)</f>
        <v>0</v>
      </c>
      <c r="P25" s="41">
        <f t="shared" si="7"/>
        <v>0.8721114545454536</v>
      </c>
      <c r="Q25" s="42">
        <f>COUNTIF(Vertices[PageRank],"&gt;= "&amp;P25)-COUNTIF(Vertices[PageRank],"&gt;="&amp;P26)</f>
        <v>0</v>
      </c>
      <c r="R25" s="41">
        <f t="shared" si="8"/>
        <v>0.3484848484848483</v>
      </c>
      <c r="S25" s="46">
        <f>COUNTIF(Vertices[Clustering Coefficient],"&gt;= "&amp;R25)-COUNTIF(Vertices[Clustering Coefficient],"&gt;="&amp;R26)</f>
        <v>0</v>
      </c>
      <c r="T25" s="41">
        <f ca="1" t="shared" si="9"/>
        <v>0.25090909090909075</v>
      </c>
      <c r="U25" s="42">
        <f ca="1" t="shared" si="0"/>
        <v>0</v>
      </c>
    </row>
    <row r="26" spans="1:21" ht="15">
      <c r="A26" s="36" t="s">
        <v>212</v>
      </c>
      <c r="B26" s="36" t="s">
        <v>213</v>
      </c>
      <c r="D26" s="34">
        <f t="shared" si="1"/>
        <v>5.054545454545455</v>
      </c>
      <c r="E26" s="3">
        <f>COUNTIF(Vertices[Degree],"&gt;= "&amp;D26)-COUNTIF(Vertices[Degree],"&gt;="&amp;D28)</f>
        <v>0</v>
      </c>
      <c r="F26" s="39">
        <f t="shared" si="2"/>
        <v>2.181818181818181</v>
      </c>
      <c r="G26" s="40">
        <f>COUNTIF(Vertices[In-Degree],"&gt;= "&amp;F26)-COUNTIF(Vertices[In-Degree],"&gt;="&amp;F28)</f>
        <v>0</v>
      </c>
      <c r="H26" s="39">
        <f t="shared" si="3"/>
        <v>2.6181818181818177</v>
      </c>
      <c r="I26" s="40">
        <f>COUNTIF(Vertices[Out-Degree],"&gt;= "&amp;H26)-COUNTIF(Vertices[Out-Degree],"&gt;="&amp;H28)</f>
        <v>0</v>
      </c>
      <c r="J26" s="39">
        <f t="shared" si="4"/>
        <v>4.6545456000000005</v>
      </c>
      <c r="K26" s="40">
        <f>COUNTIF(Vertices[Betweenness Centrality],"&gt;= "&amp;J26)-COUNTIF(Vertices[Betweenness Centrality],"&gt;="&amp;J28)</f>
        <v>0</v>
      </c>
      <c r="L26" s="39">
        <f t="shared" si="5"/>
        <v>0.07489665454545458</v>
      </c>
      <c r="M26" s="40">
        <f>COUNTIF(Vertices[Closeness Centrality],"&gt;= "&amp;L26)-COUNTIF(Vertices[Closeness Centrality],"&gt;="&amp;L28)</f>
        <v>0</v>
      </c>
      <c r="N26" s="39">
        <f t="shared" si="6"/>
        <v>0.08595103636363642</v>
      </c>
      <c r="O26" s="40">
        <f>COUNTIF(Vertices[Eigenvector Centrality],"&gt;= "&amp;N26)-COUNTIF(Vertices[Eigenvector Centrality],"&gt;="&amp;N28)</f>
        <v>0</v>
      </c>
      <c r="P26" s="39">
        <f t="shared" si="7"/>
        <v>0.8879649090909081</v>
      </c>
      <c r="Q26" s="40">
        <f>COUNTIF(Vertices[PageRank],"&gt;= "&amp;P26)-COUNTIF(Vertices[PageRank],"&gt;="&amp;P28)</f>
        <v>0</v>
      </c>
      <c r="R26" s="39">
        <f t="shared" si="8"/>
        <v>0.3636363636363634</v>
      </c>
      <c r="S26" s="45">
        <f>COUNTIF(Vertices[Clustering Coefficient],"&gt;= "&amp;R26)-COUNTIF(Vertices[Clustering Coefficient],"&gt;="&amp;R28)</f>
        <v>1</v>
      </c>
      <c r="T26" s="39">
        <f ca="1" t="shared" si="9"/>
        <v>0.26181818181818167</v>
      </c>
      <c r="U26" s="40">
        <f ca="1">COUNTIF(INDIRECT(DynamicFilterSourceColumnRange),"&gt;= "&amp;T26)-COUNTIF(INDIRECT(DynamicFilterSourceColumnRange),"&gt;="&amp;T28)</f>
        <v>0</v>
      </c>
    </row>
    <row r="27" spans="4:21" ht="15">
      <c r="D27" s="34"/>
      <c r="E27" s="3">
        <f>COUNTIF(Vertices[Degree],"&gt;= "&amp;D27)-COUNTIF(Vertices[Degree],"&gt;="&amp;D28)</f>
        <v>-7</v>
      </c>
      <c r="F27" s="78"/>
      <c r="G27" s="79">
        <f>COUNTIF(Vertices[In-Degree],"&gt;= "&amp;F27)-COUNTIF(Vertices[In-Degree],"&gt;="&amp;F28)</f>
        <v>-6</v>
      </c>
      <c r="H27" s="78"/>
      <c r="I27" s="79">
        <f>COUNTIF(Vertices[Out-Degree],"&gt;= "&amp;H27)-COUNTIF(Vertices[Out-Degree],"&gt;="&amp;H28)</f>
        <v>-5</v>
      </c>
      <c r="J27" s="78"/>
      <c r="K27" s="79">
        <f>COUNTIF(Vertices[Betweenness Centrality],"&gt;= "&amp;J27)-COUNTIF(Vertices[Betweenness Centrality],"&gt;="&amp;J28)</f>
        <v>-4</v>
      </c>
      <c r="L27" s="78"/>
      <c r="M27" s="79">
        <f>COUNTIF(Vertices[Closeness Centrality],"&gt;= "&amp;L27)-COUNTIF(Vertices[Closeness Centrality],"&gt;="&amp;L28)</f>
        <v>-7</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-9</v>
      </c>
    </row>
    <row r="28" spans="4:21" ht="15">
      <c r="D28" s="34">
        <f>D26+($D$57-$D$2)/BinDivisor</f>
        <v>5.181818181818182</v>
      </c>
      <c r="E28" s="3">
        <f>COUNTIF(Vertices[Degree],"&gt;= "&amp;D28)-COUNTIF(Vertices[Degree],"&gt;="&amp;D40)</f>
        <v>0</v>
      </c>
      <c r="F28" s="41">
        <f>F26+($F$57-$F$2)/BinDivisor</f>
        <v>2.272727272727272</v>
      </c>
      <c r="G28" s="42">
        <f>COUNTIF(Vertices[In-Degree],"&gt;= "&amp;F28)-COUNTIF(Vertices[In-Degree],"&gt;="&amp;F40)</f>
        <v>0</v>
      </c>
      <c r="H28" s="41">
        <f>H26+($H$57-$H$2)/BinDivisor</f>
        <v>2.7272727272727266</v>
      </c>
      <c r="I28" s="42">
        <f>COUNTIF(Vertices[Out-Degree],"&gt;= "&amp;H28)-COUNTIF(Vertices[Out-Degree],"&gt;="&amp;H40)</f>
        <v>0</v>
      </c>
      <c r="J28" s="41">
        <f>J26+($J$57-$J$2)/BinDivisor</f>
        <v>4.848485</v>
      </c>
      <c r="K28" s="42">
        <f>COUNTIF(Vertices[Betweenness Centrality],"&gt;= "&amp;J28)-COUNTIF(Vertices[Betweenness Centrality],"&gt;="&amp;J40)</f>
        <v>0</v>
      </c>
      <c r="L28" s="41">
        <f>L26+($L$57-$L$2)/BinDivisor</f>
        <v>0.07541318181818185</v>
      </c>
      <c r="M28" s="42">
        <f>COUNTIF(Vertices[Closeness Centrality],"&gt;= "&amp;L28)-COUNTIF(Vertices[Closeness Centrality],"&gt;="&amp;L40)</f>
        <v>0</v>
      </c>
      <c r="N28" s="41">
        <f>N26+($N$57-$N$2)/BinDivisor</f>
        <v>0.0878634545454546</v>
      </c>
      <c r="O28" s="42">
        <f>COUNTIF(Vertices[Eigenvector Centrality],"&gt;= "&amp;N28)-COUNTIF(Vertices[Eigenvector Centrality],"&gt;="&amp;N40)</f>
        <v>0</v>
      </c>
      <c r="P28" s="41">
        <f>P26+($P$57-$P$2)/BinDivisor</f>
        <v>0.9038183636363626</v>
      </c>
      <c r="Q28" s="42">
        <f>COUNTIF(Vertices[PageRank],"&gt;= "&amp;P28)-COUNTIF(Vertices[PageRank],"&gt;="&amp;P40)</f>
        <v>0</v>
      </c>
      <c r="R28" s="41">
        <f>R26+($R$57-$R$2)/BinDivisor</f>
        <v>0.37878787878787856</v>
      </c>
      <c r="S28" s="46">
        <f>COUNTIF(Vertices[Clustering Coefficient],"&gt;= "&amp;R28)-COUNTIF(Vertices[Clustering Coefficient],"&gt;="&amp;R40)</f>
        <v>1</v>
      </c>
      <c r="T28" s="41">
        <f ca="1">T26+($T$57-$T$2)/BinDivisor</f>
        <v>0.2727272727272726</v>
      </c>
      <c r="U28" s="42">
        <f ca="1">COUNTIF(INDIRECT(DynamicFilterSourceColumnRange),"&gt;= "&amp;T28)-COUNTIF(INDIRECT(DynamicFilterSourceColumnRange),"&gt;="&amp;T40)</f>
        <v>0</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-7</v>
      </c>
      <c r="F38" s="78"/>
      <c r="G38" s="79">
        <f>COUNTIF(Vertices[In-Degree],"&gt;= "&amp;F38)-COUNTIF(Vertices[In-Degree],"&gt;="&amp;F40)</f>
        <v>-6</v>
      </c>
      <c r="H38" s="78"/>
      <c r="I38" s="79">
        <f>COUNTIF(Vertices[Out-Degree],"&gt;= "&amp;H38)-COUNTIF(Vertices[Out-Degree],"&gt;="&amp;H40)</f>
        <v>-5</v>
      </c>
      <c r="J38" s="78"/>
      <c r="K38" s="79">
        <f>COUNTIF(Vertices[Betweenness Centrality],"&gt;= "&amp;J38)-COUNTIF(Vertices[Betweenness Centrality],"&gt;="&amp;J40)</f>
        <v>-4</v>
      </c>
      <c r="L38" s="78"/>
      <c r="M38" s="79">
        <f>COUNTIF(Vertices[Closeness Centrality],"&gt;= "&amp;L38)-COUNTIF(Vertices[Closeness Centrality],"&gt;="&amp;L40)</f>
        <v>-7</v>
      </c>
      <c r="N38" s="78"/>
      <c r="O38" s="79">
        <f>COUNTIF(Vertices[Eigenvector Centrality],"&gt;= "&amp;N38)-COUNTIF(Vertices[Eigenvector Centrality],"&gt;="&amp;N40)</f>
        <v>-8</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-9</v>
      </c>
    </row>
    <row r="39" spans="4:21" ht="15">
      <c r="D39" s="34"/>
      <c r="E39" s="3">
        <f>COUNTIF(Vertices[Degree],"&gt;= "&amp;D39)-COUNTIF(Vertices[Degree],"&gt;="&amp;D40)</f>
        <v>-7</v>
      </c>
      <c r="F39" s="78"/>
      <c r="G39" s="79">
        <f>COUNTIF(Vertices[In-Degree],"&gt;= "&amp;F39)-COUNTIF(Vertices[In-Degree],"&gt;="&amp;F40)</f>
        <v>-6</v>
      </c>
      <c r="H39" s="78"/>
      <c r="I39" s="79">
        <f>COUNTIF(Vertices[Out-Degree],"&gt;= "&amp;H39)-COUNTIF(Vertices[Out-Degree],"&gt;="&amp;H40)</f>
        <v>-5</v>
      </c>
      <c r="J39" s="78"/>
      <c r="K39" s="79">
        <f>COUNTIF(Vertices[Betweenness Centrality],"&gt;= "&amp;J39)-COUNTIF(Vertices[Betweenness Centrality],"&gt;="&amp;J40)</f>
        <v>-4</v>
      </c>
      <c r="L39" s="78"/>
      <c r="M39" s="79">
        <f>COUNTIF(Vertices[Closeness Centrality],"&gt;= "&amp;L39)-COUNTIF(Vertices[Closeness Centrality],"&gt;="&amp;L40)</f>
        <v>-7</v>
      </c>
      <c r="N39" s="78"/>
      <c r="O39" s="79">
        <f>COUNTIF(Vertices[Eigenvector Centrality],"&gt;= "&amp;N39)-COUNTIF(Vertices[Eigenvector Centrality],"&gt;="&amp;N40)</f>
        <v>-8</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-9</v>
      </c>
    </row>
    <row r="40" spans="4:21" ht="15">
      <c r="D40" s="34">
        <f>D28+($D$57-$D$2)/BinDivisor</f>
        <v>5.309090909090909</v>
      </c>
      <c r="E40" s="3">
        <f>COUNTIF(Vertices[Degree],"&gt;= "&amp;D40)-COUNTIF(Vertices[Degree],"&gt;="&amp;D41)</f>
        <v>0</v>
      </c>
      <c r="F40" s="39">
        <f>F28+($F$57-$F$2)/BinDivisor</f>
        <v>2.363636363636363</v>
      </c>
      <c r="G40" s="40">
        <f>COUNTIF(Vertices[In-Degree],"&gt;= "&amp;F40)-COUNTIF(Vertices[In-Degree],"&gt;="&amp;F41)</f>
        <v>0</v>
      </c>
      <c r="H40" s="39">
        <f>H28+($H$57-$H$2)/BinDivisor</f>
        <v>2.8363636363636355</v>
      </c>
      <c r="I40" s="40">
        <f>COUNTIF(Vertices[Out-Degree],"&gt;= "&amp;H40)-COUNTIF(Vertices[Out-Degree],"&gt;="&amp;H41)</f>
        <v>0</v>
      </c>
      <c r="J40" s="39">
        <f>J28+($J$57-$J$2)/BinDivisor</f>
        <v>5.0424244</v>
      </c>
      <c r="K40" s="40">
        <f>COUNTIF(Vertices[Betweenness Centrality],"&gt;= "&amp;J40)-COUNTIF(Vertices[Betweenness Centrality],"&gt;="&amp;J41)</f>
        <v>0</v>
      </c>
      <c r="L40" s="39">
        <f>L28+($L$57-$L$2)/BinDivisor</f>
        <v>0.07592970909090913</v>
      </c>
      <c r="M40" s="40">
        <f>COUNTIF(Vertices[Closeness Centrality],"&gt;= "&amp;L40)-COUNTIF(Vertices[Closeness Centrality],"&gt;="&amp;L41)</f>
        <v>0</v>
      </c>
      <c r="N40" s="39">
        <f>N28+($N$57-$N$2)/BinDivisor</f>
        <v>0.08977587272727279</v>
      </c>
      <c r="O40" s="40">
        <f>COUNTIF(Vertices[Eigenvector Centrality],"&gt;= "&amp;N40)-COUNTIF(Vertices[Eigenvector Centrality],"&gt;="&amp;N41)</f>
        <v>1</v>
      </c>
      <c r="P40" s="39">
        <f>P28+($P$57-$P$2)/BinDivisor</f>
        <v>0.9196718181818171</v>
      </c>
      <c r="Q40" s="40">
        <f>COUNTIF(Vertices[PageRank],"&gt;= "&amp;P40)-COUNTIF(Vertices[PageRank],"&gt;="&amp;P41)</f>
        <v>0</v>
      </c>
      <c r="R40" s="39">
        <f>R28+($R$57-$R$2)/BinDivisor</f>
        <v>0.3939393939393937</v>
      </c>
      <c r="S40" s="45">
        <f>COUNTIF(Vertices[Clustering Coefficient],"&gt;= "&amp;R40)-COUNTIF(Vertices[Clustering Coefficient],"&gt;="&amp;R41)</f>
        <v>1</v>
      </c>
      <c r="T40" s="39">
        <f ca="1">T28+($T$57-$T$2)/BinDivisor</f>
        <v>0.2836363636363635</v>
      </c>
      <c r="U40" s="40">
        <f ca="1" t="shared" si="0"/>
        <v>1</v>
      </c>
    </row>
    <row r="41" spans="1:21" ht="15">
      <c r="A41" t="s">
        <v>162</v>
      </c>
      <c r="B41" t="s">
        <v>17</v>
      </c>
      <c r="D41" s="34">
        <f aca="true" t="shared" si="10" ref="D41:D56">D40+($D$57-$D$2)/BinDivisor</f>
        <v>5.436363636363636</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2.9454545454545444</v>
      </c>
      <c r="I41" s="42">
        <f>COUNTIF(Vertices[Out-Degree],"&gt;= "&amp;H41)-COUNTIF(Vertices[Out-Degree],"&gt;="&amp;H42)</f>
        <v>1</v>
      </c>
      <c r="J41" s="41">
        <f aca="true" t="shared" si="13" ref="J41:J56">J40+($J$57-$J$2)/BinDivisor</f>
        <v>5.2363637999999995</v>
      </c>
      <c r="K41" s="42">
        <f>COUNTIF(Vertices[Betweenness Centrality],"&gt;= "&amp;J41)-COUNTIF(Vertices[Betweenness Centrality],"&gt;="&amp;J42)</f>
        <v>0</v>
      </c>
      <c r="L41" s="41">
        <f aca="true" t="shared" si="14" ref="L41:L56">L40+($L$57-$L$2)/BinDivisor</f>
        <v>0.0764462363636364</v>
      </c>
      <c r="M41" s="42">
        <f>COUNTIF(Vertices[Closeness Centrality],"&gt;= "&amp;L41)-COUNTIF(Vertices[Closeness Centrality],"&gt;="&amp;L42)</f>
        <v>4</v>
      </c>
      <c r="N41" s="41">
        <f aca="true" t="shared" si="15" ref="N41:N56">N40+($N$57-$N$2)/BinDivisor</f>
        <v>0.09168829090909097</v>
      </c>
      <c r="O41" s="42">
        <f>COUNTIF(Vertices[Eigenvector Centrality],"&gt;= "&amp;N41)-COUNTIF(Vertices[Eigenvector Centrality],"&gt;="&amp;N42)</f>
        <v>0</v>
      </c>
      <c r="P41" s="41">
        <f aca="true" t="shared" si="16" ref="P41:P56">P40+($P$57-$P$2)/BinDivisor</f>
        <v>0.9355252727272716</v>
      </c>
      <c r="Q41" s="42">
        <f>COUNTIF(Vertices[PageRank],"&gt;= "&amp;P41)-COUNTIF(Vertices[PageRank],"&gt;="&amp;P42)</f>
        <v>0</v>
      </c>
      <c r="R41" s="41">
        <f aca="true" t="shared" si="17" ref="R41:R56">R40+($R$57-$R$2)/BinDivisor</f>
        <v>0.40909090909090884</v>
      </c>
      <c r="S41" s="46">
        <f>COUNTIF(Vertices[Clustering Coefficient],"&gt;= "&amp;R41)-COUNTIF(Vertices[Clustering Coefficient],"&gt;="&amp;R42)</f>
        <v>0</v>
      </c>
      <c r="T41" s="41">
        <f aca="true" t="shared" si="18" ref="T41:T56">T40+($T$57-$T$2)/BinDivisor</f>
        <v>0.29454545454545444</v>
      </c>
      <c r="U41" s="42">
        <f ca="1" t="shared" si="0"/>
        <v>0</v>
      </c>
    </row>
    <row r="42" spans="1:21" ht="15">
      <c r="A42" s="35"/>
      <c r="B42" s="35"/>
      <c r="D42" s="34">
        <f t="shared" si="10"/>
        <v>5.563636363636363</v>
      </c>
      <c r="E42" s="3">
        <f>COUNTIF(Vertices[Degree],"&gt;= "&amp;D42)-COUNTIF(Vertices[Degree],"&gt;="&amp;D43)</f>
        <v>0</v>
      </c>
      <c r="F42" s="39">
        <f t="shared" si="11"/>
        <v>2.5454545454545445</v>
      </c>
      <c r="G42" s="40">
        <f>COUNTIF(Vertices[In-Degree],"&gt;= "&amp;F42)-COUNTIF(Vertices[In-Degree],"&gt;="&amp;F43)</f>
        <v>0</v>
      </c>
      <c r="H42" s="39">
        <f t="shared" si="12"/>
        <v>3.0545454545454533</v>
      </c>
      <c r="I42" s="40">
        <f>COUNTIF(Vertices[Out-Degree],"&gt;= "&amp;H42)-COUNTIF(Vertices[Out-Degree],"&gt;="&amp;H43)</f>
        <v>0</v>
      </c>
      <c r="J42" s="39">
        <f t="shared" si="13"/>
        <v>5.430303199999999</v>
      </c>
      <c r="K42" s="40">
        <f>COUNTIF(Vertices[Betweenness Centrality],"&gt;= "&amp;J42)-COUNTIF(Vertices[Betweenness Centrality],"&gt;="&amp;J43)</f>
        <v>0</v>
      </c>
      <c r="L42" s="39">
        <f t="shared" si="14"/>
        <v>0.07696276363636367</v>
      </c>
      <c r="M42" s="40">
        <f>COUNTIF(Vertices[Closeness Centrality],"&gt;= "&amp;L42)-COUNTIF(Vertices[Closeness Centrality],"&gt;="&amp;L43)</f>
        <v>0</v>
      </c>
      <c r="N42" s="39">
        <f t="shared" si="15"/>
        <v>0.09360070909090916</v>
      </c>
      <c r="O42" s="40">
        <f>COUNTIF(Vertices[Eigenvector Centrality],"&gt;= "&amp;N42)-COUNTIF(Vertices[Eigenvector Centrality],"&gt;="&amp;N43)</f>
        <v>1</v>
      </c>
      <c r="P42" s="39">
        <f t="shared" si="16"/>
        <v>0.9513787272727261</v>
      </c>
      <c r="Q42" s="40">
        <f>COUNTIF(Vertices[PageRank],"&gt;= "&amp;P42)-COUNTIF(Vertices[PageRank],"&gt;="&amp;P43)</f>
        <v>0</v>
      </c>
      <c r="R42" s="39">
        <f t="shared" si="17"/>
        <v>0.424242424242424</v>
      </c>
      <c r="S42" s="45">
        <f>COUNTIF(Vertices[Clustering Coefficient],"&gt;= "&amp;R42)-COUNTIF(Vertices[Clustering Coefficient],"&gt;="&amp;R43)</f>
        <v>0</v>
      </c>
      <c r="T42" s="39">
        <f ca="1" t="shared" si="18"/>
        <v>0.30545454545454537</v>
      </c>
      <c r="U42" s="40">
        <f ca="1" t="shared" si="0"/>
        <v>0</v>
      </c>
    </row>
    <row r="43" spans="1:21" ht="15">
      <c r="A43" s="35"/>
      <c r="B43" s="35"/>
      <c r="D43" s="34">
        <f t="shared" si="10"/>
        <v>5.69090909090909</v>
      </c>
      <c r="E43" s="3">
        <f>COUNTIF(Vertices[Degree],"&gt;= "&amp;D43)-COUNTIF(Vertices[Degree],"&gt;="&amp;D44)</f>
        <v>0</v>
      </c>
      <c r="F43" s="41">
        <f t="shared" si="11"/>
        <v>2.6363636363636354</v>
      </c>
      <c r="G43" s="42">
        <f>COUNTIF(Vertices[In-Degree],"&gt;= "&amp;F43)-COUNTIF(Vertices[In-Degree],"&gt;="&amp;F44)</f>
        <v>0</v>
      </c>
      <c r="H43" s="41">
        <f t="shared" si="12"/>
        <v>3.1636363636363622</v>
      </c>
      <c r="I43" s="42">
        <f>COUNTIF(Vertices[Out-Degree],"&gt;= "&amp;H43)-COUNTIF(Vertices[Out-Degree],"&gt;="&amp;H44)</f>
        <v>0</v>
      </c>
      <c r="J43" s="41">
        <f t="shared" si="13"/>
        <v>5.624242599999999</v>
      </c>
      <c r="K43" s="42">
        <f>COUNTIF(Vertices[Betweenness Centrality],"&gt;= "&amp;J43)-COUNTIF(Vertices[Betweenness Centrality],"&gt;="&amp;J44)</f>
        <v>0</v>
      </c>
      <c r="L43" s="41">
        <f t="shared" si="14"/>
        <v>0.07747929090909095</v>
      </c>
      <c r="M43" s="42">
        <f>COUNTIF(Vertices[Closeness Centrality],"&gt;= "&amp;L43)-COUNTIF(Vertices[Closeness Centrality],"&gt;="&amp;L44)</f>
        <v>0</v>
      </c>
      <c r="N43" s="41">
        <f t="shared" si="15"/>
        <v>0.09551312727272734</v>
      </c>
      <c r="O43" s="42">
        <f>COUNTIF(Vertices[Eigenvector Centrality],"&gt;= "&amp;N43)-COUNTIF(Vertices[Eigenvector Centrality],"&gt;="&amp;N44)</f>
        <v>0</v>
      </c>
      <c r="P43" s="41">
        <f t="shared" si="16"/>
        <v>0.9672321818181806</v>
      </c>
      <c r="Q43" s="42">
        <f>COUNTIF(Vertices[PageRank],"&gt;= "&amp;P43)-COUNTIF(Vertices[PageRank],"&gt;="&amp;P44)</f>
        <v>0</v>
      </c>
      <c r="R43" s="41">
        <f t="shared" si="17"/>
        <v>0.4393939393939391</v>
      </c>
      <c r="S43" s="46">
        <f>COUNTIF(Vertices[Clustering Coefficient],"&gt;= "&amp;R43)-COUNTIF(Vertices[Clustering Coefficient],"&gt;="&amp;R44)</f>
        <v>1</v>
      </c>
      <c r="T43" s="41">
        <f ca="1" t="shared" si="18"/>
        <v>0.3163636363636363</v>
      </c>
      <c r="U43" s="42">
        <f ca="1" t="shared" si="0"/>
        <v>0</v>
      </c>
    </row>
    <row r="44" spans="1:21" ht="15">
      <c r="A44" s="35"/>
      <c r="B44" s="35"/>
      <c r="D44" s="34">
        <f t="shared" si="10"/>
        <v>5.818181818181817</v>
      </c>
      <c r="E44" s="3">
        <f>COUNTIF(Vertices[Degree],"&gt;= "&amp;D44)-COUNTIF(Vertices[Degree],"&gt;="&amp;D45)</f>
        <v>0</v>
      </c>
      <c r="F44" s="39">
        <f t="shared" si="11"/>
        <v>2.727272727272726</v>
      </c>
      <c r="G44" s="40">
        <f>COUNTIF(Vertices[In-Degree],"&gt;= "&amp;F44)-COUNTIF(Vertices[In-Degree],"&gt;="&amp;F45)</f>
        <v>0</v>
      </c>
      <c r="H44" s="39">
        <f t="shared" si="12"/>
        <v>3.272727272727271</v>
      </c>
      <c r="I44" s="40">
        <f>COUNTIF(Vertices[Out-Degree],"&gt;= "&amp;H44)-COUNTIF(Vertices[Out-Degree],"&gt;="&amp;H45)</f>
        <v>0</v>
      </c>
      <c r="J44" s="39">
        <f t="shared" si="13"/>
        <v>5.818181999999998</v>
      </c>
      <c r="K44" s="40">
        <f>COUNTIF(Vertices[Betweenness Centrality],"&gt;= "&amp;J44)-COUNTIF(Vertices[Betweenness Centrality],"&gt;="&amp;J45)</f>
        <v>0</v>
      </c>
      <c r="L44" s="39">
        <f t="shared" si="14"/>
        <v>0.07799581818181822</v>
      </c>
      <c r="M44" s="40">
        <f>COUNTIF(Vertices[Closeness Centrality],"&gt;= "&amp;L44)-COUNTIF(Vertices[Closeness Centrality],"&gt;="&amp;L45)</f>
        <v>0</v>
      </c>
      <c r="N44" s="39">
        <f t="shared" si="15"/>
        <v>0.09742554545454553</v>
      </c>
      <c r="O44" s="40">
        <f>COUNTIF(Vertices[Eigenvector Centrality],"&gt;= "&amp;N44)-COUNTIF(Vertices[Eigenvector Centrality],"&gt;="&amp;N45)</f>
        <v>0</v>
      </c>
      <c r="P44" s="39">
        <f t="shared" si="16"/>
        <v>0.9830856363636351</v>
      </c>
      <c r="Q44" s="40">
        <f>COUNTIF(Vertices[PageRank],"&gt;= "&amp;P44)-COUNTIF(Vertices[PageRank],"&gt;="&amp;P45)</f>
        <v>0</v>
      </c>
      <c r="R44" s="39">
        <f t="shared" si="17"/>
        <v>0.45454545454545425</v>
      </c>
      <c r="S44" s="45">
        <f>COUNTIF(Vertices[Clustering Coefficient],"&gt;= "&amp;R44)-COUNTIF(Vertices[Clustering Coefficient],"&gt;="&amp;R45)</f>
        <v>0</v>
      </c>
      <c r="T44" s="39">
        <f ca="1" t="shared" si="18"/>
        <v>0.3272727272727272</v>
      </c>
      <c r="U44" s="40">
        <f ca="1" t="shared" si="0"/>
        <v>0</v>
      </c>
    </row>
    <row r="45" spans="4:21" ht="15">
      <c r="D45" s="34">
        <f t="shared" si="10"/>
        <v>5.9454545454545435</v>
      </c>
      <c r="E45" s="3">
        <f>COUNTIF(Vertices[Degree],"&gt;= "&amp;D45)-COUNTIF(Vertices[Degree],"&gt;="&amp;D46)</f>
        <v>3</v>
      </c>
      <c r="F45" s="41">
        <f t="shared" si="11"/>
        <v>2.818181818181817</v>
      </c>
      <c r="G45" s="42">
        <f>COUNTIF(Vertices[In-Degree],"&gt;= "&amp;F45)-COUNTIF(Vertices[In-Degree],"&gt;="&amp;F46)</f>
        <v>0</v>
      </c>
      <c r="H45" s="41">
        <f t="shared" si="12"/>
        <v>3.38181818181818</v>
      </c>
      <c r="I45" s="42">
        <f>COUNTIF(Vertices[Out-Degree],"&gt;= "&amp;H45)-COUNTIF(Vertices[Out-Degree],"&gt;="&amp;H46)</f>
        <v>0</v>
      </c>
      <c r="J45" s="41">
        <f t="shared" si="13"/>
        <v>6.012121399999998</v>
      </c>
      <c r="K45" s="42">
        <f>COUNTIF(Vertices[Betweenness Centrality],"&gt;= "&amp;J45)-COUNTIF(Vertices[Betweenness Centrality],"&gt;="&amp;J46)</f>
        <v>0</v>
      </c>
      <c r="L45" s="41">
        <f t="shared" si="14"/>
        <v>0.0785123454545455</v>
      </c>
      <c r="M45" s="42">
        <f>COUNTIF(Vertices[Closeness Centrality],"&gt;= "&amp;L45)-COUNTIF(Vertices[Closeness Centrality],"&gt;="&amp;L46)</f>
        <v>0</v>
      </c>
      <c r="N45" s="41">
        <f t="shared" si="15"/>
        <v>0.09933796363636371</v>
      </c>
      <c r="O45" s="42">
        <f>COUNTIF(Vertices[Eigenvector Centrality],"&gt;= "&amp;N45)-COUNTIF(Vertices[Eigenvector Centrality],"&gt;="&amp;N46)</f>
        <v>0</v>
      </c>
      <c r="P45" s="41">
        <f t="shared" si="16"/>
        <v>0.9989390909090896</v>
      </c>
      <c r="Q45" s="42">
        <f>COUNTIF(Vertices[PageRank],"&gt;= "&amp;P45)-COUNTIF(Vertices[PageRank],"&gt;="&amp;P46)</f>
        <v>2</v>
      </c>
      <c r="R45" s="41">
        <f t="shared" si="17"/>
        <v>0.4696969696969694</v>
      </c>
      <c r="S45" s="46">
        <f>COUNTIF(Vertices[Clustering Coefficient],"&gt;= "&amp;R45)-COUNTIF(Vertices[Clustering Coefficient],"&gt;="&amp;R46)</f>
        <v>0</v>
      </c>
      <c r="T45" s="41">
        <f ca="1" t="shared" si="18"/>
        <v>0.33818181818181814</v>
      </c>
      <c r="U45" s="42">
        <f ca="1" t="shared" si="0"/>
        <v>0</v>
      </c>
    </row>
    <row r="46" spans="4:21" ht="15">
      <c r="D46" s="34">
        <f t="shared" si="10"/>
        <v>6.0727272727272705</v>
      </c>
      <c r="E46" s="3">
        <f>COUNTIF(Vertices[Degree],"&gt;= "&amp;D46)-COUNTIF(Vertices[Degree],"&gt;="&amp;D47)</f>
        <v>0</v>
      </c>
      <c r="F46" s="39">
        <f t="shared" si="11"/>
        <v>2.909090909090908</v>
      </c>
      <c r="G46" s="40">
        <f>COUNTIF(Vertices[In-Degree],"&gt;= "&amp;F46)-COUNTIF(Vertices[In-Degree],"&gt;="&amp;F47)</f>
        <v>0</v>
      </c>
      <c r="H46" s="39">
        <f t="shared" si="12"/>
        <v>3.490909090909089</v>
      </c>
      <c r="I46" s="40">
        <f>COUNTIF(Vertices[Out-Degree],"&gt;= "&amp;H46)-COUNTIF(Vertices[Out-Degree],"&gt;="&amp;H47)</f>
        <v>0</v>
      </c>
      <c r="J46" s="39">
        <f t="shared" si="13"/>
        <v>6.206060799999998</v>
      </c>
      <c r="K46" s="40">
        <f>COUNTIF(Vertices[Betweenness Centrality],"&gt;= "&amp;J46)-COUNTIF(Vertices[Betweenness Centrality],"&gt;="&amp;J47)</f>
        <v>0</v>
      </c>
      <c r="L46" s="39">
        <f t="shared" si="14"/>
        <v>0.07902887272727277</v>
      </c>
      <c r="M46" s="40">
        <f>COUNTIF(Vertices[Closeness Centrality],"&gt;= "&amp;L46)-COUNTIF(Vertices[Closeness Centrality],"&gt;="&amp;L47)</f>
        <v>0</v>
      </c>
      <c r="N46" s="39">
        <f t="shared" si="15"/>
        <v>0.1012503818181819</v>
      </c>
      <c r="O46" s="40">
        <f>COUNTIF(Vertices[Eigenvector Centrality],"&gt;= "&amp;N46)-COUNTIF(Vertices[Eigenvector Centrality],"&gt;="&amp;N47)</f>
        <v>1</v>
      </c>
      <c r="P46" s="39">
        <f t="shared" si="16"/>
        <v>1.0147925454545441</v>
      </c>
      <c r="Q46" s="40">
        <f>COUNTIF(Vertices[PageRank],"&gt;= "&amp;P46)-COUNTIF(Vertices[PageRank],"&gt;="&amp;P47)</f>
        <v>0</v>
      </c>
      <c r="R46" s="39">
        <f t="shared" si="17"/>
        <v>0.48484848484848453</v>
      </c>
      <c r="S46" s="45">
        <f>COUNTIF(Vertices[Clustering Coefficient],"&gt;= "&amp;R46)-COUNTIF(Vertices[Clustering Coefficient],"&gt;="&amp;R47)</f>
        <v>0</v>
      </c>
      <c r="T46" s="39">
        <f ca="1" t="shared" si="18"/>
        <v>0.34909090909090906</v>
      </c>
      <c r="U46" s="40">
        <f ca="1" t="shared" si="0"/>
        <v>0</v>
      </c>
    </row>
    <row r="47" spans="4:21" ht="15">
      <c r="D47" s="34">
        <f t="shared" si="10"/>
        <v>6.1999999999999975</v>
      </c>
      <c r="E47" s="3">
        <f>COUNTIF(Vertices[Degree],"&gt;= "&amp;D47)-COUNTIF(Vertices[Degree],"&gt;="&amp;D48)</f>
        <v>0</v>
      </c>
      <c r="F47" s="41">
        <f t="shared" si="11"/>
        <v>2.9999999999999987</v>
      </c>
      <c r="G47" s="42">
        <f>COUNTIF(Vertices[In-Degree],"&gt;= "&amp;F47)-COUNTIF(Vertices[In-Degree],"&gt;="&amp;F48)</f>
        <v>2</v>
      </c>
      <c r="H47" s="41">
        <f t="shared" si="12"/>
        <v>3.599999999999998</v>
      </c>
      <c r="I47" s="42">
        <f>COUNTIF(Vertices[Out-Degree],"&gt;= "&amp;H47)-COUNTIF(Vertices[Out-Degree],"&gt;="&amp;H48)</f>
        <v>0</v>
      </c>
      <c r="J47" s="41">
        <f t="shared" si="13"/>
        <v>6.400000199999997</v>
      </c>
      <c r="K47" s="42">
        <f>COUNTIF(Vertices[Betweenness Centrality],"&gt;= "&amp;J47)-COUNTIF(Vertices[Betweenness Centrality],"&gt;="&amp;J48)</f>
        <v>0</v>
      </c>
      <c r="L47" s="41">
        <f t="shared" si="14"/>
        <v>0.07954540000000004</v>
      </c>
      <c r="M47" s="42">
        <f>COUNTIF(Vertices[Closeness Centrality],"&gt;= "&amp;L47)-COUNTIF(Vertices[Closeness Centrality],"&gt;="&amp;L48)</f>
        <v>0</v>
      </c>
      <c r="N47" s="41">
        <f t="shared" si="15"/>
        <v>0.10316280000000008</v>
      </c>
      <c r="O47" s="42">
        <f>COUNTIF(Vertices[Eigenvector Centrality],"&gt;= "&amp;N47)-COUNTIF(Vertices[Eigenvector Centrality],"&gt;="&amp;N48)</f>
        <v>0</v>
      </c>
      <c r="P47" s="41">
        <f t="shared" si="16"/>
        <v>1.0306459999999986</v>
      </c>
      <c r="Q47" s="42">
        <f>COUNTIF(Vertices[PageRank],"&gt;= "&amp;P47)-COUNTIF(Vertices[PageRank],"&gt;="&amp;P48)</f>
        <v>1</v>
      </c>
      <c r="R47" s="41">
        <f t="shared" si="17"/>
        <v>0.49999999999999967</v>
      </c>
      <c r="S47" s="46">
        <f>COUNTIF(Vertices[Clustering Coefficient],"&gt;= "&amp;R47)-COUNTIF(Vertices[Clustering Coefficient],"&gt;="&amp;R48)</f>
        <v>0</v>
      </c>
      <c r="T47" s="41">
        <f ca="1" t="shared" si="18"/>
        <v>0.36</v>
      </c>
      <c r="U47" s="42">
        <f ca="1" t="shared" si="0"/>
        <v>0</v>
      </c>
    </row>
    <row r="48" spans="4:21" ht="15">
      <c r="D48" s="34">
        <f t="shared" si="10"/>
        <v>6.3272727272727245</v>
      </c>
      <c r="E48" s="3">
        <f>COUNTIF(Vertices[Degree],"&gt;= "&amp;D48)-COUNTIF(Vertices[Degree],"&gt;="&amp;D49)</f>
        <v>0</v>
      </c>
      <c r="F48" s="39">
        <f t="shared" si="11"/>
        <v>3.0909090909090895</v>
      </c>
      <c r="G48" s="40">
        <f>COUNTIF(Vertices[In-Degree],"&gt;= "&amp;F48)-COUNTIF(Vertices[In-Degree],"&gt;="&amp;F49)</f>
        <v>0</v>
      </c>
      <c r="H48" s="39">
        <f t="shared" si="12"/>
        <v>3.7090909090909068</v>
      </c>
      <c r="I48" s="40">
        <f>COUNTIF(Vertices[Out-Degree],"&gt;= "&amp;H48)-COUNTIF(Vertices[Out-Degree],"&gt;="&amp;H49)</f>
        <v>0</v>
      </c>
      <c r="J48" s="39">
        <f t="shared" si="13"/>
        <v>6.593939599999997</v>
      </c>
      <c r="K48" s="40">
        <f>COUNTIF(Vertices[Betweenness Centrality],"&gt;= "&amp;J48)-COUNTIF(Vertices[Betweenness Centrality],"&gt;="&amp;J49)</f>
        <v>0</v>
      </c>
      <c r="L48" s="39">
        <f t="shared" si="14"/>
        <v>0.08006192727272732</v>
      </c>
      <c r="M48" s="40">
        <f>COUNTIF(Vertices[Closeness Centrality],"&gt;= "&amp;L48)-COUNTIF(Vertices[Closeness Centrality],"&gt;="&amp;L49)</f>
        <v>0</v>
      </c>
      <c r="N48" s="39">
        <f t="shared" si="15"/>
        <v>0.10507521818181827</v>
      </c>
      <c r="O48" s="40">
        <f>COUNTIF(Vertices[Eigenvector Centrality],"&gt;= "&amp;N48)-COUNTIF(Vertices[Eigenvector Centrality],"&gt;="&amp;N49)</f>
        <v>0</v>
      </c>
      <c r="P48" s="39">
        <f t="shared" si="16"/>
        <v>1.0464994545454531</v>
      </c>
      <c r="Q48" s="40">
        <f>COUNTIF(Vertices[PageRank],"&gt;= "&amp;P48)-COUNTIF(Vertices[PageRank],"&gt;="&amp;P49)</f>
        <v>0</v>
      </c>
      <c r="R48" s="39">
        <f t="shared" si="17"/>
        <v>0.5151515151515148</v>
      </c>
      <c r="S48" s="45">
        <f>COUNTIF(Vertices[Clustering Coefficient],"&gt;= "&amp;R48)-COUNTIF(Vertices[Clustering Coefficient],"&gt;="&amp;R49)</f>
        <v>0</v>
      </c>
      <c r="T48" s="39">
        <f ca="1" t="shared" si="18"/>
        <v>0.3709090909090909</v>
      </c>
      <c r="U48" s="40">
        <f ca="1" t="shared" si="0"/>
        <v>0</v>
      </c>
    </row>
    <row r="49" spans="4:21" ht="15">
      <c r="D49" s="34">
        <f t="shared" si="10"/>
        <v>6.4545454545454515</v>
      </c>
      <c r="E49" s="3">
        <f>COUNTIF(Vertices[Degree],"&gt;= "&amp;D49)-COUNTIF(Vertices[Degree],"&gt;="&amp;D50)</f>
        <v>0</v>
      </c>
      <c r="F49" s="41">
        <f t="shared" si="11"/>
        <v>3.1818181818181803</v>
      </c>
      <c r="G49" s="42">
        <f>COUNTIF(Vertices[In-Degree],"&gt;= "&amp;F49)-COUNTIF(Vertices[In-Degree],"&gt;="&amp;F50)</f>
        <v>0</v>
      </c>
      <c r="H49" s="41">
        <f t="shared" si="12"/>
        <v>3.8181818181818157</v>
      </c>
      <c r="I49" s="42">
        <f>COUNTIF(Vertices[Out-Degree],"&gt;= "&amp;H49)-COUNTIF(Vertices[Out-Degree],"&gt;="&amp;H50)</f>
        <v>0</v>
      </c>
      <c r="J49" s="41">
        <f t="shared" si="13"/>
        <v>6.787878999999997</v>
      </c>
      <c r="K49" s="42">
        <f>COUNTIF(Vertices[Betweenness Centrality],"&gt;= "&amp;J49)-COUNTIF(Vertices[Betweenness Centrality],"&gt;="&amp;J50)</f>
        <v>0</v>
      </c>
      <c r="L49" s="41">
        <f t="shared" si="14"/>
        <v>0.08057845454545459</v>
      </c>
      <c r="M49" s="42">
        <f>COUNTIF(Vertices[Closeness Centrality],"&gt;= "&amp;L49)-COUNTIF(Vertices[Closeness Centrality],"&gt;="&amp;L50)</f>
        <v>0</v>
      </c>
      <c r="N49" s="41">
        <f t="shared" si="15"/>
        <v>0.10698763636363645</v>
      </c>
      <c r="O49" s="42">
        <f>COUNTIF(Vertices[Eigenvector Centrality],"&gt;= "&amp;N49)-COUNTIF(Vertices[Eigenvector Centrality],"&gt;="&amp;N50)</f>
        <v>0</v>
      </c>
      <c r="P49" s="41">
        <f t="shared" si="16"/>
        <v>1.0623529090909076</v>
      </c>
      <c r="Q49" s="42">
        <f>COUNTIF(Vertices[PageRank],"&gt;= "&amp;P49)-COUNTIF(Vertices[PageRank],"&gt;="&amp;P50)</f>
        <v>1</v>
      </c>
      <c r="R49" s="41">
        <f t="shared" si="17"/>
        <v>0.5303030303030299</v>
      </c>
      <c r="S49" s="46">
        <f>COUNTIF(Vertices[Clustering Coefficient],"&gt;= "&amp;R49)-COUNTIF(Vertices[Clustering Coefficient],"&gt;="&amp;R50)</f>
        <v>0</v>
      </c>
      <c r="T49" s="41">
        <f ca="1" t="shared" si="18"/>
        <v>0.38181818181818183</v>
      </c>
      <c r="U49" s="42">
        <f ca="1" t="shared" si="0"/>
        <v>0</v>
      </c>
    </row>
    <row r="50" spans="4:21" ht="15">
      <c r="D50" s="34">
        <f t="shared" si="10"/>
        <v>6.5818181818181785</v>
      </c>
      <c r="E50" s="3">
        <f>COUNTIF(Vertices[Degree],"&gt;= "&amp;D50)-COUNTIF(Vertices[Degree],"&gt;="&amp;D51)</f>
        <v>0</v>
      </c>
      <c r="F50" s="39">
        <f t="shared" si="11"/>
        <v>3.272727272727271</v>
      </c>
      <c r="G50" s="40">
        <f>COUNTIF(Vertices[In-Degree],"&gt;= "&amp;F50)-COUNTIF(Vertices[In-Degree],"&gt;="&amp;F51)</f>
        <v>0</v>
      </c>
      <c r="H50" s="39">
        <f t="shared" si="12"/>
        <v>3.9272727272727246</v>
      </c>
      <c r="I50" s="40">
        <f>COUNTIF(Vertices[Out-Degree],"&gt;= "&amp;H50)-COUNTIF(Vertices[Out-Degree],"&gt;="&amp;H51)</f>
        <v>1</v>
      </c>
      <c r="J50" s="39">
        <f t="shared" si="13"/>
        <v>6.981818399999996</v>
      </c>
      <c r="K50" s="40">
        <f>COUNTIF(Vertices[Betweenness Centrality],"&gt;= "&amp;J50)-COUNTIF(Vertices[Betweenness Centrality],"&gt;="&amp;J51)</f>
        <v>1</v>
      </c>
      <c r="L50" s="39">
        <f t="shared" si="14"/>
        <v>0.08109498181818187</v>
      </c>
      <c r="M50" s="40">
        <f>COUNTIF(Vertices[Closeness Centrality],"&gt;= "&amp;L50)-COUNTIF(Vertices[Closeness Centrality],"&gt;="&amp;L51)</f>
        <v>0</v>
      </c>
      <c r="N50" s="39">
        <f t="shared" si="15"/>
        <v>0.10890005454545464</v>
      </c>
      <c r="O50" s="40">
        <f>COUNTIF(Vertices[Eigenvector Centrality],"&gt;= "&amp;N50)-COUNTIF(Vertices[Eigenvector Centrality],"&gt;="&amp;N51)</f>
        <v>0</v>
      </c>
      <c r="P50" s="39">
        <f t="shared" si="16"/>
        <v>1.0782063636363621</v>
      </c>
      <c r="Q50" s="40">
        <f>COUNTIF(Vertices[PageRank],"&gt;= "&amp;P50)-COUNTIF(Vertices[PageRank],"&gt;="&amp;P51)</f>
        <v>0</v>
      </c>
      <c r="R50" s="39">
        <f t="shared" si="17"/>
        <v>0.5454545454545451</v>
      </c>
      <c r="S50" s="45">
        <f>COUNTIF(Vertices[Clustering Coefficient],"&gt;= "&amp;R50)-COUNTIF(Vertices[Clustering Coefficient],"&gt;="&amp;R51)</f>
        <v>1</v>
      </c>
      <c r="T50" s="39">
        <f ca="1" t="shared" si="18"/>
        <v>0.39272727272727276</v>
      </c>
      <c r="U50" s="40">
        <f ca="1" t="shared" si="0"/>
        <v>1</v>
      </c>
    </row>
    <row r="51" spans="4:21" ht="15">
      <c r="D51" s="34">
        <f t="shared" si="10"/>
        <v>6.709090909090905</v>
      </c>
      <c r="E51" s="3">
        <f>COUNTIF(Vertices[Degree],"&gt;= "&amp;D51)-COUNTIF(Vertices[Degree],"&gt;="&amp;D52)</f>
        <v>0</v>
      </c>
      <c r="F51" s="41">
        <f t="shared" si="11"/>
        <v>3.363636363636362</v>
      </c>
      <c r="G51" s="42">
        <f>COUNTIF(Vertices[In-Degree],"&gt;= "&amp;F51)-COUNTIF(Vertices[In-Degree],"&gt;="&amp;F52)</f>
        <v>0</v>
      </c>
      <c r="H51" s="41">
        <f t="shared" si="12"/>
        <v>4.0363636363636335</v>
      </c>
      <c r="I51" s="42">
        <f>COUNTIF(Vertices[Out-Degree],"&gt;= "&amp;H51)-COUNTIF(Vertices[Out-Degree],"&gt;="&amp;H52)</f>
        <v>0</v>
      </c>
      <c r="J51" s="41">
        <f t="shared" si="13"/>
        <v>7.175757799999996</v>
      </c>
      <c r="K51" s="42">
        <f>COUNTIF(Vertices[Betweenness Centrality],"&gt;= "&amp;J51)-COUNTIF(Vertices[Betweenness Centrality],"&gt;="&amp;J52)</f>
        <v>0</v>
      </c>
      <c r="L51" s="41">
        <f t="shared" si="14"/>
        <v>0.08161150909090914</v>
      </c>
      <c r="M51" s="42">
        <f>COUNTIF(Vertices[Closeness Centrality],"&gt;= "&amp;L51)-COUNTIF(Vertices[Closeness Centrality],"&gt;="&amp;L52)</f>
        <v>0</v>
      </c>
      <c r="N51" s="41">
        <f t="shared" si="15"/>
        <v>0.11081247272727282</v>
      </c>
      <c r="O51" s="42">
        <f>COUNTIF(Vertices[Eigenvector Centrality],"&gt;= "&amp;N51)-COUNTIF(Vertices[Eigenvector Centrality],"&gt;="&amp;N52)</f>
        <v>0</v>
      </c>
      <c r="P51" s="41">
        <f t="shared" si="16"/>
        <v>1.0940598181818166</v>
      </c>
      <c r="Q51" s="42">
        <f>COUNTIF(Vertices[PageRank],"&gt;= "&amp;P51)-COUNTIF(Vertices[PageRank],"&gt;="&amp;P52)</f>
        <v>0</v>
      </c>
      <c r="R51" s="41">
        <f t="shared" si="17"/>
        <v>0.5606060606060602</v>
      </c>
      <c r="S51" s="46">
        <f>COUNTIF(Vertices[Clustering Coefficient],"&gt;= "&amp;R51)-COUNTIF(Vertices[Clustering Coefficient],"&gt;="&amp;R52)</f>
        <v>0</v>
      </c>
      <c r="T51" s="41">
        <f ca="1" t="shared" si="18"/>
        <v>0.4036363636363637</v>
      </c>
      <c r="U51" s="42">
        <f ca="1" t="shared" si="0"/>
        <v>0</v>
      </c>
    </row>
    <row r="52" spans="4:21" ht="15">
      <c r="D52" s="34">
        <f t="shared" si="10"/>
        <v>6.836363636363632</v>
      </c>
      <c r="E52" s="3">
        <f>COUNTIF(Vertices[Degree],"&gt;= "&amp;D52)-COUNTIF(Vertices[Degree],"&gt;="&amp;D53)</f>
        <v>0</v>
      </c>
      <c r="F52" s="39">
        <f t="shared" si="11"/>
        <v>3.454545454545453</v>
      </c>
      <c r="G52" s="40">
        <f>COUNTIF(Vertices[In-Degree],"&gt;= "&amp;F52)-COUNTIF(Vertices[In-Degree],"&gt;="&amp;F53)</f>
        <v>0</v>
      </c>
      <c r="H52" s="39">
        <f t="shared" si="12"/>
        <v>4.145454545454543</v>
      </c>
      <c r="I52" s="40">
        <f>COUNTIF(Vertices[Out-Degree],"&gt;= "&amp;H52)-COUNTIF(Vertices[Out-Degree],"&gt;="&amp;H53)</f>
        <v>0</v>
      </c>
      <c r="J52" s="39">
        <f t="shared" si="13"/>
        <v>7.369697199999996</v>
      </c>
      <c r="K52" s="40">
        <f>COUNTIF(Vertices[Betweenness Centrality],"&gt;= "&amp;J52)-COUNTIF(Vertices[Betweenness Centrality],"&gt;="&amp;J53)</f>
        <v>0</v>
      </c>
      <c r="L52" s="39">
        <f t="shared" si="14"/>
        <v>0.08212803636363641</v>
      </c>
      <c r="M52" s="40">
        <f>COUNTIF(Vertices[Closeness Centrality],"&gt;= "&amp;L52)-COUNTIF(Vertices[Closeness Centrality],"&gt;="&amp;L53)</f>
        <v>0</v>
      </c>
      <c r="N52" s="39">
        <f t="shared" si="15"/>
        <v>0.112724890909091</v>
      </c>
      <c r="O52" s="40">
        <f>COUNTIF(Vertices[Eigenvector Centrality],"&gt;= "&amp;N52)-COUNTIF(Vertices[Eigenvector Centrality],"&gt;="&amp;N53)</f>
        <v>2</v>
      </c>
      <c r="P52" s="39">
        <f t="shared" si="16"/>
        <v>1.1099132727272711</v>
      </c>
      <c r="Q52" s="40">
        <f>COUNTIF(Vertices[PageRank],"&gt;= "&amp;P52)-COUNTIF(Vertices[PageRank],"&gt;="&amp;P53)</f>
        <v>0</v>
      </c>
      <c r="R52" s="39">
        <f t="shared" si="17"/>
        <v>0.5757575757575754</v>
      </c>
      <c r="S52" s="45">
        <f>COUNTIF(Vertices[Clustering Coefficient],"&gt;= "&amp;R52)-COUNTIF(Vertices[Clustering Coefficient],"&gt;="&amp;R53)</f>
        <v>0</v>
      </c>
      <c r="T52" s="39">
        <f ca="1" t="shared" si="18"/>
        <v>0.4145454545454546</v>
      </c>
      <c r="U52" s="40">
        <f ca="1" t="shared" si="0"/>
        <v>0</v>
      </c>
    </row>
    <row r="53" spans="4:21" ht="15">
      <c r="D53" s="34">
        <f t="shared" si="10"/>
        <v>6.963636363636359</v>
      </c>
      <c r="E53" s="3">
        <f>COUNTIF(Vertices[Degree],"&gt;= "&amp;D53)-COUNTIF(Vertices[Degree],"&gt;="&amp;D54)</f>
        <v>1</v>
      </c>
      <c r="F53" s="41">
        <f t="shared" si="11"/>
        <v>3.5454545454545436</v>
      </c>
      <c r="G53" s="42">
        <f>COUNTIF(Vertices[In-Degree],"&gt;= "&amp;F53)-COUNTIF(Vertices[In-Degree],"&gt;="&amp;F54)</f>
        <v>0</v>
      </c>
      <c r="H53" s="41">
        <f t="shared" si="12"/>
        <v>4.254545454545452</v>
      </c>
      <c r="I53" s="42">
        <f>COUNTIF(Vertices[Out-Degree],"&gt;= "&amp;H53)-COUNTIF(Vertices[Out-Degree],"&gt;="&amp;H54)</f>
        <v>0</v>
      </c>
      <c r="J53" s="41">
        <f t="shared" si="13"/>
        <v>7.563636599999995</v>
      </c>
      <c r="K53" s="42">
        <f>COUNTIF(Vertices[Betweenness Centrality],"&gt;= "&amp;J53)-COUNTIF(Vertices[Betweenness Centrality],"&gt;="&amp;J54)</f>
        <v>0</v>
      </c>
      <c r="L53" s="41">
        <f t="shared" si="14"/>
        <v>0.08264456363636369</v>
      </c>
      <c r="M53" s="42">
        <f>COUNTIF(Vertices[Closeness Centrality],"&gt;= "&amp;L53)-COUNTIF(Vertices[Closeness Centrality],"&gt;="&amp;L54)</f>
        <v>0</v>
      </c>
      <c r="N53" s="41">
        <f t="shared" si="15"/>
        <v>0.11463730909090919</v>
      </c>
      <c r="O53" s="42">
        <f>COUNTIF(Vertices[Eigenvector Centrality],"&gt;= "&amp;N53)-COUNTIF(Vertices[Eigenvector Centrality],"&gt;="&amp;N54)</f>
        <v>0</v>
      </c>
      <c r="P53" s="41">
        <f t="shared" si="16"/>
        <v>1.1257667272727256</v>
      </c>
      <c r="Q53" s="42">
        <f>COUNTIF(Vertices[PageRank],"&gt;= "&amp;P53)-COUNTIF(Vertices[PageRank],"&gt;="&amp;P54)</f>
        <v>0</v>
      </c>
      <c r="R53" s="41">
        <f t="shared" si="17"/>
        <v>0.5909090909090905</v>
      </c>
      <c r="S53" s="46">
        <f>COUNTIF(Vertices[Clustering Coefficient],"&gt;= "&amp;R53)-COUNTIF(Vertices[Clustering Coefficient],"&gt;="&amp;R54)</f>
        <v>0</v>
      </c>
      <c r="T53" s="41">
        <f ca="1" t="shared" si="18"/>
        <v>0.42545454545454553</v>
      </c>
      <c r="U53" s="42">
        <f ca="1" t="shared" si="0"/>
        <v>0</v>
      </c>
    </row>
    <row r="54" spans="4:21" ht="15">
      <c r="D54" s="34">
        <f t="shared" si="10"/>
        <v>7.090909090909086</v>
      </c>
      <c r="E54" s="3">
        <f>COUNTIF(Vertices[Degree],"&gt;= "&amp;D54)-COUNTIF(Vertices[Degree],"&gt;="&amp;D55)</f>
        <v>0</v>
      </c>
      <c r="F54" s="39">
        <f t="shared" si="11"/>
        <v>3.6363636363636345</v>
      </c>
      <c r="G54" s="40">
        <f>COUNTIF(Vertices[In-Degree],"&gt;= "&amp;F54)-COUNTIF(Vertices[In-Degree],"&gt;="&amp;F55)</f>
        <v>0</v>
      </c>
      <c r="H54" s="39">
        <f t="shared" si="12"/>
        <v>4.3636363636363615</v>
      </c>
      <c r="I54" s="40">
        <f>COUNTIF(Vertices[Out-Degree],"&gt;= "&amp;H54)-COUNTIF(Vertices[Out-Degree],"&gt;="&amp;H55)</f>
        <v>0</v>
      </c>
      <c r="J54" s="39">
        <f t="shared" si="13"/>
        <v>7.757575999999995</v>
      </c>
      <c r="K54" s="40">
        <f>COUNTIF(Vertices[Betweenness Centrality],"&gt;= "&amp;J54)-COUNTIF(Vertices[Betweenness Centrality],"&gt;="&amp;J55)</f>
        <v>0</v>
      </c>
      <c r="L54" s="39">
        <f t="shared" si="14"/>
        <v>0.08316109090909096</v>
      </c>
      <c r="M54" s="40">
        <f>COUNTIF(Vertices[Closeness Centrality],"&gt;= "&amp;L54)-COUNTIF(Vertices[Closeness Centrality],"&gt;="&amp;L55)</f>
        <v>2</v>
      </c>
      <c r="N54" s="39">
        <f t="shared" si="15"/>
        <v>0.11654972727272737</v>
      </c>
      <c r="O54" s="40">
        <f>COUNTIF(Vertices[Eigenvector Centrality],"&gt;= "&amp;N54)-COUNTIF(Vertices[Eigenvector Centrality],"&gt;="&amp;N55)</f>
        <v>1</v>
      </c>
      <c r="P54" s="39">
        <f t="shared" si="16"/>
        <v>1.1416201818181801</v>
      </c>
      <c r="Q54" s="40">
        <f>COUNTIF(Vertices[PageRank],"&gt;= "&amp;P54)-COUNTIF(Vertices[PageRank],"&gt;="&amp;P55)</f>
        <v>0</v>
      </c>
      <c r="R54" s="39">
        <f t="shared" si="17"/>
        <v>0.6060606060606056</v>
      </c>
      <c r="S54" s="45">
        <f>COUNTIF(Vertices[Clustering Coefficient],"&gt;= "&amp;R54)-COUNTIF(Vertices[Clustering Coefficient],"&gt;="&amp;R55)</f>
        <v>0</v>
      </c>
      <c r="T54" s="39">
        <f ca="1" t="shared" si="18"/>
        <v>0.43636363636363645</v>
      </c>
      <c r="U54" s="40">
        <f ca="1" t="shared" si="0"/>
        <v>0</v>
      </c>
    </row>
    <row r="55" spans="1:21" ht="15">
      <c r="A55" s="35" t="s">
        <v>81</v>
      </c>
      <c r="B55" s="48">
        <f>IF(COUNT(Vertices[Degree])&gt;0,D2,NoMetricMessage)</f>
        <v>2</v>
      </c>
      <c r="D55" s="34">
        <f t="shared" si="10"/>
        <v>7.218181818181813</v>
      </c>
      <c r="E55" s="3">
        <f>COUNTIF(Vertices[Degree],"&gt;= "&amp;D55)-COUNTIF(Vertices[Degree],"&gt;="&amp;D56)</f>
        <v>0</v>
      </c>
      <c r="F55" s="41">
        <f t="shared" si="11"/>
        <v>3.7272727272727253</v>
      </c>
      <c r="G55" s="42">
        <f>COUNTIF(Vertices[In-Degree],"&gt;= "&amp;F55)-COUNTIF(Vertices[In-Degree],"&gt;="&amp;F56)</f>
        <v>0</v>
      </c>
      <c r="H55" s="41">
        <f t="shared" si="12"/>
        <v>4.472727272727271</v>
      </c>
      <c r="I55" s="42">
        <f>COUNTIF(Vertices[Out-Degree],"&gt;= "&amp;H55)-COUNTIF(Vertices[Out-Degree],"&gt;="&amp;H56)</f>
        <v>0</v>
      </c>
      <c r="J55" s="41">
        <f t="shared" si="13"/>
        <v>7.951515399999995</v>
      </c>
      <c r="K55" s="42">
        <f>COUNTIF(Vertices[Betweenness Centrality],"&gt;= "&amp;J55)-COUNTIF(Vertices[Betweenness Centrality],"&gt;="&amp;J56)</f>
        <v>0</v>
      </c>
      <c r="L55" s="41">
        <f t="shared" si="14"/>
        <v>0.08367761818181824</v>
      </c>
      <c r="M55" s="42">
        <f>COUNTIF(Vertices[Closeness Centrality],"&gt;= "&amp;L55)-COUNTIF(Vertices[Closeness Centrality],"&gt;="&amp;L56)</f>
        <v>0</v>
      </c>
      <c r="N55" s="41">
        <f t="shared" si="15"/>
        <v>0.11846214545454556</v>
      </c>
      <c r="O55" s="42">
        <f>COUNTIF(Vertices[Eigenvector Centrality],"&gt;= "&amp;N55)-COUNTIF(Vertices[Eigenvector Centrality],"&gt;="&amp;N56)</f>
        <v>0</v>
      </c>
      <c r="P55" s="41">
        <f t="shared" si="16"/>
        <v>1.1574736363636347</v>
      </c>
      <c r="Q55" s="42">
        <f>COUNTIF(Vertices[PageRank],"&gt;= "&amp;P55)-COUNTIF(Vertices[PageRank],"&gt;="&amp;P56)</f>
        <v>0</v>
      </c>
      <c r="R55" s="41">
        <f t="shared" si="17"/>
        <v>0.6212121212121208</v>
      </c>
      <c r="S55" s="46">
        <f>COUNTIF(Vertices[Clustering Coefficient],"&gt;= "&amp;R55)-COUNTIF(Vertices[Clustering Coefficient],"&gt;="&amp;R56)</f>
        <v>0</v>
      </c>
      <c r="T55" s="41">
        <f ca="1" t="shared" si="18"/>
        <v>0.4472727272727274</v>
      </c>
      <c r="U55" s="42">
        <f ca="1" t="shared" si="0"/>
        <v>0</v>
      </c>
    </row>
    <row r="56" spans="1:21" ht="15">
      <c r="A56" s="35" t="s">
        <v>82</v>
      </c>
      <c r="B56" s="48">
        <f>IF(COUNT(Vertices[Degree])&gt;0,D57,NoMetricMessage)</f>
        <v>9</v>
      </c>
      <c r="D56" s="34">
        <f t="shared" si="10"/>
        <v>7.34545454545454</v>
      </c>
      <c r="E56" s="3">
        <f>COUNTIF(Vertices[Degree],"&gt;= "&amp;D56)-COUNTIF(Vertices[Degree],"&gt;="&amp;D57)</f>
        <v>1</v>
      </c>
      <c r="F56" s="39">
        <f t="shared" si="11"/>
        <v>3.818181818181816</v>
      </c>
      <c r="G56" s="40">
        <f>COUNTIF(Vertices[In-Degree],"&gt;= "&amp;F56)-COUNTIF(Vertices[In-Degree],"&gt;="&amp;F57)</f>
        <v>2</v>
      </c>
      <c r="H56" s="39">
        <f t="shared" si="12"/>
        <v>4.58181818181818</v>
      </c>
      <c r="I56" s="40">
        <f>COUNTIF(Vertices[Out-Degree],"&gt;= "&amp;H56)-COUNTIF(Vertices[Out-Degree],"&gt;="&amp;H57)</f>
        <v>1</v>
      </c>
      <c r="J56" s="39">
        <f t="shared" si="13"/>
        <v>8.145454799999994</v>
      </c>
      <c r="K56" s="40">
        <f>COUNTIF(Vertices[Betweenness Centrality],"&gt;= "&amp;J56)-COUNTIF(Vertices[Betweenness Centrality],"&gt;="&amp;J57)</f>
        <v>2</v>
      </c>
      <c r="L56" s="39">
        <f t="shared" si="14"/>
        <v>0.08419414545454551</v>
      </c>
      <c r="M56" s="40">
        <f>COUNTIF(Vertices[Closeness Centrality],"&gt;= "&amp;L56)-COUNTIF(Vertices[Closeness Centrality],"&gt;="&amp;L57)</f>
        <v>0</v>
      </c>
      <c r="N56" s="39">
        <f t="shared" si="15"/>
        <v>0.12037456363636374</v>
      </c>
      <c r="O56" s="40">
        <f>COUNTIF(Vertices[Eigenvector Centrality],"&gt;= "&amp;N56)-COUNTIF(Vertices[Eigenvector Centrality],"&gt;="&amp;N57)</f>
        <v>1</v>
      </c>
      <c r="P56" s="39">
        <f t="shared" si="16"/>
        <v>1.1733270909090892</v>
      </c>
      <c r="Q56" s="40">
        <f>COUNTIF(Vertices[PageRank],"&gt;= "&amp;P56)-COUNTIF(Vertices[PageRank],"&gt;="&amp;P57)</f>
        <v>2</v>
      </c>
      <c r="R56" s="39">
        <f t="shared" si="17"/>
        <v>0.6363636363636359</v>
      </c>
      <c r="S56" s="45">
        <f>COUNTIF(Vertices[Clustering Coefficient],"&gt;= "&amp;R56)-COUNTIF(Vertices[Clustering Coefficient],"&gt;="&amp;R57)</f>
        <v>1</v>
      </c>
      <c r="T56" s="39">
        <f ca="1" t="shared" si="18"/>
        <v>0.4581818181818183</v>
      </c>
      <c r="U56" s="40">
        <f ca="1" t="shared" si="0"/>
        <v>1</v>
      </c>
    </row>
    <row r="57" spans="1:21" ht="15">
      <c r="A57" s="35" t="s">
        <v>83</v>
      </c>
      <c r="B57" s="49">
        <f>_xlfn.IFERROR(AVERAGE(Vertices[Degree]),NoMetricMessage)</f>
        <v>6</v>
      </c>
      <c r="D57" s="34">
        <f>MAX(Vertices[Degree])</f>
        <v>9</v>
      </c>
      <c r="E57" s="3">
        <f>COUNTIF(Vertices[Degree],"&gt;= "&amp;D57)-COUNTIF(Vertices[Degree],"&gt;="&amp;D58)</f>
        <v>2</v>
      </c>
      <c r="F57" s="43">
        <f>MAX(Vertices[In-Degree])</f>
        <v>5</v>
      </c>
      <c r="G57" s="44">
        <f>COUNTIF(Vertices[In-Degree],"&gt;= "&amp;F57)-COUNTIF(Vertices[In-Degree],"&gt;="&amp;F58)</f>
        <v>2</v>
      </c>
      <c r="H57" s="43">
        <f>MAX(Vertices[Out-Degree])</f>
        <v>6</v>
      </c>
      <c r="I57" s="44">
        <f>COUNTIF(Vertices[Out-Degree],"&gt;= "&amp;H57)-COUNTIF(Vertices[Out-Degree],"&gt;="&amp;H58)</f>
        <v>2</v>
      </c>
      <c r="J57" s="43">
        <f>MAX(Vertices[Betweenness Centrality])</f>
        <v>10.666667</v>
      </c>
      <c r="K57" s="44">
        <f>COUNTIF(Vertices[Betweenness Centrality],"&gt;= "&amp;J57)-COUNTIF(Vertices[Betweenness Centrality],"&gt;="&amp;J58)</f>
        <v>1</v>
      </c>
      <c r="L57" s="43">
        <f>MAX(Vertices[Closeness Centrality])</f>
        <v>0.090909</v>
      </c>
      <c r="M57" s="44">
        <f>COUNTIF(Vertices[Closeness Centrality],"&gt;= "&amp;L57)-COUNTIF(Vertices[Closeness Centrality],"&gt;="&amp;L58)</f>
        <v>1</v>
      </c>
      <c r="N57" s="43">
        <f>MAX(Vertices[Eigenvector Centrality])</f>
        <v>0.145236</v>
      </c>
      <c r="O57" s="44">
        <f>COUNTIF(Vertices[Eigenvector Centrality],"&gt;= "&amp;N57)-COUNTIF(Vertices[Eigenvector Centrality],"&gt;="&amp;N58)</f>
        <v>1</v>
      </c>
      <c r="P57" s="43">
        <f>MAX(Vertices[PageRank])</f>
        <v>1.379422</v>
      </c>
      <c r="Q57" s="44">
        <f>COUNTIF(Vertices[PageRank],"&gt;= "&amp;P57)-COUNTIF(Vertices[PageRank],"&gt;="&amp;P58)</f>
        <v>1</v>
      </c>
      <c r="R57" s="43">
        <f>MAX(Vertices[Clustering Coefficient])</f>
        <v>0.8333333333333334</v>
      </c>
      <c r="S57" s="47">
        <f>COUNTIF(Vertices[Clustering Coefficient],"&gt;= "&amp;R57)-COUNTIF(Vertices[Clustering Coefficient],"&gt;="&amp;R58)</f>
        <v>1</v>
      </c>
      <c r="T57" s="43">
        <f ca="1">MAX(INDIRECT(DynamicFilterSourceColumnRange))</f>
        <v>0.6</v>
      </c>
      <c r="U57" s="44">
        <f ca="1" t="shared" si="0"/>
        <v>1</v>
      </c>
    </row>
    <row r="58" spans="1:2" ht="15">
      <c r="A58" s="35" t="s">
        <v>84</v>
      </c>
      <c r="B58" s="49">
        <f>_xlfn.IFERROR(MEDIAN(Vertices[Degree]),NoMetricMessage)</f>
        <v>6</v>
      </c>
    </row>
    <row r="69" spans="1:2" ht="15">
      <c r="A69" s="35" t="s">
        <v>88</v>
      </c>
      <c r="B69" s="48">
        <f>IF(COUNT(Vertices[In-Degree])&gt;0,F2,NoMetricMessage)</f>
        <v>0</v>
      </c>
    </row>
    <row r="70" spans="1:2" ht="15">
      <c r="A70" s="35" t="s">
        <v>89</v>
      </c>
      <c r="B70" s="48">
        <f>IF(COUNT(Vertices[In-Degree])&gt;0,F57,NoMetricMessage)</f>
        <v>5</v>
      </c>
    </row>
    <row r="71" spans="1:2" ht="15">
      <c r="A71" s="35" t="s">
        <v>90</v>
      </c>
      <c r="B71" s="49">
        <f>_xlfn.IFERROR(AVERAGE(Vertices[In-Degree]),NoMetricMessage)</f>
        <v>3</v>
      </c>
    </row>
    <row r="72" spans="1:2" ht="15">
      <c r="A72" s="35" t="s">
        <v>91</v>
      </c>
      <c r="B72" s="49">
        <f>_xlfn.IFERROR(MEDIAN(Vertices[In-Degree]),NoMetricMessage)</f>
        <v>3</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3</v>
      </c>
    </row>
    <row r="86" spans="1:2" ht="15">
      <c r="A86" s="35" t="s">
        <v>97</v>
      </c>
      <c r="B86" s="49">
        <f>_xlfn.IFERROR(MEDIAN(Vertices[Out-Degree]),NoMetricMessage)</f>
        <v>2.5</v>
      </c>
    </row>
    <row r="97" spans="1:2" ht="15">
      <c r="A97" s="35" t="s">
        <v>100</v>
      </c>
      <c r="B97" s="49">
        <f>IF(COUNT(Vertices[Betweenness Centrality])&gt;0,J2,NoMetricMessage)</f>
        <v>0</v>
      </c>
    </row>
    <row r="98" spans="1:2" ht="15">
      <c r="A98" s="35" t="s">
        <v>101</v>
      </c>
      <c r="B98" s="49">
        <f>IF(COUNT(Vertices[Betweenness Centrality])&gt;0,J57,NoMetricMessage)</f>
        <v>10.666667</v>
      </c>
    </row>
    <row r="99" spans="1:2" ht="15">
      <c r="A99" s="35" t="s">
        <v>102</v>
      </c>
      <c r="B99" s="49">
        <f>_xlfn.IFERROR(AVERAGE(Vertices[Betweenness Centrality]),NoMetricMessage)</f>
        <v>4.4000001</v>
      </c>
    </row>
    <row r="100" spans="1:2" ht="15">
      <c r="A100" s="35" t="s">
        <v>103</v>
      </c>
      <c r="B100" s="49">
        <f>_xlfn.IFERROR(MEDIAN(Vertices[Betweenness Centrality]),NoMetricMessage)</f>
        <v>3</v>
      </c>
    </row>
    <row r="111" spans="1:2" ht="15">
      <c r="A111" s="35" t="s">
        <v>106</v>
      </c>
      <c r="B111" s="49">
        <f>IF(COUNT(Vertices[Closeness Centrality])&gt;0,L2,NoMetricMessage)</f>
        <v>0.0625</v>
      </c>
    </row>
    <row r="112" spans="1:2" ht="15">
      <c r="A112" s="35" t="s">
        <v>107</v>
      </c>
      <c r="B112" s="49">
        <f>IF(COUNT(Vertices[Closeness Centrality])&gt;0,L57,NoMetricMessage)</f>
        <v>0.090909</v>
      </c>
    </row>
    <row r="113" spans="1:2" ht="15">
      <c r="A113" s="35" t="s">
        <v>108</v>
      </c>
      <c r="B113" s="49">
        <f>_xlfn.IFERROR(AVERAGE(Vertices[Closeness Centrality]),NoMetricMessage)</f>
        <v>0.07569340000000001</v>
      </c>
    </row>
    <row r="114" spans="1:2" ht="15">
      <c r="A114" s="35" t="s">
        <v>109</v>
      </c>
      <c r="B114" s="49">
        <f>_xlfn.IFERROR(MEDIAN(Vertices[Closeness Centrality]),NoMetricMessage)</f>
        <v>0.076923</v>
      </c>
    </row>
    <row r="125" spans="1:2" ht="15">
      <c r="A125" s="35" t="s">
        <v>112</v>
      </c>
      <c r="B125" s="49">
        <f>IF(COUNT(Vertices[Eigenvector Centrality])&gt;0,N2,NoMetricMessage)</f>
        <v>0.040053</v>
      </c>
    </row>
    <row r="126" spans="1:2" ht="15">
      <c r="A126" s="35" t="s">
        <v>113</v>
      </c>
      <c r="B126" s="49">
        <f>IF(COUNT(Vertices[Eigenvector Centrality])&gt;0,N57,NoMetricMessage)</f>
        <v>0.145236</v>
      </c>
    </row>
    <row r="127" spans="1:2" ht="15">
      <c r="A127" s="35" t="s">
        <v>114</v>
      </c>
      <c r="B127" s="49">
        <f>_xlfn.IFERROR(AVERAGE(Vertices[Eigenvector Centrality]),NoMetricMessage)</f>
        <v>0.1</v>
      </c>
    </row>
    <row r="128" spans="1:2" ht="15">
      <c r="A128" s="35" t="s">
        <v>115</v>
      </c>
      <c r="B128" s="49">
        <f>_xlfn.IFERROR(MEDIAN(Vertices[Eigenvector Centrality]),NoMetricMessage)</f>
        <v>0.10846900000000001</v>
      </c>
    </row>
    <row r="139" spans="1:2" ht="15">
      <c r="A139" s="35" t="s">
        <v>139</v>
      </c>
      <c r="B139" s="49">
        <f>IF(COUNT(Vertices[PageRank])&gt;0,P2,NoMetricMessage)</f>
        <v>0.507482</v>
      </c>
    </row>
    <row r="140" spans="1:2" ht="15">
      <c r="A140" s="35" t="s">
        <v>140</v>
      </c>
      <c r="B140" s="49">
        <f>IF(COUNT(Vertices[PageRank])&gt;0,P57,NoMetricMessage)</f>
        <v>1.379422</v>
      </c>
    </row>
    <row r="141" spans="1:2" ht="15">
      <c r="A141" s="35" t="s">
        <v>141</v>
      </c>
      <c r="B141" s="49">
        <f>_xlfn.IFERROR(AVERAGE(Vertices[PageRank]),NoMetricMessage)</f>
        <v>0.9999475999999999</v>
      </c>
    </row>
    <row r="142" spans="1:2" ht="15">
      <c r="A142" s="35" t="s">
        <v>142</v>
      </c>
      <c r="B142" s="49">
        <f>_xlfn.IFERROR(MEDIAN(Vertices[PageRank]),NoMetricMessage)</f>
        <v>1.027545</v>
      </c>
    </row>
    <row r="153" spans="1:2" ht="15">
      <c r="A153" s="35" t="s">
        <v>118</v>
      </c>
      <c r="B153" s="49">
        <f>IF(COUNT(Vertices[Clustering Coefficient])&gt;0,R2,NoMetricMessage)</f>
        <v>0</v>
      </c>
    </row>
    <row r="154" spans="1:2" ht="15">
      <c r="A154" s="35" t="s">
        <v>119</v>
      </c>
      <c r="B154" s="49">
        <f>IF(COUNT(Vertices[Clustering Coefficient])&gt;0,R57,NoMetricMessage)</f>
        <v>0.8333333333333334</v>
      </c>
    </row>
    <row r="155" spans="1:2" ht="15">
      <c r="A155" s="35" t="s">
        <v>120</v>
      </c>
      <c r="B155" s="49">
        <f>_xlfn.IFERROR(AVERAGE(Vertices[Clustering Coefficient]),NoMetricMessage)</f>
        <v>0.4247619047619048</v>
      </c>
    </row>
    <row r="156" spans="1:2" ht="15">
      <c r="A156" s="35" t="s">
        <v>121</v>
      </c>
      <c r="B156" s="49">
        <f>_xlfn.IFERROR(MEDIAN(Vertices[Clustering Coefficient]),NoMetricMessage)</f>
        <v>0.3904761904761905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163</v>
      </c>
      <c r="F1" s="5" t="s">
        <v>168</v>
      </c>
      <c r="G1" s="4" t="s">
        <v>14</v>
      </c>
      <c r="H1" s="4" t="s">
        <v>67</v>
      </c>
      <c r="J1" s="4" t="s">
        <v>18</v>
      </c>
      <c r="K1" s="4" t="s">
        <v>17</v>
      </c>
      <c r="M1" s="4" t="s">
        <v>22</v>
      </c>
      <c r="N1" s="4" t="s">
        <v>23</v>
      </c>
      <c r="O1" s="4" t="s">
        <v>24</v>
      </c>
      <c r="P1" s="4" t="s">
        <v>25</v>
      </c>
    </row>
    <row r="2" spans="1:16" ht="15">
      <c r="A2" s="1" t="s">
        <v>51</v>
      </c>
      <c r="B2" s="1" t="s">
        <v>131</v>
      </c>
      <c r="C2" t="s">
        <v>54</v>
      </c>
      <c r="D2" t="s">
        <v>55</v>
      </c>
      <c r="E2" t="s">
        <v>55</v>
      </c>
      <c r="F2" s="1" t="s">
        <v>51</v>
      </c>
      <c r="G2" t="s">
        <v>65</v>
      </c>
      <c r="H2" t="s">
        <v>158</v>
      </c>
      <c r="J2" t="s">
        <v>19</v>
      </c>
      <c r="K2">
        <v>108</v>
      </c>
      <c r="M2" t="s">
        <v>209</v>
      </c>
      <c r="N2" t="s">
        <v>3</v>
      </c>
      <c r="O2">
        <v>1</v>
      </c>
      <c r="P2">
        <v>4.5</v>
      </c>
    </row>
    <row r="3" spans="1:16" ht="15">
      <c r="A3" s="1" t="s">
        <v>52</v>
      </c>
      <c r="B3" s="1" t="s">
        <v>132</v>
      </c>
      <c r="C3" t="s">
        <v>52</v>
      </c>
      <c r="D3" t="s">
        <v>56</v>
      </c>
      <c r="E3" t="s">
        <v>56</v>
      </c>
      <c r="F3" s="1" t="s">
        <v>52</v>
      </c>
      <c r="G3" t="s">
        <v>66</v>
      </c>
      <c r="H3" t="s">
        <v>68</v>
      </c>
      <c r="J3" t="s">
        <v>30</v>
      </c>
      <c r="K3" t="s">
        <v>265</v>
      </c>
      <c r="M3" t="s">
        <v>209</v>
      </c>
      <c r="N3" t="s">
        <v>174</v>
      </c>
      <c r="O3">
        <v>1</v>
      </c>
      <c r="P3">
        <v>5</v>
      </c>
    </row>
    <row r="4" spans="1:16" ht="15">
      <c r="A4" s="1" t="s">
        <v>53</v>
      </c>
      <c r="B4" s="1" t="s">
        <v>133</v>
      </c>
      <c r="C4" t="s">
        <v>53</v>
      </c>
      <c r="D4" t="s">
        <v>57</v>
      </c>
      <c r="E4" t="s">
        <v>57</v>
      </c>
      <c r="F4" s="1" t="s">
        <v>53</v>
      </c>
      <c r="G4">
        <v>0</v>
      </c>
      <c r="H4" t="s">
        <v>69</v>
      </c>
      <c r="J4" s="12" t="s">
        <v>78</v>
      </c>
      <c r="K4" s="12"/>
      <c r="M4" t="s">
        <v>145</v>
      </c>
      <c r="N4" t="s">
        <v>45</v>
      </c>
      <c r="O4">
        <v>1.5</v>
      </c>
      <c r="P4">
        <v>7</v>
      </c>
    </row>
    <row r="5" spans="1:16" ht="409.5">
      <c r="A5">
        <v>1</v>
      </c>
      <c r="B5" s="1" t="s">
        <v>134</v>
      </c>
      <c r="C5" t="s">
        <v>51</v>
      </c>
      <c r="D5" t="s">
        <v>58</v>
      </c>
      <c r="E5" t="s">
        <v>58</v>
      </c>
      <c r="F5">
        <v>1</v>
      </c>
      <c r="G5">
        <v>1</v>
      </c>
      <c r="H5" t="s">
        <v>70</v>
      </c>
      <c r="J5" t="s">
        <v>171</v>
      </c>
      <c r="K5" s="13" t="s">
        <v>282</v>
      </c>
      <c r="M5" t="s">
        <v>145</v>
      </c>
      <c r="N5" t="s">
        <v>4</v>
      </c>
      <c r="O5">
        <v>50</v>
      </c>
      <c r="P5">
        <v>85</v>
      </c>
    </row>
    <row r="6" spans="1:18" ht="15">
      <c r="A6">
        <v>0</v>
      </c>
      <c r="B6" s="1" t="s">
        <v>135</v>
      </c>
      <c r="C6">
        <v>1</v>
      </c>
      <c r="D6" t="s">
        <v>59</v>
      </c>
      <c r="E6" t="s">
        <v>59</v>
      </c>
      <c r="F6">
        <v>0</v>
      </c>
      <c r="H6" t="s">
        <v>71</v>
      </c>
      <c r="J6" t="s">
        <v>172</v>
      </c>
      <c r="K6">
        <v>3</v>
      </c>
      <c r="M6" t="s">
        <v>145</v>
      </c>
      <c r="N6" t="s">
        <v>15</v>
      </c>
      <c r="O6">
        <v>141</v>
      </c>
      <c r="P6">
        <v>9716.18359375</v>
      </c>
      <c r="R6" t="s">
        <v>128</v>
      </c>
    </row>
    <row r="7" spans="1:16" ht="15">
      <c r="A7">
        <v>2</v>
      </c>
      <c r="B7">
        <v>1</v>
      </c>
      <c r="C7">
        <v>0</v>
      </c>
      <c r="D7" t="s">
        <v>60</v>
      </c>
      <c r="E7" t="s">
        <v>60</v>
      </c>
      <c r="F7">
        <v>2</v>
      </c>
      <c r="H7" t="s">
        <v>72</v>
      </c>
      <c r="J7" t="s">
        <v>197</v>
      </c>
      <c r="K7" t="s">
        <v>266</v>
      </c>
      <c r="M7" t="s">
        <v>145</v>
      </c>
      <c r="N7" t="s">
        <v>16</v>
      </c>
      <c r="O7">
        <v>428.598175048828</v>
      </c>
      <c r="P7">
        <v>9827.3291015625</v>
      </c>
    </row>
    <row r="8" spans="1:16" ht="15">
      <c r="A8"/>
      <c r="B8">
        <v>2</v>
      </c>
      <c r="C8">
        <v>2</v>
      </c>
      <c r="D8" t="s">
        <v>61</v>
      </c>
      <c r="E8" t="s">
        <v>61</v>
      </c>
      <c r="H8" t="s">
        <v>73</v>
      </c>
      <c r="J8" t="s">
        <v>205</v>
      </c>
      <c r="K8" t="s">
        <v>281</v>
      </c>
      <c r="M8" t="s">
        <v>145</v>
      </c>
      <c r="N8" t="s">
        <v>31</v>
      </c>
      <c r="O8">
        <v>2</v>
      </c>
      <c r="P8">
        <v>9</v>
      </c>
    </row>
    <row r="9" spans="1:16" ht="409.5">
      <c r="A9"/>
      <c r="B9">
        <v>3</v>
      </c>
      <c r="C9">
        <v>4</v>
      </c>
      <c r="D9" t="s">
        <v>62</v>
      </c>
      <c r="E9" t="s">
        <v>62</v>
      </c>
      <c r="H9" t="s">
        <v>74</v>
      </c>
      <c r="J9" t="s">
        <v>206</v>
      </c>
      <c r="K9" s="13" t="s">
        <v>283</v>
      </c>
      <c r="M9" t="s">
        <v>145</v>
      </c>
      <c r="N9" t="s">
        <v>32</v>
      </c>
      <c r="O9">
        <v>0</v>
      </c>
      <c r="P9">
        <v>5</v>
      </c>
    </row>
    <row r="10" spans="1:16" ht="409.5">
      <c r="A10"/>
      <c r="B10">
        <v>4</v>
      </c>
      <c r="D10" t="s">
        <v>63</v>
      </c>
      <c r="E10" t="s">
        <v>63</v>
      </c>
      <c r="H10" t="s">
        <v>75</v>
      </c>
      <c r="J10" t="s">
        <v>272</v>
      </c>
      <c r="K10" s="13" t="s">
        <v>284</v>
      </c>
      <c r="M10" t="s">
        <v>145</v>
      </c>
      <c r="N10" t="s">
        <v>33</v>
      </c>
      <c r="O10">
        <v>0</v>
      </c>
      <c r="P10">
        <v>6</v>
      </c>
    </row>
    <row r="11" spans="1:16" ht="15">
      <c r="A11"/>
      <c r="B11">
        <v>5</v>
      </c>
      <c r="D11" t="s">
        <v>46</v>
      </c>
      <c r="E11">
        <v>1</v>
      </c>
      <c r="H11" t="s">
        <v>76</v>
      </c>
      <c r="M11" t="s">
        <v>145</v>
      </c>
      <c r="N11" t="s">
        <v>34</v>
      </c>
      <c r="O11">
        <v>0</v>
      </c>
      <c r="P11">
        <v>10.666667</v>
      </c>
    </row>
    <row r="12" spans="1:16" ht="15">
      <c r="A12"/>
      <c r="B12"/>
      <c r="D12" t="s">
        <v>64</v>
      </c>
      <c r="E12">
        <v>2</v>
      </c>
      <c r="H12">
        <v>0</v>
      </c>
      <c r="M12" t="s">
        <v>145</v>
      </c>
      <c r="N12" t="s">
        <v>35</v>
      </c>
      <c r="O12">
        <v>0.0625</v>
      </c>
      <c r="P12">
        <v>0.090909</v>
      </c>
    </row>
    <row r="13" spans="1:16" ht="15">
      <c r="A13"/>
      <c r="B13"/>
      <c r="D13">
        <v>1</v>
      </c>
      <c r="E13">
        <v>3</v>
      </c>
      <c r="H13">
        <v>1</v>
      </c>
      <c r="M13" t="s">
        <v>145</v>
      </c>
      <c r="N13" t="s">
        <v>36</v>
      </c>
      <c r="O13">
        <v>0.040053</v>
      </c>
      <c r="P13">
        <v>0.145236</v>
      </c>
    </row>
    <row r="14" spans="4:16" ht="15">
      <c r="D14">
        <v>2</v>
      </c>
      <c r="E14">
        <v>4</v>
      </c>
      <c r="H14">
        <v>2</v>
      </c>
      <c r="M14" t="s">
        <v>145</v>
      </c>
      <c r="N14" t="s">
        <v>136</v>
      </c>
      <c r="O14">
        <v>0.507482</v>
      </c>
      <c r="P14">
        <v>1.379422</v>
      </c>
    </row>
    <row r="15" spans="4:16" ht="15">
      <c r="D15">
        <v>3</v>
      </c>
      <c r="E15">
        <v>5</v>
      </c>
      <c r="H15">
        <v>3</v>
      </c>
      <c r="M15" t="s">
        <v>145</v>
      </c>
      <c r="N15" t="s">
        <v>37</v>
      </c>
      <c r="O15">
        <v>0</v>
      </c>
      <c r="P15">
        <v>1</v>
      </c>
    </row>
    <row r="16" spans="4:16" ht="15">
      <c r="D16">
        <v>4</v>
      </c>
      <c r="E16">
        <v>6</v>
      </c>
      <c r="H16">
        <v>4</v>
      </c>
      <c r="M16" t="s">
        <v>145</v>
      </c>
      <c r="N16" t="s">
        <v>169</v>
      </c>
      <c r="O16">
        <v>0</v>
      </c>
      <c r="P16">
        <v>0.6</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207</v>
      </c>
      <c r="B2" s="122" t="s">
        <v>208</v>
      </c>
      <c r="C2" s="67" t="s">
        <v>209</v>
      </c>
    </row>
    <row r="3" spans="1:3" ht="15">
      <c r="A3" s="121" t="s">
        <v>198</v>
      </c>
      <c r="B3" s="121" t="s">
        <v>198</v>
      </c>
      <c r="C3" s="36">
        <v>21</v>
      </c>
    </row>
    <row r="4" spans="1:3" ht="15">
      <c r="A4" s="127" t="s">
        <v>198</v>
      </c>
      <c r="B4" s="126" t="s">
        <v>199</v>
      </c>
      <c r="C4" s="36">
        <v>7</v>
      </c>
    </row>
    <row r="5" spans="1:3" ht="15">
      <c r="A5" s="127" t="s">
        <v>199</v>
      </c>
      <c r="B5" s="126" t="s">
        <v>198</v>
      </c>
      <c r="C5" s="36">
        <v>4</v>
      </c>
    </row>
    <row r="6" spans="1:3" ht="15">
      <c r="A6" s="127" t="s">
        <v>199</v>
      </c>
      <c r="B6" s="126" t="s">
        <v>199</v>
      </c>
      <c r="C6" s="36">
        <v>11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18" t="s">
        <v>214</v>
      </c>
      <c r="B1" s="118" t="s">
        <v>215</v>
      </c>
      <c r="C1" s="118" t="s">
        <v>216</v>
      </c>
      <c r="D1" s="118" t="s">
        <v>218</v>
      </c>
      <c r="E1" s="118" t="s">
        <v>217</v>
      </c>
      <c r="F1" s="118" t="s">
        <v>219</v>
      </c>
    </row>
    <row r="2" spans="1:6" ht="15">
      <c r="A2" s="118"/>
      <c r="B2" s="118"/>
      <c r="C2" s="118"/>
      <c r="D2" s="118"/>
      <c r="E2" s="118"/>
      <c r="F2" s="118"/>
    </row>
    <row r="4" spans="1:6" ht="15" customHeight="1">
      <c r="A4" s="118" t="s">
        <v>221</v>
      </c>
      <c r="B4" s="118" t="s">
        <v>215</v>
      </c>
      <c r="C4" s="118" t="s">
        <v>222</v>
      </c>
      <c r="D4" s="118" t="s">
        <v>218</v>
      </c>
      <c r="E4" s="118" t="s">
        <v>223</v>
      </c>
      <c r="F4" s="118" t="s">
        <v>219</v>
      </c>
    </row>
    <row r="5" spans="1:6" ht="15">
      <c r="A5" s="118"/>
      <c r="B5" s="118"/>
      <c r="C5" s="118"/>
      <c r="D5" s="118"/>
      <c r="E5" s="118"/>
      <c r="F5" s="118"/>
    </row>
    <row r="7" spans="1:6" ht="15" customHeight="1">
      <c r="A7" s="118" t="s">
        <v>225</v>
      </c>
      <c r="B7" s="118" t="s">
        <v>215</v>
      </c>
      <c r="C7" s="118" t="s">
        <v>226</v>
      </c>
      <c r="D7" s="118" t="s">
        <v>218</v>
      </c>
      <c r="E7" s="118" t="s">
        <v>227</v>
      </c>
      <c r="F7" s="118" t="s">
        <v>219</v>
      </c>
    </row>
    <row r="8" spans="1:6" ht="15">
      <c r="A8" s="118"/>
      <c r="B8" s="118"/>
      <c r="C8" s="118"/>
      <c r="D8" s="118"/>
      <c r="E8" s="118"/>
      <c r="F8" s="118"/>
    </row>
    <row r="10" spans="1:6" ht="15" customHeight="1">
      <c r="A10" s="13" t="s">
        <v>229</v>
      </c>
      <c r="B10" s="13" t="s">
        <v>215</v>
      </c>
      <c r="C10" s="118" t="s">
        <v>235</v>
      </c>
      <c r="D10" s="118" t="s">
        <v>218</v>
      </c>
      <c r="E10" s="118" t="s">
        <v>236</v>
      </c>
      <c r="F10" s="118" t="s">
        <v>219</v>
      </c>
    </row>
    <row r="11" spans="1:6" ht="15">
      <c r="A11" s="120" t="s">
        <v>230</v>
      </c>
      <c r="B11" s="120">
        <v>0</v>
      </c>
      <c r="C11" s="120"/>
      <c r="D11" s="120"/>
      <c r="E11" s="120"/>
      <c r="F11" s="120"/>
    </row>
    <row r="12" spans="1:6" ht="15">
      <c r="A12" s="120" t="s">
        <v>231</v>
      </c>
      <c r="B12" s="120">
        <v>0</v>
      </c>
      <c r="C12" s="120"/>
      <c r="D12" s="120"/>
      <c r="E12" s="120"/>
      <c r="F12" s="120"/>
    </row>
    <row r="13" spans="1:6" ht="15">
      <c r="A13" s="120" t="s">
        <v>232</v>
      </c>
      <c r="B13" s="120">
        <v>0</v>
      </c>
      <c r="C13" s="120"/>
      <c r="D13" s="120"/>
      <c r="E13" s="120"/>
      <c r="F13" s="120"/>
    </row>
    <row r="14" spans="1:6" ht="15">
      <c r="A14" s="120" t="s">
        <v>233</v>
      </c>
      <c r="B14" s="120">
        <v>0</v>
      </c>
      <c r="C14" s="120"/>
      <c r="D14" s="120"/>
      <c r="E14" s="120"/>
      <c r="F14" s="120"/>
    </row>
    <row r="15" spans="1:6" ht="15">
      <c r="A15" s="120" t="s">
        <v>234</v>
      </c>
      <c r="B15" s="120">
        <v>0</v>
      </c>
      <c r="C15" s="120"/>
      <c r="D15" s="120"/>
      <c r="E15" s="120"/>
      <c r="F15" s="120"/>
    </row>
    <row r="18" spans="1:6" ht="15" customHeight="1">
      <c r="A18" s="118" t="s">
        <v>239</v>
      </c>
      <c r="B18" s="118" t="s">
        <v>215</v>
      </c>
      <c r="C18" s="118" t="s">
        <v>240</v>
      </c>
      <c r="D18" s="118" t="s">
        <v>218</v>
      </c>
      <c r="E18" s="118" t="s">
        <v>241</v>
      </c>
      <c r="F18" s="118" t="s">
        <v>219</v>
      </c>
    </row>
    <row r="19" spans="1:6" ht="15">
      <c r="A19" s="118"/>
      <c r="B19" s="118"/>
      <c r="C19" s="118"/>
      <c r="D19" s="118"/>
      <c r="E19" s="118"/>
      <c r="F19" s="118"/>
    </row>
    <row r="21" spans="1:6" ht="15" customHeight="1">
      <c r="A21" s="118" t="s">
        <v>243</v>
      </c>
      <c r="B21" s="118" t="s">
        <v>215</v>
      </c>
      <c r="C21" s="118" t="s">
        <v>245</v>
      </c>
      <c r="D21" s="118" t="s">
        <v>218</v>
      </c>
      <c r="E21" s="118" t="s">
        <v>246</v>
      </c>
      <c r="F21" s="118" t="s">
        <v>219</v>
      </c>
    </row>
    <row r="22" spans="1:6" ht="15">
      <c r="A22" s="118"/>
      <c r="B22" s="118"/>
      <c r="C22" s="118"/>
      <c r="D22" s="118"/>
      <c r="E22" s="118"/>
      <c r="F22" s="118"/>
    </row>
    <row r="24" spans="1:6" ht="15" customHeight="1">
      <c r="A24" s="118" t="s">
        <v>244</v>
      </c>
      <c r="B24" s="118" t="s">
        <v>215</v>
      </c>
      <c r="C24" s="118" t="s">
        <v>247</v>
      </c>
      <c r="D24" s="118" t="s">
        <v>218</v>
      </c>
      <c r="E24" s="118" t="s">
        <v>248</v>
      </c>
      <c r="F24" s="118" t="s">
        <v>219</v>
      </c>
    </row>
    <row r="25" spans="1:6" ht="15">
      <c r="A25" s="118"/>
      <c r="B25" s="118"/>
      <c r="C25" s="118"/>
      <c r="D25" s="118"/>
      <c r="E25" s="118"/>
      <c r="F25" s="118"/>
    </row>
    <row r="27" spans="1:6" ht="15" customHeight="1">
      <c r="A27" s="118" t="s">
        <v>251</v>
      </c>
      <c r="B27" s="118" t="s">
        <v>215</v>
      </c>
      <c r="C27" s="118" t="s">
        <v>252</v>
      </c>
      <c r="D27" s="118" t="s">
        <v>218</v>
      </c>
      <c r="E27" s="118" t="s">
        <v>253</v>
      </c>
      <c r="F27" s="118" t="s">
        <v>219</v>
      </c>
    </row>
    <row r="28" spans="1:6" ht="15">
      <c r="A28" s="116"/>
      <c r="B28" s="118"/>
      <c r="C28" s="116"/>
      <c r="D28" s="118"/>
      <c r="E28" s="116"/>
      <c r="F28" s="118"/>
    </row>
  </sheetData>
  <printOptions/>
  <pageMargins left="0.7" right="0.7" top="0.75" bottom="0.75" header="0.3" footer="0.3"/>
  <pageSetup orientation="portrait" paperSize="9"/>
  <tableParts>
    <tablePart r:id="rId7"/>
    <tablePart r:id="rId5"/>
    <tablePart r:id="rId8"/>
    <tablePart r:id="rId1"/>
    <tablePart r:id="rId4"/>
    <tablePart r:id="rId6"/>
    <tablePart r:id="rId2"/>
    <tablePart r:id="rId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ED6524D-BCA9-4990-A9EC-9A33A09963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2019-03-01T01:11:38Z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