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<sst xmlns="http://schemas.openxmlformats.org/spreadsheetml/2006/main" count="528" uniqueCount="286">
  <si>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</si>
  <si>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</si>
  <si>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</si>
  <si>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</si>
  <si>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</si>
  <si>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</si>
  <si>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</si>
  <si>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</si>
  <si>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</si>
  <si>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</si>
  <si>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</si>
  <si>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</si>
  <si>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</si>
  <si>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</si>
  <si>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</si>
  <si>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</si>
  <si>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</si>
  <si>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</si>
  <si>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</si>
  <si>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</si>
  <si>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</si>
  <si>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</si>
  <si>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</si>
  <si>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</si>
  <si>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</si>
  <si>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</si>
  <si>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</si>
  <si>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</si>
  <si>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</si>
  <si>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</si>
  <si>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</si>
  <si>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</si>
  <si>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</si>
  <si>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</si>
  <si>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</si>
  <si>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</si>
  <si>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</si>
  <si>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</si>
  <si>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</si>
  <si>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</si>
  <si>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</si>
  <si>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</si>
  <si>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</si>
  <si>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</si>
  <si>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</si>
  <si>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</si>
  <si>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</si>
  <si>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</si>
  <si>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</si>
  <si>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</si>
  <si>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</si>
  <si>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</si>
  <si>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</si>
  <si>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</si>
  <si>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</si>
  <si>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</si>
  <si>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</si>
  <si>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</si>
  <si>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</si>
  <si>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</si>
  <si>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</si>
  <si>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</si>
  <si>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</si>
  <si>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</si>
  <si>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</si>
  <si>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</si>
  <si>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</si>
  <si>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</si>
  <si>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</si>
  <si>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</si>
  <si>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</si>
  <si>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</si>
  <si>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</si>
  <si>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</si>
  <si>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</si>
  <si>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</si>
  <si>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</si>
  <si>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</si>
  <si>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</si>
  <si>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</si>
  <si>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</si>
  <si>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</si>
  <si>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</si>
  <si>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</si>
  <si>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</si>
  <si>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</si>
  <si>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</si>
  <si>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</si>
  <si>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</si>
  <si>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</si>
  <si>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</si>
  <si>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</si>
  <si>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</si>
  <si>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</si>
  <si>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</si>
  <si>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</si>
  <si>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</si>
  <si>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</si>
  <si>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</si>
  <si>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</si>
  <si>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</si>
  <si>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</si>
  <si>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</si>
  <si>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</si>
  <si>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</si>
  <si>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</si>
  <si>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</si>
  <si>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</si>
  <si>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</si>
  <si>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</si>
  <si>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</si>
  <si>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</si>
  <si>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</si>
  <si>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</si>
  <si>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</si>
  <si>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</si>
  <si>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</si>
  <si>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</si>
  <si>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</si>
  <si>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</si>
  <si>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</si>
  <si>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</si>
  <si>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</si>
  <si>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</si>
  <si>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</si>
  <si>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</si>
  <si>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</si>
  <si>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</si>
  <si>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</si>
  <si>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</si>
  <si>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</si>
  <si>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</si>
  <si>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</si>
  <si>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</si>
  <si>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</si>
  <si>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</si>
  <si>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</si>
  <si>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</si>
  <si>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</si>
  <si>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</si>
  <si>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</si>
  <si>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</si>
  <si>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</si>
  <si>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</si>
  <si>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</si>
  <si>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</si>
  <si>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</si>
  <si>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</si>
  <si>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</si>
  <si>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</si>
  <si>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</si>
  <si>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</si>
  <si>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</si>
  <si>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</si>
  <si>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</si>
  <si>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</si>
  <si>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</si>
  <si>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</si>
  <si>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</si>
  <si>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</si>
  <si>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</si>
  <si>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</si>
  <si>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</si>
  <si>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</si>
  <si>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</si>
  <si>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</si>
  <si>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</si>
  <si>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</si>
  <si>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</si>
  <si>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</si>
  <si>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</si>
  <si>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</si>
  <si>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</si>
  <si>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</si>
  <si>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</si>
  <si>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Lilly</t>
  </si>
  <si>
    <t>Jake</t>
  </si>
  <si>
    <t>Jackson</t>
  </si>
  <si>
    <t>Allison</t>
  </si>
  <si>
    <t>Rico</t>
  </si>
  <si>
    <t xml:space="preserve">Billy </t>
  </si>
  <si>
    <t>Tracey</t>
  </si>
  <si>
    <t xml:space="preserve">Tracey </t>
  </si>
  <si>
    <t>Hannah</t>
  </si>
  <si>
    <t xml:space="preserve">Lilly </t>
  </si>
  <si>
    <t>Interaction</t>
  </si>
  <si>
    <t>Frequency</t>
  </si>
  <si>
    <t>Talk</t>
  </si>
  <si>
    <t>Argument</t>
  </si>
  <si>
    <t>Kiss</t>
  </si>
  <si>
    <t>Hold hands</t>
  </si>
  <si>
    <t>Eating</t>
  </si>
  <si>
    <t>Hug</t>
  </si>
  <si>
    <t>Braid hair</t>
  </si>
  <si>
    <t>Run</t>
  </si>
  <si>
    <t xml:space="preserve">Argument </t>
  </si>
  <si>
    <t>Jumps</t>
  </si>
  <si>
    <t>Billy</t>
  </si>
  <si>
    <t>Graph Type</t>
  </si>
  <si>
    <t>Modularity</t>
  </si>
  <si>
    <t>NodeXL Version</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</si>
  <si>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</si>
  <si>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</si>
  <si>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</si>
  <si>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</si>
  <si>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</si>
  <si>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</si>
  <si>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</si>
  <si>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</si>
  <si>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</si>
  <si>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</si>
  <si>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</si>
  <si>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</si>
  <si>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</si>
  <si>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</si>
  <si>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</si>
  <si>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</si>
  <si>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</si>
  <si>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</si>
  <si>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</si>
  <si>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</si>
  <si>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</si>
  <si>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</si>
  <si>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</si>
  <si>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</si>
  <si>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</si>
  <si>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</si>
  <si>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</si>
  <si>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</si>
  <si>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</si>
  <si>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</si>
  <si>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</si>
  <si>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</si>
  <si>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</si>
  <si>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</si>
  <si>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Autofill Workbook Results</t>
  </si>
  <si>
    <t>Workbook Settings 2</t>
  </si>
  <si>
    <t>G1</t>
  </si>
  <si>
    <t>G2</t>
  </si>
  <si>
    <t>0, 12, 96</t>
  </si>
  <si>
    <t>0, 136, 227</t>
  </si>
  <si>
    <t>Vertex Group</t>
  </si>
  <si>
    <t>Vertex 1 Group</t>
  </si>
  <si>
    <t>Vertex 2 Group</t>
  </si>
  <si>
    <t>Directed</t>
  </si>
  <si>
    <t>Group 1</t>
  </si>
  <si>
    <t>Group 2</t>
  </si>
  <si>
    <t>Edges</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</si>
  <si>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</si>
  <si>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</si>
  <si>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</si>
  <si>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</si>
  <si>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</si>
  <si>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</si>
  <si>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</si>
  <si>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</si>
  <si>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</si>
  <si>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</si>
  <si>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</si>
  <si>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</si>
  <si>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</si>
  <si>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</si>
  <si>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</si>
  <si>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</si>
  <si>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</si>
  <si>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</si>
  <si>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Kids</t>
  </si>
  <si>
    <t>Tackle</t>
  </si>
  <si>
    <t>Talk on phone</t>
  </si>
  <si>
    <t>LayoutAlgorithm░The graph was laid out using the Fruchterman-Reingold layout algorithm.▓GraphDirectedness░The graph is directed.▓GroupingDescription░The graph's vertices were grouped by cluster using the Wakita-Tsurumi cluster algorithm.</t>
  </si>
  <si>
    <t>4</t>
  </si>
  <si>
    <t>3</t>
  </si>
  <si>
    <t>2</t>
  </si>
  <si>
    <t>Wedding Prank</t>
  </si>
  <si>
    <t>Summer Camp</t>
  </si>
  <si>
    <t>Workbook Settings 3</t>
  </si>
  <si>
    <t>Pink</t>
  </si>
  <si>
    <t xml:space="preserve">Jackson </t>
  </si>
  <si>
    <t>181, 237, 240</t>
  </si>
  <si>
    <t>243, 238, 177</t>
  </si>
  <si>
    <t>193, 245, 175</t>
  </si>
  <si>
    <t>189, 183, 249</t>
  </si>
  <si>
    <t>▓0▓0▓0▓True▓Black▓Black▓▓Frequency▓1▓5▓2▓1▓5▓False▓▓0▓0▓0▓0▓0▓False▓▓0▓0▓0▓True▓Black▓Black▓▓Clustering Coefficient▓0.166666666666667▓0.666666666666667▓3▓20▓45▓True▓Eigenvector Centrality▓0.060701▓0.170713▓3▓65▓100▓True▓▓0▓0▓0▓0▓0▓False▓▓0▓0▓0▓0▓0▓False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</si>
  <si>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&lt;value&gt;0.75&lt;/value&gt;
      &lt;/setting&gt;
    &lt;/GraphZoomAndScaleUserSettings&gt;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TopLeft 2147483647 2147483647 Black True 200 Black 86 TopRight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
  </si>
  <si>
    <t>tting&gt;
    &lt;/GeneralUserSettings4&gt;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&lt;value&gt;Clustering Coefficient&lt;/value&gt;
      &lt;/setting&gt;
      &lt;setting name="VertexRadiusDetails" serializeAs="String"&gt;
        &lt;value&gt;False False 0 0 20 45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&lt;value&gt;Eigenvector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t>
  </si>
  <si>
    <t>VertexAlphaDetails" serializeAs="String"&gt;
        &lt;value&gt;False False 0 0 65 100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name="VertexXSourceColumnName" serializeAs="String"&gt;
        &lt;value /&gt;
      &lt;/setting&gt;
      &lt;setting name="EdgeColorDetails" serializeAs="String"&gt;
        &lt;value&gt;False False 0 10 241, 137, 4 46, 7, 195 False False True&lt;/value&gt;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</si>
</sst>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00"/>
    <numFmt numFmtId="178" formatCode="0"/>
    <numFmt numFmtId="179" formatCode="General"/>
    <numFmt numFmtId="180" formatCode="@"/>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7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wrapText="1"/>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3" borderId="1" xfId="23" applyNumberFormat="1" applyFont="1" applyAlignment="1">
      <alignment wrapText="1"/>
    </xf>
    <xf numFmtId="49" fontId="0" fillId="0" borderId="0" xfId="22" applyNumberFormat="1" applyFont="1" applyBorder="1" applyAlignment="1">
      <alignment wrapText="1"/>
    </xf>
    <xf numFmtId="0" fontId="0" fillId="0" borderId="0" xfId="0" applyAlignment="1">
      <alignment wrapText="1"/>
    </xf>
    <xf numFmtId="49" fontId="0" fillId="0" borderId="0" xfId="22" applyNumberFormat="1" applyFont="1" applyAlignment="1">
      <alignment wrapText="1"/>
    </xf>
    <xf numFmtId="49" fontId="0" fillId="0" borderId="0" xfId="22" applyNumberFormat="1" applyFont="1" applyBorder="1" applyAlignment="1">
      <alignment wrapText="1"/>
    </xf>
    <xf numFmtId="0" fontId="0" fillId="0" borderId="0" xfId="21" applyNumberFormat="1" applyFont="1" applyAlignment="1">
      <alignment wrapText="1"/>
    </xf>
    <xf numFmtId="0" fontId="0" fillId="0" borderId="0" xfId="21" applyNumberFormat="1" applyFont="1" applyBorder="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22" applyNumberFormat="1" applyFont="1" applyBorder="1" applyAlignment="1">
      <alignment/>
    </xf>
    <xf numFmtId="0" fontId="0" fillId="3" borderId="1" xfId="23" applyNumberFormat="1" applyFont="1" applyAlignment="1">
      <alignment/>
    </xf>
    <xf numFmtId="166" fontId="0" fillId="6" borderId="1" xfId="26" applyNumberFormat="1" applyFont="1" applyBorder="1"/>
    <xf numFmtId="0" fontId="0" fillId="0" borderId="7" xfId="21" applyNumberFormat="1" applyFont="1" applyBorder="1"/>
    <xf numFmtId="0" fontId="0" fillId="0" borderId="0" xfId="0" applyAlignment="1" quotePrefix="1">
      <alignment wrapText="1"/>
    </xf>
    <xf numFmtId="0" fontId="0" fillId="3" borderId="11" xfId="23" applyNumberFormat="1" applyFont="1" applyBorder="1"/>
    <xf numFmtId="0" fontId="0" fillId="2" borderId="11" xfId="20" applyNumberFormat="1" applyFont="1" applyBorder="1"/>
    <xf numFmtId="2" fontId="0" fillId="0" borderId="0" xfId="0" applyNumberFormat="1" applyAlignment="1">
      <alignment wrapText="1"/>
    </xf>
    <xf numFmtId="2" fontId="0" fillId="0" borderId="0" xfId="0" applyNumberFormat="1" applyBorder="1" applyAlignment="1">
      <alignment wrapText="1"/>
    </xf>
    <xf numFmtId="0" fontId="0" fillId="0" borderId="0" xfId="22" applyFont="1" applyAlignment="1">
      <alignment/>
    </xf>
    <xf numFmtId="0" fontId="0" fillId="0" borderId="0" xfId="22" applyFont="1" applyAlignment="1">
      <alignment wrapText="1"/>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0" fontId="0" fillId="2" borderId="1" xfId="20" applyNumberFormat="1" applyFont="1" applyBorder="1"/>
    <xf numFmtId="49" fontId="0" fillId="0" borderId="7" xfId="22" applyNumberFormat="1" applyFont="1" applyBorder="1" applyAlignment="1">
      <alignment/>
    </xf>
    <xf numFmtId="1" fontId="0" fillId="4" borderId="11" xfId="24" applyNumberFormat="1" applyFont="1" applyBorder="1" applyAlignment="1">
      <alignment/>
    </xf>
    <xf numFmtId="1" fontId="0" fillId="4" borderId="11" xfId="24" applyNumberFormat="1" applyBorder="1" applyAlignment="1">
      <alignment/>
    </xf>
    <xf numFmtId="1" fontId="0" fillId="4" borderId="1" xfId="24" applyNumberFormat="1" applyBorder="1" applyAlignment="1">
      <alignment/>
    </xf>
    <xf numFmtId="0" fontId="0" fillId="4" borderId="1" xfId="24" applyNumberFormat="1" applyFont="1" applyAlignment="1">
      <alignment/>
    </xf>
    <xf numFmtId="0" fontId="0" fillId="0" borderId="0" xfId="0" applyFill="1" applyBorder="1" applyAlignment="1">
      <alignment/>
    </xf>
    <xf numFmtId="0" fontId="0" fillId="0" borderId="2" xfId="0" applyFill="1" applyBorder="1" applyAlignment="1">
      <alignment/>
    </xf>
    <xf numFmtId="167" fontId="0" fillId="4" borderId="11" xfId="24" applyNumberFormat="1" applyBorder="1" applyAlignment="1">
      <alignment/>
    </xf>
    <xf numFmtId="2"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90">
    <dxf>
      <numFmt numFmtId="177" formatCode="0.00"/>
      <alignment horizontal="general" vertical="bottom" textRotation="0" wrapText="1" shrinkToFit="1" readingOrder="0"/>
    </dxf>
    <dxf>
      <numFmt numFmtId="177" formatCode="0.00"/>
      <alignment horizontal="general" vertical="bottom" textRotation="0" wrapText="1" shrinkToFit="1" readingOrder="0"/>
    </dxf>
    <dxf>
      <numFmt numFmtId="177" formatCode="0.00"/>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1" formatCode="#,##0.00"/>
    </dxf>
    <dxf>
      <numFmt numFmtId="180" formatCode="@"/>
    </dxf>
    <dxf>
      <numFmt numFmtId="180" formatCode="@"/>
    </dxf>
    <dxf>
      <font>
        <b val="0"/>
        <i val="0"/>
        <u val="none"/>
        <strike val="0"/>
        <sz val="11"/>
        <name val="Calibri"/>
        <color theme="1"/>
        <condense val="0"/>
        <extend val="0"/>
      </font>
      <numFmt numFmtId="179" formatCode="General"/>
    </dxf>
    <dxf>
      <numFmt numFmtId="180" formatCode="@"/>
    </dxf>
    <dxf>
      <alignment horizontal="general" vertical="bottom" textRotation="0" wrapText="1" shrinkToFit="1" readingOrder="0"/>
    </dxf>
    <dxf>
      <numFmt numFmtId="179" formatCode="General"/>
    </dxf>
    <dxf>
      <numFmt numFmtId="179" formatCode="General"/>
    </dxf>
    <dxf>
      <numFmt numFmtId="166" formatCode="#,##0.000"/>
      <border>
        <right style="thin">
          <color theme="0"/>
        </right>
      </border>
    </dxf>
    <dxf>
      <numFmt numFmtId="166" formatCode="#,##0.000"/>
    </dxf>
    <dxf>
      <numFmt numFmtId="179" formatCode="General"/>
    </dxf>
    <dxf>
      <numFmt numFmtId="165" formatCode="#,##0.0"/>
    </dxf>
    <dxf>
      <numFmt numFmtId="165" formatCode="#,##0.0"/>
    </dxf>
    <dxf>
      <numFmt numFmtId="164" formatCode="0.0"/>
    </dxf>
    <dxf>
      <numFmt numFmtId="180" formatCode="@"/>
    </dxf>
    <dxf>
      <numFmt numFmtId="179" formatCode="General"/>
    </dxf>
    <dxf>
      <numFmt numFmtId="179" formatCode="General"/>
    </dxf>
    <dxf>
      <numFmt numFmtId="180" formatCode="@"/>
    </dxf>
    <dxf>
      <numFmt numFmtId="179" formatCode="General"/>
    </dxf>
    <dxf>
      <numFmt numFmtId="179" formatCode="General"/>
    </dxf>
    <dxf>
      <numFmt numFmtId="178" formatCode="0"/>
    </dxf>
    <dxf>
      <numFmt numFmtId="164" formatCode="0.0"/>
    </dxf>
    <dxf>
      <numFmt numFmtId="179" formatCode="General"/>
    </dxf>
    <dxf>
      <numFmt numFmtId="179" formatCode="General"/>
    </dxf>
    <dxf>
      <numFmt numFmtId="180" formatCode="@"/>
    </dxf>
    <dxf>
      <numFmt numFmtId="180" formatCode="@"/>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89"/>
      <tableStyleElement type="headerRow" dxfId="188"/>
    </tableStyle>
    <tableStyle name="NodeXL Table" pivot="0" count="1">
      <tableStyleElement type="headerRow" dxfId="18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728163"/>
        <c:axId val="53118012"/>
      </c:barChart>
      <c:catAx>
        <c:axId val="357281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18012"/>
        <c:crosses val="autoZero"/>
        <c:auto val="1"/>
        <c:lblOffset val="100"/>
        <c:noMultiLvlLbl val="0"/>
      </c:catAx>
      <c:valAx>
        <c:axId val="5311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00061"/>
        <c:axId val="7591686"/>
      </c:barChart>
      <c:catAx>
        <c:axId val="8300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91686"/>
        <c:crosses val="autoZero"/>
        <c:auto val="1"/>
        <c:lblOffset val="100"/>
        <c:noMultiLvlLbl val="0"/>
      </c:catAx>
      <c:valAx>
        <c:axId val="759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16311"/>
        <c:axId val="10946800"/>
      </c:barChart>
      <c:catAx>
        <c:axId val="12163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46800"/>
        <c:crosses val="autoZero"/>
        <c:auto val="1"/>
        <c:lblOffset val="100"/>
        <c:noMultiLvlLbl val="0"/>
      </c:catAx>
      <c:valAx>
        <c:axId val="10946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412337"/>
        <c:axId val="14275578"/>
      </c:barChart>
      <c:catAx>
        <c:axId val="31412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75578"/>
        <c:crosses val="autoZero"/>
        <c:auto val="1"/>
        <c:lblOffset val="100"/>
        <c:noMultiLvlLbl val="0"/>
      </c:catAx>
      <c:valAx>
        <c:axId val="1427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1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371339"/>
        <c:axId val="15471140"/>
      </c:barChart>
      <c:catAx>
        <c:axId val="61371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71140"/>
        <c:crosses val="autoZero"/>
        <c:auto val="1"/>
        <c:lblOffset val="100"/>
        <c:noMultiLvlLbl val="0"/>
      </c:catAx>
      <c:valAx>
        <c:axId val="154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22533"/>
        <c:axId val="45202798"/>
      </c:barChart>
      <c:catAx>
        <c:axId val="5022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02798"/>
        <c:crosses val="autoZero"/>
        <c:auto val="1"/>
        <c:lblOffset val="100"/>
        <c:noMultiLvlLbl val="0"/>
      </c:catAx>
      <c:valAx>
        <c:axId val="4520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71999"/>
        <c:axId val="37547992"/>
      </c:barChart>
      <c:catAx>
        <c:axId val="4171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47992"/>
        <c:crosses val="autoZero"/>
        <c:auto val="1"/>
        <c:lblOffset val="100"/>
        <c:noMultiLvlLbl val="0"/>
      </c:catAx>
      <c:valAx>
        <c:axId val="3754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87609"/>
        <c:axId val="21488482"/>
      </c:barChart>
      <c:catAx>
        <c:axId val="2387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88482"/>
        <c:crosses val="autoZero"/>
        <c:auto val="1"/>
        <c:lblOffset val="100"/>
        <c:noMultiLvlLbl val="0"/>
      </c:catAx>
      <c:valAx>
        <c:axId val="21488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178611"/>
        <c:axId val="62845452"/>
      </c:barChart>
      <c:catAx>
        <c:axId val="59178611"/>
        <c:scaling>
          <c:orientation val="minMax"/>
        </c:scaling>
        <c:axPos val="b"/>
        <c:delete val="1"/>
        <c:majorTickMark val="out"/>
        <c:minorTickMark val="none"/>
        <c:tickLblPos val="none"/>
        <c:crossAx val="62845452"/>
        <c:crosses val="autoZero"/>
        <c:auto val="1"/>
        <c:lblOffset val="100"/>
        <c:noMultiLvlLbl val="0"/>
      </c:catAx>
      <c:valAx>
        <c:axId val="62845452"/>
        <c:scaling>
          <c:orientation val="minMax"/>
        </c:scaling>
        <c:axPos val="l"/>
        <c:delete val="1"/>
        <c:majorTickMark val="out"/>
        <c:minorTickMark val="none"/>
        <c:tickLblPos val="none"/>
        <c:crossAx val="591786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5" totalsRowShown="0" headerRowDxfId="186" dataDxfId="185">
  <autoFilter ref="A2:Q25"/>
  <tableColumns count="17">
    <tableColumn id="1" name="Vertex 1" dataDxfId="184"/>
    <tableColumn id="2" name="Vertex 2" dataDxfId="183"/>
    <tableColumn id="3" name="Color" dataDxfId="182"/>
    <tableColumn id="4" name="Width" dataDxfId="181"/>
    <tableColumn id="11" name="Style" dataDxfId="180"/>
    <tableColumn id="5" name="Opacity" dataDxfId="179"/>
    <tableColumn id="6" name="Visibility" dataDxfId="178"/>
    <tableColumn id="10" name="Label" dataDxfId="177"/>
    <tableColumn id="12" name="Label Text Color" dataDxfId="176"/>
    <tableColumn id="13" name="Label Font Size" dataDxfId="175"/>
    <tableColumn id="14" name="Reciprocated?" dataDxfId="37"/>
    <tableColumn id="7" name="ID" dataDxfId="174"/>
    <tableColumn id="9" name="Dynamic Filter" dataDxfId="173"/>
    <tableColumn id="8" name="Interaction" dataDxfId="172"/>
    <tableColumn id="15" name="Frequency" dataDxfId="2"/>
    <tableColumn id="16" name="Vertex 1 Group" dataDxfId="0">
      <calculatedColumnFormula>REPLACE(INDEX(GroupVertices[Group], MATCH(Edges[[#This Row],[Vertex 1]],GroupVertices[Vertex],0)),1,1,"")</calculatedColumnFormula>
    </tableColumn>
    <tableColumn id="17"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118" dataDxfId="117">
  <autoFilter ref="A1:F2"/>
  <tableColumns count="6">
    <tableColumn id="1" name="Top URLs in Tweet in Entire Graph" dataDxfId="116"/>
    <tableColumn id="2" name="Entire Graph Count" dataDxfId="115"/>
    <tableColumn id="3" name="Top URLs in Tweet in G1" dataDxfId="114"/>
    <tableColumn id="4" name="G1 Count" dataDxfId="113"/>
    <tableColumn id="5" name="Top URLs in Tweet in G2" dataDxfId="112"/>
    <tableColumn id="6" name="G2 Count" dataDxfId="11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110" dataDxfId="109">
  <autoFilter ref="A4:F5"/>
  <tableColumns count="6">
    <tableColumn id="1" name="Top Domains in Tweet in Entire Graph" dataDxfId="108"/>
    <tableColumn id="2" name="Entire Graph Count" dataDxfId="107"/>
    <tableColumn id="3" name="Top Domains in Tweet in G1" dataDxfId="106"/>
    <tableColumn id="4" name="G1 Count" dataDxfId="105"/>
    <tableColumn id="5" name="Top Domains in Tweet in G2" dataDxfId="104"/>
    <tableColumn id="6" name="G2 Count" dataDxfId="1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8" totalsRowShown="0" headerRowDxfId="102" dataDxfId="101">
  <autoFilter ref="A7:F8"/>
  <tableColumns count="6">
    <tableColumn id="1" name="Top Hashtags in Tweet in Entire Graph" dataDxfId="100"/>
    <tableColumn id="2" name="Entire Graph Count" dataDxfId="99"/>
    <tableColumn id="3" name="Top Hashtags in Tweet in G1" dataDxfId="98"/>
    <tableColumn id="4" name="G1 Count" dataDxfId="97"/>
    <tableColumn id="5" name="Top Hashtags in Tweet in G2" dataDxfId="96"/>
    <tableColumn id="6" name="G2 Count" dataDxfId="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F15" totalsRowShown="0" headerRowDxfId="93" dataDxfId="92">
  <autoFilter ref="A10:F15"/>
  <tableColumns count="6">
    <tableColumn id="1" name="Top Words in Tweet in Entire Graph" dataDxfId="91"/>
    <tableColumn id="2" name="Entire Graph Count" dataDxfId="90"/>
    <tableColumn id="3" name="Top Words in Tweet in G1" dataDxfId="89"/>
    <tableColumn id="4" name="G1 Count" dataDxfId="88"/>
    <tableColumn id="5" name="Top Words in Tweet in G2" dataDxfId="87"/>
    <tableColumn id="6" name="G2 Count" dataDxfId="8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F19" totalsRowShown="0" headerRowDxfId="84" dataDxfId="83">
  <autoFilter ref="A18:F19"/>
  <tableColumns count="6">
    <tableColumn id="1" name="Top Word Pairs in Tweet in Entire Graph" dataDxfId="82"/>
    <tableColumn id="2" name="Entire Graph Count" dataDxfId="81"/>
    <tableColumn id="3" name="Top Word Pairs in Tweet in G1" dataDxfId="80"/>
    <tableColumn id="4" name="G1 Count" dataDxfId="79"/>
    <tableColumn id="5" name="Top Word Pairs in Tweet in G2" dataDxfId="78"/>
    <tableColumn id="6" name="G2 Count" dataDxfId="7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F22" totalsRowShown="0" headerRowDxfId="75" dataDxfId="74">
  <autoFilter ref="A21:F22"/>
  <tableColumns count="6">
    <tableColumn id="1" name="Top Replied-To in Entire Graph" dataDxfId="73"/>
    <tableColumn id="2" name="Entire Graph Count" dataDxfId="69"/>
    <tableColumn id="3" name="Top Replied-To in G1" dataDxfId="68"/>
    <tableColumn id="4" name="G1 Count" dataDxfId="65"/>
    <tableColumn id="5" name="Top Replied-To in G2" dataDxfId="64"/>
    <tableColumn id="6" name="G2 Count" dataDxfId="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F25" totalsRowShown="0" headerRowDxfId="72" dataDxfId="71">
  <autoFilter ref="A24:F25"/>
  <tableColumns count="6">
    <tableColumn id="1" name="Top Mentioned in Entire Graph" dataDxfId="70"/>
    <tableColumn id="2" name="Entire Graph Count" dataDxfId="67"/>
    <tableColumn id="3" name="Top Mentioned in G1" dataDxfId="66"/>
    <tableColumn id="4" name="G1 Count" dataDxfId="62"/>
    <tableColumn id="5" name="Top Mentioned in G2" dataDxfId="61"/>
    <tableColumn id="6" name="G2 Count" dataDxfId="6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F28" totalsRowShown="0" headerRowDxfId="57" dataDxfId="56">
  <autoFilter ref="A27:F28"/>
  <tableColumns count="6">
    <tableColumn id="1" name="Top Tweeters in Entire Graph" dataDxfId="55"/>
    <tableColumn id="2" name="Entire Graph Count" dataDxfId="54"/>
    <tableColumn id="3" name="Top Tweeters in G1" dataDxfId="53"/>
    <tableColumn id="4" name="G1 Count" dataDxfId="52"/>
    <tableColumn id="5" name="Top Tweeters in G2" dataDxfId="51"/>
    <tableColumn id="6" name="G2 Count" dataDxfId="50"/>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3" totalsRowShown="0" headerRowDxfId="125" dataDxfId="124">
  <autoFilter ref="A2:C3"/>
  <tableColumns count="3">
    <tableColumn id="1" name="Group 1" dataDxfId="123"/>
    <tableColumn id="2" name="Group 2" dataDxfId="122"/>
    <tableColumn id="3" name="Edges" dataDxfId="12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1" totalsRowShown="0" headerRowDxfId="171" dataDxfId="170">
  <autoFilter ref="A2:AN11"/>
  <sortState ref="A3:AN11">
    <sortCondition descending="1" sortBy="value" ref="E3:E11"/>
  </sortState>
  <tableColumns count="40">
    <tableColumn id="1" name="Vertex" dataDxfId="169"/>
    <tableColumn id="2" name="Color" dataDxfId="168"/>
    <tableColumn id="5" name="Shape" dataDxfId="167"/>
    <tableColumn id="6" name="Size" dataDxfId="166"/>
    <tableColumn id="4" name="Opacity" dataDxfId="165"/>
    <tableColumn id="7" name="Image File" dataDxfId="164"/>
    <tableColumn id="3" name="Visibility" dataDxfId="163"/>
    <tableColumn id="10" name="Label" dataDxfId="162"/>
    <tableColumn id="16" name="Label Fill Color" dataDxfId="161"/>
    <tableColumn id="9" name="Label Position" dataDxfId="160"/>
    <tableColumn id="8" name="Tooltip" dataDxfId="159"/>
    <tableColumn id="18" name="Layout Order" dataDxfId="158"/>
    <tableColumn id="13" name="X" dataDxfId="157"/>
    <tableColumn id="14" name="Y" dataDxfId="156"/>
    <tableColumn id="12" name="Locked?" dataDxfId="155"/>
    <tableColumn id="19" name="Polar R" dataDxfId="154"/>
    <tableColumn id="20" name="Polar Angle" dataDxfId="153"/>
    <tableColumn id="21" name="Degree" dataDxfId="20"/>
    <tableColumn id="22" name="In-Degree" dataDxfId="19"/>
    <tableColumn id="23" name="Out-Degree" dataDxfId="16"/>
    <tableColumn id="24" name="Betweenness Centrality" dataDxfId="15"/>
    <tableColumn id="25" name="Closeness Centrality" dataDxfId="14"/>
    <tableColumn id="26" name="Eigenvector Centrality" dataDxfId="12"/>
    <tableColumn id="15" name="PageRank" dataDxfId="13"/>
    <tableColumn id="27" name="Clustering Coefficient" dataDxfId="17"/>
    <tableColumn id="29" name="Reciprocated Vertex Pair Ratio" dataDxfId="18"/>
    <tableColumn id="11" name="ID" dataDxfId="152"/>
    <tableColumn id="28" name="Dynamic Filter" dataDxfId="151"/>
    <tableColumn id="17" name="Add Your Own Columns Here" dataDxfId="47"/>
    <tableColumn id="30" name="Top URLs in Tweet by Count" dataDxfId="46"/>
    <tableColumn id="31" name="Top URLs in Tweet by Salience" dataDxfId="45"/>
    <tableColumn id="32" name="Top Domains in Tweet by Count" dataDxfId="44"/>
    <tableColumn id="33" name="Top Domains in Tweet by Salience" dataDxfId="43"/>
    <tableColumn id="34" name="Top Hashtags in Tweet by Count" dataDxfId="42"/>
    <tableColumn id="35" name="Top Hashtags in Tweet by Salience" dataDxfId="41"/>
    <tableColumn id="36" name="Top Words in Tweet by Count" dataDxfId="40"/>
    <tableColumn id="37" name="Top Words in Tweet by Salience" dataDxfId="39"/>
    <tableColumn id="38" name="Top Word Pairs in Tweet by Count" dataDxfId="38"/>
    <tableColumn id="39" name="Top Word Pairs in Tweet by Salience" dataDxfId="4"/>
    <tableColumn id="40" name="Vertex Group" dataDxfId="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4" totalsRowShown="0" headerRowDxfId="150">
  <autoFilter ref="A2:AF4"/>
  <tableColumns count="32">
    <tableColumn id="1" name="Group" dataDxfId="11"/>
    <tableColumn id="2" name="Vertex Color" dataDxfId="10"/>
    <tableColumn id="3" name="Vertex Shape" dataDxfId="8"/>
    <tableColumn id="22" name="Visibility" dataDxfId="9"/>
    <tableColumn id="4" name="Collapsed?"/>
    <tableColumn id="18" name="Label" dataDxfId="149"/>
    <tableColumn id="20" name="Collapsed X"/>
    <tableColumn id="21" name="Collapsed Y"/>
    <tableColumn id="6" name="ID" dataDxfId="148"/>
    <tableColumn id="19" name="Collapsed Properties" dataDxfId="36"/>
    <tableColumn id="5" name="Vertices" dataDxfId="35"/>
    <tableColumn id="7" name="Unique Edges" dataDxfId="34"/>
    <tableColumn id="8" name="Edges With Duplicates" dataDxfId="33"/>
    <tableColumn id="9" name="Total Edges" dataDxfId="32"/>
    <tableColumn id="10" name="Self-Loops" dataDxfId="31"/>
    <tableColumn id="24" name="Reciprocated Vertex Pair Ratio" dataDxfId="30"/>
    <tableColumn id="25" name="Reciprocated Edge Ratio" dataDxfId="29"/>
    <tableColumn id="11" name="Connected Components" dataDxfId="28"/>
    <tableColumn id="12" name="Single-Vertex Connected Components" dataDxfId="27"/>
    <tableColumn id="13" name="Maximum Vertices in a Connected Component" dataDxfId="26"/>
    <tableColumn id="14" name="Maximum Edges in a Connected Component" dataDxfId="25"/>
    <tableColumn id="15" name="Maximum Geodesic Distance (Diameter)" dataDxfId="24"/>
    <tableColumn id="16" name="Average Geodesic Distance" dataDxfId="23"/>
    <tableColumn id="17" name="Graph Density" dataDxfId="21"/>
    <tableColumn id="23" name="Top URLs in Tweet" dataDxfId="22"/>
    <tableColumn id="26" name="Top Domains in Tweet" dataDxfId="94"/>
    <tableColumn id="27" name="Top Hashtags in Tweet" dataDxfId="85"/>
    <tableColumn id="28" name="Top Words in Tweet" dataDxfId="76"/>
    <tableColumn id="29" name="Top Word Pairs in Tweet" dataDxfId="59"/>
    <tableColumn id="30" name="Top Replied-To in Tweet" dataDxfId="58"/>
    <tableColumn id="31" name="Top Mentioned in Tweet" dataDxfId="49"/>
    <tableColumn id="32" name="Top Tweeters" dataDxfId="4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47" dataDxfId="146">
  <autoFilter ref="A1:C10"/>
  <tableColumns count="3">
    <tableColumn id="1" name="Group" dataDxfId="7"/>
    <tableColumn id="2" name="Vertex" dataDxfId="6"/>
    <tableColumn id="3" name="Vertex ID" dataDxfId="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0"/>
    <tableColumn id="2" name="Value" dataDxfId="11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5"/>
    <tableColumn id="2" name="Degree Frequency" dataDxfId="144">
      <calculatedColumnFormula>COUNTIF(Vertices[Degree], "&gt;= " &amp; D2) - COUNTIF(Vertices[Degree], "&gt;=" &amp; D3)</calculatedColumnFormula>
    </tableColumn>
    <tableColumn id="3" name="In-Degree Bin" dataDxfId="143"/>
    <tableColumn id="4" name="In-Degree Frequency" dataDxfId="142">
      <calculatedColumnFormula>COUNTIF(Vertices[In-Degree], "&gt;= " &amp; F2) - COUNTIF(Vertices[In-Degree], "&gt;=" &amp; F3)</calculatedColumnFormula>
    </tableColumn>
    <tableColumn id="5" name="Out-Degree Bin" dataDxfId="141"/>
    <tableColumn id="6" name="Out-Degree Frequency" dataDxfId="140">
      <calculatedColumnFormula>COUNTIF(Vertices[Out-Degree], "&gt;= " &amp; H2) - COUNTIF(Vertices[Out-Degree], "&gt;=" &amp; H3)</calculatedColumnFormula>
    </tableColumn>
    <tableColumn id="7" name="Betweenness Centrality Bin" dataDxfId="139"/>
    <tableColumn id="8" name="Betweenness Centrality Frequency" dataDxfId="138">
      <calculatedColumnFormula>COUNTIF(Vertices[Betweenness Centrality], "&gt;= " &amp; J2) - COUNTIF(Vertices[Betweenness Centrality], "&gt;=" &amp; J3)</calculatedColumnFormula>
    </tableColumn>
    <tableColumn id="9" name="Closeness Centrality Bin" dataDxfId="137"/>
    <tableColumn id="10" name="Closeness Centrality Frequency" dataDxfId="136">
      <calculatedColumnFormula>COUNTIF(Vertices[Closeness Centrality], "&gt;= " &amp; L2) - COUNTIF(Vertices[Closeness Centrality], "&gt;=" &amp; L3)</calculatedColumnFormula>
    </tableColumn>
    <tableColumn id="11" name="Eigenvector Centrality Bin" dataDxfId="135"/>
    <tableColumn id="12" name="Eigenvector Centrality Frequency" dataDxfId="134">
      <calculatedColumnFormula>COUNTIF(Vertices[Eigenvector Centrality], "&gt;= " &amp; N2) - COUNTIF(Vertices[Eigenvector Centrality], "&gt;=" &amp; N3)</calculatedColumnFormula>
    </tableColumn>
    <tableColumn id="18" name="PageRank Bin" dataDxfId="133"/>
    <tableColumn id="17" name="PageRank Frequency" dataDxfId="132">
      <calculatedColumnFormula>COUNTIF(Vertices[Eigenvector Centrality], "&gt;= " &amp; P2) - COUNTIF(Vertices[Eigenvector Centrality], "&gt;=" &amp; P3)</calculatedColumnFormula>
    </tableColumn>
    <tableColumn id="13" name="Clustering Coefficient Bin" dataDxfId="131"/>
    <tableColumn id="14" name="Clustering Coefficient Frequency" dataDxfId="130">
      <calculatedColumnFormula>COUNTIF(Vertices[Clustering Coefficient], "&gt;= " &amp; R2) - COUNTIF(Vertices[Clustering Coefficient], "&gt;=" &amp; R3)</calculatedColumnFormula>
    </tableColumn>
    <tableColumn id="15" name="Dynamic Filter Bin" dataDxfId="129"/>
    <tableColumn id="16" name="Dynamic Filter Frequency" dataDxfId="12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2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118" zoomScaleNormal="118" workbookViewId="0" topLeftCell="A1">
      <pane xSplit="2" ySplit="2" topLeftCell="C3" activePane="bottomRight" state="frozen"/>
      <selection pane="topRight" activeCell="C1" sqref="C1"/>
      <selection pane="bottomLeft" activeCell="A3" sqref="A3"/>
      <selection pane="bottomRight" activeCell="K1" sqref="K1"/>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6" max="17" width="10.7109375" style="0" bestFit="1" customWidth="1"/>
  </cols>
  <sheetData>
    <row r="1" spans="3:14" ht="15">
      <c r="C1" s="16" t="s">
        <v>39</v>
      </c>
      <c r="D1" s="17"/>
      <c r="E1" s="17"/>
      <c r="F1" s="17"/>
      <c r="G1" s="16"/>
      <c r="H1" s="14" t="s">
        <v>43</v>
      </c>
      <c r="I1" s="53"/>
      <c r="J1" s="53"/>
      <c r="K1" s="33" t="s">
        <v>42</v>
      </c>
      <c r="L1" s="18" t="s">
        <v>40</v>
      </c>
      <c r="M1" s="18"/>
      <c r="N1" s="15" t="s">
        <v>41</v>
      </c>
    </row>
    <row r="2" spans="1:17" ht="30" customHeight="1">
      <c r="A2" s="11" t="s">
        <v>0</v>
      </c>
      <c r="B2" s="11" t="s">
        <v>1</v>
      </c>
      <c r="C2" s="13" t="s">
        <v>2</v>
      </c>
      <c r="D2" s="13" t="s">
        <v>3</v>
      </c>
      <c r="E2" s="13" t="s">
        <v>130</v>
      </c>
      <c r="F2" s="13" t="s">
        <v>4</v>
      </c>
      <c r="G2" s="13" t="s">
        <v>11</v>
      </c>
      <c r="H2" s="11" t="s">
        <v>46</v>
      </c>
      <c r="I2" s="13" t="s">
        <v>160</v>
      </c>
      <c r="J2" s="13" t="s">
        <v>161</v>
      </c>
      <c r="K2" s="84" t="s">
        <v>165</v>
      </c>
      <c r="L2" s="13" t="s">
        <v>12</v>
      </c>
      <c r="M2" s="13" t="s">
        <v>38</v>
      </c>
      <c r="N2" s="13" t="s">
        <v>185</v>
      </c>
      <c r="O2" s="78" t="s">
        <v>186</v>
      </c>
      <c r="P2" s="84" t="s">
        <v>242</v>
      </c>
      <c r="Q2" s="84" t="s">
        <v>243</v>
      </c>
    </row>
    <row r="3" spans="1:17" ht="15" customHeight="1">
      <c r="A3" s="70" t="s">
        <v>175</v>
      </c>
      <c r="B3" s="79" t="s">
        <v>183</v>
      </c>
      <c r="C3" s="47" t="s">
        <v>278</v>
      </c>
      <c r="D3" s="48">
        <v>4</v>
      </c>
      <c r="E3" s="54" t="s">
        <v>133</v>
      </c>
      <c r="F3" s="49"/>
      <c r="G3" s="47"/>
      <c r="H3" s="51"/>
      <c r="I3" s="50"/>
      <c r="J3" s="50"/>
      <c r="K3" s="170" t="s">
        <v>66</v>
      </c>
      <c r="L3" s="52">
        <v>3</v>
      </c>
      <c r="M3" s="52"/>
      <c r="N3" s="81" t="s">
        <v>187</v>
      </c>
      <c r="O3" s="153">
        <v>4</v>
      </c>
      <c r="P3" s="174" t="str">
        <f>REPLACE(INDEX(GroupVertices[Group],MATCH(Edges[[#This Row],[Vertex 1]],GroupVertices[Vertex],0)),1,1,"")</f>
        <v>1</v>
      </c>
      <c r="Q3" s="174" t="str">
        <f>REPLACE(INDEX(GroupVertices[Group],MATCH(Edges[[#This Row],[Vertex 2]],GroupVertices[Vertex],0)),1,1,"")</f>
        <v>1</v>
      </c>
    </row>
    <row r="4" spans="1:17" ht="15" customHeight="1">
      <c r="A4" s="77" t="s">
        <v>176</v>
      </c>
      <c r="B4" s="80" t="s">
        <v>183</v>
      </c>
      <c r="C4" s="71" t="s">
        <v>276</v>
      </c>
      <c r="D4" s="72">
        <v>3</v>
      </c>
      <c r="E4" s="76" t="s">
        <v>134</v>
      </c>
      <c r="F4" s="73"/>
      <c r="G4" s="71"/>
      <c r="H4" s="75"/>
      <c r="I4" s="74"/>
      <c r="J4" s="74"/>
      <c r="K4" s="170" t="s">
        <v>66</v>
      </c>
      <c r="L4" s="69">
        <v>4</v>
      </c>
      <c r="M4" s="69"/>
      <c r="N4" s="82" t="s">
        <v>188</v>
      </c>
      <c r="O4" s="153">
        <v>3</v>
      </c>
      <c r="P4" s="174" t="str">
        <f>REPLACE(INDEX(GroupVertices[Group],MATCH(Edges[[#This Row],[Vertex 1]],GroupVertices[Vertex],0)),1,1,"")</f>
        <v>1</v>
      </c>
      <c r="Q4" s="174" t="str">
        <f>REPLACE(INDEX(GroupVertices[Group],MATCH(Edges[[#This Row],[Vertex 2]],GroupVertices[Vertex],0)),1,1,"")</f>
        <v>1</v>
      </c>
    </row>
    <row r="5" spans="1:17" ht="45">
      <c r="A5" s="77" t="s">
        <v>176</v>
      </c>
      <c r="B5" s="80" t="s">
        <v>183</v>
      </c>
      <c r="C5" s="71" t="s">
        <v>281</v>
      </c>
      <c r="D5" s="72">
        <v>1</v>
      </c>
      <c r="E5" s="76" t="s">
        <v>136</v>
      </c>
      <c r="F5" s="73"/>
      <c r="G5" s="71"/>
      <c r="H5" s="75"/>
      <c r="I5" s="74"/>
      <c r="J5" s="74"/>
      <c r="K5" s="170" t="s">
        <v>66</v>
      </c>
      <c r="L5" s="69">
        <v>5</v>
      </c>
      <c r="M5" s="69"/>
      <c r="N5" s="82" t="s">
        <v>189</v>
      </c>
      <c r="O5" s="153">
        <v>1</v>
      </c>
      <c r="P5" s="174" t="str">
        <f>REPLACE(INDEX(GroupVertices[Group],MATCH(Edges[[#This Row],[Vertex 1]],GroupVertices[Vertex],0)),1,1,"")</f>
        <v>1</v>
      </c>
      <c r="Q5" s="174" t="str">
        <f>REPLACE(INDEX(GroupVertices[Group],MATCH(Edges[[#This Row],[Vertex 2]],GroupVertices[Vertex],0)),1,1,"")</f>
        <v>1</v>
      </c>
    </row>
    <row r="6" spans="1:17" ht="45">
      <c r="A6" s="77" t="s">
        <v>177</v>
      </c>
      <c r="B6" s="80" t="s">
        <v>178</v>
      </c>
      <c r="C6" s="71" t="s">
        <v>281</v>
      </c>
      <c r="D6" s="72">
        <v>1</v>
      </c>
      <c r="E6" s="76" t="s">
        <v>136</v>
      </c>
      <c r="F6" s="73"/>
      <c r="G6" s="71"/>
      <c r="H6" s="75"/>
      <c r="I6" s="74"/>
      <c r="J6" s="74"/>
      <c r="K6" s="170" t="s">
        <v>66</v>
      </c>
      <c r="L6" s="69">
        <v>6</v>
      </c>
      <c r="M6" s="69"/>
      <c r="N6" s="82" t="s">
        <v>189</v>
      </c>
      <c r="O6" s="153">
        <v>1</v>
      </c>
      <c r="P6" s="174" t="str">
        <f>REPLACE(INDEX(GroupVertices[Group],MATCH(Edges[[#This Row],[Vertex 1]],GroupVertices[Vertex],0)),1,1,"")</f>
        <v>2</v>
      </c>
      <c r="Q6" s="174" t="str">
        <f>REPLACE(INDEX(GroupVertices[Group],MATCH(Edges[[#This Row],[Vertex 2]],GroupVertices[Vertex],0)),1,1,"")</f>
        <v>2</v>
      </c>
    </row>
    <row r="7" spans="1:17" ht="45">
      <c r="A7" s="77" t="s">
        <v>177</v>
      </c>
      <c r="B7" s="80" t="s">
        <v>178</v>
      </c>
      <c r="C7" s="71" t="s">
        <v>280</v>
      </c>
      <c r="D7" s="72">
        <v>1</v>
      </c>
      <c r="E7" s="76"/>
      <c r="F7" s="73"/>
      <c r="G7" s="71"/>
      <c r="H7" s="75"/>
      <c r="I7" s="74"/>
      <c r="J7" s="74"/>
      <c r="K7" s="170" t="s">
        <v>66</v>
      </c>
      <c r="L7" s="69">
        <v>7</v>
      </c>
      <c r="M7" s="69"/>
      <c r="N7" s="82" t="s">
        <v>190</v>
      </c>
      <c r="O7" s="153">
        <v>1</v>
      </c>
      <c r="P7" s="174" t="str">
        <f>REPLACE(INDEX(GroupVertices[Group],MATCH(Edges[[#This Row],[Vertex 1]],GroupVertices[Vertex],0)),1,1,"")</f>
        <v>2</v>
      </c>
      <c r="Q7" s="174" t="str">
        <f>REPLACE(INDEX(GroupVertices[Group],MATCH(Edges[[#This Row],[Vertex 2]],GroupVertices[Vertex],0)),1,1,"")</f>
        <v>2</v>
      </c>
    </row>
    <row r="8" spans="1:17" ht="15">
      <c r="A8" s="77" t="s">
        <v>177</v>
      </c>
      <c r="B8" s="80" t="s">
        <v>178</v>
      </c>
      <c r="C8" s="71"/>
      <c r="D8" s="72">
        <v>2</v>
      </c>
      <c r="E8" s="76"/>
      <c r="F8" s="73"/>
      <c r="G8" s="71"/>
      <c r="H8" s="75"/>
      <c r="I8" s="74"/>
      <c r="J8" s="74"/>
      <c r="K8" s="170" t="s">
        <v>66</v>
      </c>
      <c r="L8" s="69">
        <v>8</v>
      </c>
      <c r="M8" s="69"/>
      <c r="N8" s="82" t="s">
        <v>191</v>
      </c>
      <c r="O8" s="153">
        <v>2</v>
      </c>
      <c r="P8" s="174" t="str">
        <f>REPLACE(INDEX(GroupVertices[Group],MATCH(Edges[[#This Row],[Vertex 1]],GroupVertices[Vertex],0)),1,1,"")</f>
        <v>2</v>
      </c>
      <c r="Q8" s="174" t="str">
        <f>REPLACE(INDEX(GroupVertices[Group],MATCH(Edges[[#This Row],[Vertex 2]],GroupVertices[Vertex],0)),1,1,"")</f>
        <v>2</v>
      </c>
    </row>
    <row r="9" spans="1:17" ht="15">
      <c r="A9" s="77" t="s">
        <v>178</v>
      </c>
      <c r="B9" s="80" t="s">
        <v>179</v>
      </c>
      <c r="C9" s="71"/>
      <c r="D9" s="72">
        <v>1</v>
      </c>
      <c r="E9" s="76"/>
      <c r="F9" s="73"/>
      <c r="G9" s="71"/>
      <c r="H9" s="75"/>
      <c r="I9" s="74"/>
      <c r="J9" s="74"/>
      <c r="K9" s="170" t="s">
        <v>66</v>
      </c>
      <c r="L9" s="69">
        <v>9</v>
      </c>
      <c r="M9" s="69"/>
      <c r="N9" s="82" t="s">
        <v>192</v>
      </c>
      <c r="O9" s="153">
        <v>1</v>
      </c>
      <c r="P9" s="174" t="str">
        <f>REPLACE(INDEX(GroupVertices[Group],MATCH(Edges[[#This Row],[Vertex 1]],GroupVertices[Vertex],0)),1,1,"")</f>
        <v>2</v>
      </c>
      <c r="Q9" s="174" t="str">
        <f>REPLACE(INDEX(GroupVertices[Group],MATCH(Edges[[#This Row],[Vertex 2]],GroupVertices[Vertex],0)),1,1,"")</f>
        <v>2</v>
      </c>
    </row>
    <row r="10" spans="1:17" ht="15">
      <c r="A10" s="77" t="s">
        <v>178</v>
      </c>
      <c r="B10" s="80" t="s">
        <v>179</v>
      </c>
      <c r="C10" s="71"/>
      <c r="D10" s="72">
        <v>1</v>
      </c>
      <c r="E10" s="76"/>
      <c r="F10" s="73"/>
      <c r="G10" s="71"/>
      <c r="H10" s="75"/>
      <c r="I10" s="74"/>
      <c r="J10" s="74"/>
      <c r="K10" s="170" t="s">
        <v>66</v>
      </c>
      <c r="L10" s="69">
        <v>10</v>
      </c>
      <c r="M10" s="69"/>
      <c r="N10" s="82" t="s">
        <v>193</v>
      </c>
      <c r="O10" s="153">
        <v>1</v>
      </c>
      <c r="P10" s="174" t="str">
        <f>REPLACE(INDEX(GroupVertices[Group],MATCH(Edges[[#This Row],[Vertex 1]],GroupVertices[Vertex],0)),1,1,"")</f>
        <v>2</v>
      </c>
      <c r="Q10" s="174" t="str">
        <f>REPLACE(INDEX(GroupVertices[Group],MATCH(Edges[[#This Row],[Vertex 2]],GroupVertices[Vertex],0)),1,1,"")</f>
        <v>2</v>
      </c>
    </row>
    <row r="11" spans="1:17" ht="15">
      <c r="A11" s="77" t="s">
        <v>179</v>
      </c>
      <c r="B11" s="80" t="s">
        <v>177</v>
      </c>
      <c r="C11" s="71" t="s">
        <v>276</v>
      </c>
      <c r="D11" s="72">
        <v>2</v>
      </c>
      <c r="E11" s="76"/>
      <c r="F11" s="73"/>
      <c r="G11" s="71"/>
      <c r="H11" s="75"/>
      <c r="I11" s="74"/>
      <c r="J11" s="74"/>
      <c r="K11" s="170" t="s">
        <v>66</v>
      </c>
      <c r="L11" s="69">
        <v>11</v>
      </c>
      <c r="M11" s="69"/>
      <c r="N11" s="82" t="s">
        <v>188</v>
      </c>
      <c r="O11" s="153">
        <v>2</v>
      </c>
      <c r="P11" s="174" t="str">
        <f>REPLACE(INDEX(GroupVertices[Group],MATCH(Edges[[#This Row],[Vertex 1]],GroupVertices[Vertex],0)),1,1,"")</f>
        <v>2</v>
      </c>
      <c r="Q11" s="174" t="str">
        <f>REPLACE(INDEX(GroupVertices[Group],MATCH(Edges[[#This Row],[Vertex 2]],GroupVertices[Vertex],0)),1,1,"")</f>
        <v>2</v>
      </c>
    </row>
    <row r="12" spans="1:17" ht="45">
      <c r="A12" s="77" t="s">
        <v>180</v>
      </c>
      <c r="B12" s="80" t="s">
        <v>183</v>
      </c>
      <c r="C12" s="71" t="s">
        <v>278</v>
      </c>
      <c r="D12" s="72">
        <v>5</v>
      </c>
      <c r="E12" s="76" t="s">
        <v>133</v>
      </c>
      <c r="F12" s="73"/>
      <c r="G12" s="71"/>
      <c r="H12" s="75"/>
      <c r="I12" s="74"/>
      <c r="J12" s="74"/>
      <c r="K12" s="170" t="s">
        <v>66</v>
      </c>
      <c r="L12" s="69">
        <v>12</v>
      </c>
      <c r="M12" s="69"/>
      <c r="N12" s="82" t="s">
        <v>187</v>
      </c>
      <c r="O12" s="154">
        <v>5</v>
      </c>
      <c r="P12" s="174">
        <v>1</v>
      </c>
      <c r="Q12" s="174" t="str">
        <f>REPLACE(INDEX(GroupVertices[Group],MATCH(Edges[[#This Row],[Vertex 2]],GroupVertices[Vertex],0)),1,1,"")</f>
        <v>1</v>
      </c>
    </row>
    <row r="13" spans="1:17" ht="45">
      <c r="A13" s="77" t="s">
        <v>180</v>
      </c>
      <c r="B13" s="80" t="s">
        <v>175</v>
      </c>
      <c r="C13" s="71" t="s">
        <v>278</v>
      </c>
      <c r="D13" s="72">
        <v>3</v>
      </c>
      <c r="E13" s="76" t="s">
        <v>133</v>
      </c>
      <c r="F13" s="73"/>
      <c r="G13" s="71"/>
      <c r="H13" s="75"/>
      <c r="I13" s="74"/>
      <c r="J13" s="74"/>
      <c r="K13" s="170" t="s">
        <v>66</v>
      </c>
      <c r="L13" s="69">
        <v>13</v>
      </c>
      <c r="M13" s="69"/>
      <c r="N13" s="82" t="s">
        <v>187</v>
      </c>
      <c r="O13" s="154">
        <v>3</v>
      </c>
      <c r="P13" s="174">
        <v>1</v>
      </c>
      <c r="Q13" s="174" t="str">
        <f>REPLACE(INDEX(GroupVertices[Group],MATCH(Edges[[#This Row],[Vertex 2]],GroupVertices[Vertex],0)),1,1,"")</f>
        <v>1</v>
      </c>
    </row>
    <row r="14" spans="1:17" ht="15">
      <c r="A14" s="77" t="s">
        <v>180</v>
      </c>
      <c r="B14" s="80" t="s">
        <v>175</v>
      </c>
      <c r="C14" s="71"/>
      <c r="D14" s="72">
        <v>1</v>
      </c>
      <c r="E14" s="76"/>
      <c r="F14" s="73"/>
      <c r="G14" s="71"/>
      <c r="H14" s="75"/>
      <c r="I14" s="74"/>
      <c r="J14" s="74"/>
      <c r="K14" s="170" t="s">
        <v>66</v>
      </c>
      <c r="L14" s="69">
        <v>14</v>
      </c>
      <c r="M14" s="69"/>
      <c r="N14" s="82" t="s">
        <v>194</v>
      </c>
      <c r="O14" s="154">
        <v>1</v>
      </c>
      <c r="P14" s="174">
        <v>1</v>
      </c>
      <c r="Q14" s="174" t="str">
        <f>REPLACE(INDEX(GroupVertices[Group],MATCH(Edges[[#This Row],[Vertex 2]],GroupVertices[Vertex],0)),1,1,"")</f>
        <v>1</v>
      </c>
    </row>
    <row r="15" spans="1:17" ht="45">
      <c r="A15" s="77" t="s">
        <v>181</v>
      </c>
      <c r="B15" s="80" t="s">
        <v>176</v>
      </c>
      <c r="C15" s="71" t="s">
        <v>280</v>
      </c>
      <c r="D15" s="72">
        <v>1</v>
      </c>
      <c r="E15" s="76"/>
      <c r="F15" s="73"/>
      <c r="G15" s="71"/>
      <c r="H15" s="75"/>
      <c r="I15" s="74"/>
      <c r="J15" s="74"/>
      <c r="K15" s="170" t="s">
        <v>66</v>
      </c>
      <c r="L15" s="69">
        <v>15</v>
      </c>
      <c r="M15" s="69"/>
      <c r="N15" s="82" t="s">
        <v>190</v>
      </c>
      <c r="O15" s="154">
        <v>1</v>
      </c>
      <c r="P15" s="174" t="str">
        <f>REPLACE(INDEX(GroupVertices[Group],MATCH(Edges[[#This Row],[Vertex 1]],GroupVertices[Vertex],0)),1,1,"")</f>
        <v>1</v>
      </c>
      <c r="Q15" s="174" t="str">
        <f>REPLACE(INDEX(GroupVertices[Group],MATCH(Edges[[#This Row],[Vertex 2]],GroupVertices[Vertex],0)),1,1,"")</f>
        <v>1</v>
      </c>
    </row>
    <row r="16" spans="1:17" ht="15">
      <c r="A16" s="77" t="s">
        <v>181</v>
      </c>
      <c r="B16" s="80" t="s">
        <v>176</v>
      </c>
      <c r="C16" s="71"/>
      <c r="D16" s="72">
        <v>2</v>
      </c>
      <c r="E16" s="76"/>
      <c r="F16" s="73"/>
      <c r="G16" s="71"/>
      <c r="H16" s="75"/>
      <c r="I16" s="74"/>
      <c r="J16" s="74"/>
      <c r="K16" s="170" t="s">
        <v>66</v>
      </c>
      <c r="L16" s="69">
        <v>16</v>
      </c>
      <c r="M16" s="69"/>
      <c r="N16" s="82" t="s">
        <v>192</v>
      </c>
      <c r="O16" s="154">
        <v>2</v>
      </c>
      <c r="P16" s="174" t="str">
        <f>REPLACE(INDEX(GroupVertices[Group],MATCH(Edges[[#This Row],[Vertex 1]],GroupVertices[Vertex],0)),1,1,"")</f>
        <v>1</v>
      </c>
      <c r="Q16" s="174" t="str">
        <f>REPLACE(INDEX(GroupVertices[Group],MATCH(Edges[[#This Row],[Vertex 2]],GroupVertices[Vertex],0)),1,1,"")</f>
        <v>1</v>
      </c>
    </row>
    <row r="17" spans="1:17" ht="15">
      <c r="A17" s="77" t="s">
        <v>181</v>
      </c>
      <c r="B17" s="80" t="s">
        <v>183</v>
      </c>
      <c r="C17" s="71" t="s">
        <v>276</v>
      </c>
      <c r="D17" s="72">
        <v>2</v>
      </c>
      <c r="E17" s="76" t="s">
        <v>134</v>
      </c>
      <c r="F17" s="73"/>
      <c r="G17" s="71"/>
      <c r="H17" s="75"/>
      <c r="I17" s="74"/>
      <c r="J17" s="74"/>
      <c r="K17" s="170" t="s">
        <v>66</v>
      </c>
      <c r="L17" s="69">
        <v>17</v>
      </c>
      <c r="M17" s="69"/>
      <c r="N17" s="82" t="s">
        <v>188</v>
      </c>
      <c r="O17" s="154">
        <v>2</v>
      </c>
      <c r="P17" s="174" t="str">
        <f>REPLACE(INDEX(GroupVertices[Group],MATCH(Edges[[#This Row],[Vertex 1]],GroupVertices[Vertex],0)),1,1,"")</f>
        <v>1</v>
      </c>
      <c r="Q17" s="174" t="str">
        <f>REPLACE(INDEX(GroupVertices[Group],MATCH(Edges[[#This Row],[Vertex 2]],GroupVertices[Vertex],0)),1,1,"")</f>
        <v>1</v>
      </c>
    </row>
    <row r="18" spans="1:17" ht="15">
      <c r="A18" s="77" t="s">
        <v>182</v>
      </c>
      <c r="B18" s="80" t="s">
        <v>184</v>
      </c>
      <c r="C18" s="71" t="s">
        <v>276</v>
      </c>
      <c r="D18" s="72">
        <v>3</v>
      </c>
      <c r="E18" s="76" t="s">
        <v>134</v>
      </c>
      <c r="F18" s="73"/>
      <c r="G18" s="71"/>
      <c r="H18" s="75"/>
      <c r="I18" s="74"/>
      <c r="J18" s="74"/>
      <c r="K18" s="170" t="s">
        <v>66</v>
      </c>
      <c r="L18" s="69">
        <v>18</v>
      </c>
      <c r="M18" s="69"/>
      <c r="N18" s="82" t="s">
        <v>195</v>
      </c>
      <c r="O18" s="154">
        <v>3</v>
      </c>
      <c r="P18" s="174">
        <v>1</v>
      </c>
      <c r="Q18" s="174">
        <v>1</v>
      </c>
    </row>
    <row r="19" spans="1:17" ht="15">
      <c r="A19" s="77" t="s">
        <v>182</v>
      </c>
      <c r="B19" s="80" t="s">
        <v>183</v>
      </c>
      <c r="C19" s="71"/>
      <c r="D19" s="72">
        <v>2</v>
      </c>
      <c r="E19" s="76"/>
      <c r="F19" s="73"/>
      <c r="G19" s="71"/>
      <c r="H19" s="75"/>
      <c r="I19" s="74"/>
      <c r="J19" s="74"/>
      <c r="K19" s="89" t="s">
        <v>65</v>
      </c>
      <c r="L19" s="69">
        <v>19</v>
      </c>
      <c r="M19" s="69"/>
      <c r="N19" s="82" t="s">
        <v>196</v>
      </c>
      <c r="O19" s="154">
        <v>2</v>
      </c>
      <c r="P19" s="174">
        <v>1</v>
      </c>
      <c r="Q19" s="174" t="str">
        <f>REPLACE(INDEX(GroupVertices[Group],MATCH(Edges[[#This Row],[Vertex 2]],GroupVertices[Vertex],0)),1,1,"")</f>
        <v>1</v>
      </c>
    </row>
    <row r="20" spans="1:17" ht="45">
      <c r="A20" s="108" t="s">
        <v>266</v>
      </c>
      <c r="B20" s="108" t="s">
        <v>177</v>
      </c>
      <c r="C20" s="109" t="s">
        <v>279</v>
      </c>
      <c r="D20" s="110">
        <v>4</v>
      </c>
      <c r="E20" s="111" t="s">
        <v>135</v>
      </c>
      <c r="F20" s="112"/>
      <c r="G20" s="109"/>
      <c r="H20" s="113"/>
      <c r="I20" s="114"/>
      <c r="J20" s="114"/>
      <c r="K20" s="170" t="s">
        <v>65</v>
      </c>
      <c r="L20" s="115">
        <v>20</v>
      </c>
      <c r="M20" s="115"/>
      <c r="N20" s="116" t="s">
        <v>267</v>
      </c>
      <c r="O20" s="154">
        <v>4</v>
      </c>
      <c r="P20" s="174" t="str">
        <f>REPLACE(INDEX(GroupVertices[Group],MATCH(Edges[[#This Row],[Vertex 1]],GroupVertices[Vertex],0)),1,1,"")</f>
        <v>2</v>
      </c>
      <c r="Q20" s="174" t="str">
        <f>REPLACE(INDEX(GroupVertices[Group],MATCH(Edges[[#This Row],[Vertex 2]],GroupVertices[Vertex],0)),1,1,"")</f>
        <v>2</v>
      </c>
    </row>
    <row r="21" spans="1:17" ht="15">
      <c r="A21" s="108" t="s">
        <v>178</v>
      </c>
      <c r="B21" s="108" t="s">
        <v>266</v>
      </c>
      <c r="C21" s="109"/>
      <c r="D21" s="110">
        <v>1</v>
      </c>
      <c r="E21" s="111"/>
      <c r="F21" s="112"/>
      <c r="G21" s="109"/>
      <c r="H21" s="113"/>
      <c r="I21" s="114"/>
      <c r="J21" s="114"/>
      <c r="K21" s="170" t="s">
        <v>65</v>
      </c>
      <c r="L21" s="115">
        <v>21</v>
      </c>
      <c r="M21" s="115"/>
      <c r="N21" s="116" t="s">
        <v>193</v>
      </c>
      <c r="O21" s="154">
        <v>1</v>
      </c>
      <c r="P21" s="174" t="str">
        <f>REPLACE(INDEX(GroupVertices[Group],MATCH(Edges[[#This Row],[Vertex 1]],GroupVertices[Vertex],0)),1,1,"")</f>
        <v>2</v>
      </c>
      <c r="Q21" s="174" t="str">
        <f>REPLACE(INDEX(GroupVertices[Group],MATCH(Edges[[#This Row],[Vertex 2]],GroupVertices[Vertex],0)),1,1,"")</f>
        <v>2</v>
      </c>
    </row>
    <row r="22" spans="1:17" ht="15">
      <c r="A22" s="108" t="s">
        <v>177</v>
      </c>
      <c r="B22" s="108" t="s">
        <v>197</v>
      </c>
      <c r="C22" s="109"/>
      <c r="D22" s="110">
        <v>1</v>
      </c>
      <c r="E22" s="111"/>
      <c r="F22" s="112"/>
      <c r="G22" s="109"/>
      <c r="H22" s="113"/>
      <c r="I22" s="114"/>
      <c r="J22" s="114"/>
      <c r="K22" s="170" t="s">
        <v>66</v>
      </c>
      <c r="L22" s="115">
        <v>22</v>
      </c>
      <c r="M22" s="115"/>
      <c r="N22" s="116" t="s">
        <v>268</v>
      </c>
      <c r="O22" s="154">
        <v>1</v>
      </c>
      <c r="P22" s="174" t="str">
        <f>REPLACE(INDEX(GroupVertices[Group],MATCH(Edges[[#This Row],[Vertex 1]],GroupVertices[Vertex],0)),1,1,"")</f>
        <v>2</v>
      </c>
      <c r="Q22" s="174" t="str">
        <f>REPLACE(INDEX(GroupVertices[Group],MATCH(Edges[[#This Row],[Vertex 2]],GroupVertices[Vertex],0)),1,1,"")</f>
        <v>1</v>
      </c>
    </row>
    <row r="23" spans="1:17" ht="45">
      <c r="A23" s="108" t="s">
        <v>277</v>
      </c>
      <c r="B23" s="108" t="s">
        <v>179</v>
      </c>
      <c r="C23" s="109" t="s">
        <v>278</v>
      </c>
      <c r="D23" s="110">
        <v>3</v>
      </c>
      <c r="E23" s="111" t="s">
        <v>133</v>
      </c>
      <c r="F23" s="112"/>
      <c r="G23" s="109"/>
      <c r="H23" s="113"/>
      <c r="I23" s="114"/>
      <c r="J23" s="114"/>
      <c r="K23" s="89" t="s">
        <v>66</v>
      </c>
      <c r="L23" s="115">
        <v>23</v>
      </c>
      <c r="M23" s="115"/>
      <c r="N23" s="116" t="s">
        <v>187</v>
      </c>
      <c r="O23" s="154">
        <v>3</v>
      </c>
      <c r="P23" s="174">
        <v>2</v>
      </c>
      <c r="Q23" s="174" t="str">
        <f>REPLACE(INDEX(GroupVertices[Group],MATCH(Edges[[#This Row],[Vertex 2]],GroupVertices[Vertex],0)),1,1,"")</f>
        <v>2</v>
      </c>
    </row>
    <row r="24" spans="1:17" ht="45">
      <c r="A24" s="108" t="s">
        <v>177</v>
      </c>
      <c r="B24" s="108" t="s">
        <v>266</v>
      </c>
      <c r="C24" s="109" t="s">
        <v>278</v>
      </c>
      <c r="D24" s="110">
        <v>3</v>
      </c>
      <c r="E24" s="111" t="s">
        <v>133</v>
      </c>
      <c r="F24" s="112"/>
      <c r="G24" s="109"/>
      <c r="H24" s="113"/>
      <c r="I24" s="114"/>
      <c r="J24" s="114"/>
      <c r="K24" s="89" t="s">
        <v>66</v>
      </c>
      <c r="L24" s="115">
        <v>24</v>
      </c>
      <c r="M24" s="115"/>
      <c r="N24" s="116" t="s">
        <v>187</v>
      </c>
      <c r="O24" s="154">
        <v>3</v>
      </c>
      <c r="P24" s="174" t="str">
        <f>REPLACE(INDEX(GroupVertices[Group],MATCH(Edges[[#This Row],[Vertex 1]],GroupVertices[Vertex],0)),1,1,"")</f>
        <v>2</v>
      </c>
      <c r="Q24" s="174" t="str">
        <f>REPLACE(INDEX(GroupVertices[Group],MATCH(Edges[[#This Row],[Vertex 2]],GroupVertices[Vertex],0)),1,1,"")</f>
        <v>2</v>
      </c>
    </row>
    <row r="25" spans="1:17" ht="45">
      <c r="A25" s="108" t="s">
        <v>178</v>
      </c>
      <c r="B25" s="108" t="s">
        <v>266</v>
      </c>
      <c r="C25" s="109" t="s">
        <v>278</v>
      </c>
      <c r="D25" s="110">
        <v>2</v>
      </c>
      <c r="E25" s="111" t="s">
        <v>133</v>
      </c>
      <c r="F25" s="112"/>
      <c r="G25" s="109"/>
      <c r="H25" s="113"/>
      <c r="I25" s="114"/>
      <c r="J25" s="114"/>
      <c r="K25" s="170" t="s">
        <v>65</v>
      </c>
      <c r="L25" s="115">
        <v>25</v>
      </c>
      <c r="M25" s="115"/>
      <c r="N25" s="116" t="s">
        <v>187</v>
      </c>
      <c r="O25" s="154">
        <v>2</v>
      </c>
      <c r="P25" s="174" t="str">
        <f>REPLACE(INDEX(GroupVertices[Group],MATCH(Edges[[#This Row],[Vertex 1]],GroupVertices[Vertex],0)),1,1,"")</f>
        <v>2</v>
      </c>
      <c r="Q25" s="174"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84" t="s">
        <v>31</v>
      </c>
      <c r="S2" s="84" t="s">
        <v>32</v>
      </c>
      <c r="T2" s="84" t="s">
        <v>33</v>
      </c>
      <c r="U2" s="84" t="s">
        <v>34</v>
      </c>
      <c r="V2" s="84" t="s">
        <v>35</v>
      </c>
      <c r="W2" s="84" t="s">
        <v>36</v>
      </c>
      <c r="X2" s="84" t="s">
        <v>137</v>
      </c>
      <c r="Y2" s="84" t="s">
        <v>37</v>
      </c>
      <c r="Z2" s="84" t="s">
        <v>170</v>
      </c>
      <c r="AA2" s="11" t="s">
        <v>12</v>
      </c>
      <c r="AB2" s="11" t="s">
        <v>38</v>
      </c>
      <c r="AC2" s="8" t="s">
        <v>26</v>
      </c>
      <c r="AD2" s="138" t="s">
        <v>224</v>
      </c>
      <c r="AE2" s="138" t="s">
        <v>225</v>
      </c>
      <c r="AF2" s="138" t="s">
        <v>226</v>
      </c>
      <c r="AG2" s="138" t="s">
        <v>227</v>
      </c>
      <c r="AH2" s="138" t="s">
        <v>228</v>
      </c>
      <c r="AI2" s="138" t="s">
        <v>229</v>
      </c>
      <c r="AJ2" s="138" t="s">
        <v>230</v>
      </c>
      <c r="AK2" s="138" t="s">
        <v>232</v>
      </c>
      <c r="AL2" s="138" t="s">
        <v>233</v>
      </c>
      <c r="AM2" s="138" t="s">
        <v>234</v>
      </c>
      <c r="AN2" s="84" t="s">
        <v>241</v>
      </c>
      <c r="AO2" s="3"/>
      <c r="AP2" s="3"/>
    </row>
    <row r="3" spans="1:42" ht="15" customHeight="1">
      <c r="A3" s="85" t="s">
        <v>183</v>
      </c>
      <c r="B3" s="86"/>
      <c r="C3" s="86"/>
      <c r="D3" s="117">
        <v>27.312031259014454</v>
      </c>
      <c r="E3" s="106">
        <v>100</v>
      </c>
      <c r="F3" s="86"/>
      <c r="G3" s="86"/>
      <c r="H3" s="87" t="s">
        <v>183</v>
      </c>
      <c r="I3" s="104"/>
      <c r="J3" s="104"/>
      <c r="K3" s="87" t="s">
        <v>270</v>
      </c>
      <c r="L3" s="118"/>
      <c r="M3" s="119">
        <v>5110.8134765625</v>
      </c>
      <c r="N3" s="119">
        <v>1077.2518310546875</v>
      </c>
      <c r="O3" s="105"/>
      <c r="P3" s="120"/>
      <c r="Q3" s="120"/>
      <c r="R3" s="91">
        <v>4</v>
      </c>
      <c r="S3" s="91">
        <v>4</v>
      </c>
      <c r="T3" s="91">
        <v>0</v>
      </c>
      <c r="U3" s="92">
        <v>16</v>
      </c>
      <c r="V3" s="92">
        <v>0.066667</v>
      </c>
      <c r="W3" s="92">
        <v>0.170713</v>
      </c>
      <c r="X3" s="92">
        <v>1.311092</v>
      </c>
      <c r="Y3" s="92">
        <v>0.25</v>
      </c>
      <c r="Z3" s="92">
        <v>0</v>
      </c>
      <c r="AA3" s="107">
        <v>3</v>
      </c>
      <c r="AB3" s="107"/>
      <c r="AC3" s="121"/>
      <c r="AD3" s="91"/>
      <c r="AE3" s="91"/>
      <c r="AF3" s="91"/>
      <c r="AG3" s="91"/>
      <c r="AH3" s="91"/>
      <c r="AI3" s="91"/>
      <c r="AJ3" s="91"/>
      <c r="AK3" s="91"/>
      <c r="AL3" s="91"/>
      <c r="AM3" s="91"/>
      <c r="AN3" s="134" t="str">
        <f>REPLACE(INDEX(GroupVertices[Group],MATCH(Vertices[[#This Row],[Vertex]],GroupVertices[Vertex],0)),1,1,"")</f>
        <v>1</v>
      </c>
      <c r="AO3" s="3"/>
      <c r="AP3" s="3"/>
    </row>
    <row r="4" spans="1:45" ht="15">
      <c r="A4" s="90" t="s">
        <v>175</v>
      </c>
      <c r="B4" s="93"/>
      <c r="C4" s="93"/>
      <c r="D4" s="94">
        <v>32.5</v>
      </c>
      <c r="E4" s="95">
        <v>94.70271669785198</v>
      </c>
      <c r="F4" s="93"/>
      <c r="G4" s="93"/>
      <c r="H4" s="97" t="s">
        <v>175</v>
      </c>
      <c r="I4" s="96"/>
      <c r="J4" s="96"/>
      <c r="K4" s="97" t="s">
        <v>271</v>
      </c>
      <c r="L4" s="99"/>
      <c r="M4" s="100">
        <v>1573.4620361328125</v>
      </c>
      <c r="N4" s="100">
        <v>8699.3955078125</v>
      </c>
      <c r="O4" s="98"/>
      <c r="P4" s="101"/>
      <c r="Q4" s="101"/>
      <c r="R4" s="91">
        <v>3</v>
      </c>
      <c r="S4" s="91">
        <v>2</v>
      </c>
      <c r="T4" s="91">
        <v>1</v>
      </c>
      <c r="U4" s="92">
        <v>5</v>
      </c>
      <c r="V4" s="92">
        <v>0.0625</v>
      </c>
      <c r="W4" s="92">
        <v>0.145982</v>
      </c>
      <c r="X4" s="92">
        <v>1.00137</v>
      </c>
      <c r="Y4" s="92">
        <v>0.3333333333333333</v>
      </c>
      <c r="Z4" s="92">
        <v>0</v>
      </c>
      <c r="AA4" s="102">
        <v>4</v>
      </c>
      <c r="AB4" s="102"/>
      <c r="AC4" s="103"/>
      <c r="AD4" s="91"/>
      <c r="AE4" s="91"/>
      <c r="AF4" s="91"/>
      <c r="AG4" s="91"/>
      <c r="AH4" s="91"/>
      <c r="AI4" s="91"/>
      <c r="AJ4" s="139" t="s">
        <v>231</v>
      </c>
      <c r="AK4" s="139" t="s">
        <v>231</v>
      </c>
      <c r="AL4" s="139" t="s">
        <v>231</v>
      </c>
      <c r="AM4" s="139" t="s">
        <v>231</v>
      </c>
      <c r="AN4" s="136" t="str">
        <f>REPLACE(INDEX(GroupVertices[Group],MATCH(Vertices[[#This Row],[Vertex]],GroupVertices[Vertex],0)),1,1,"")</f>
        <v>1</v>
      </c>
      <c r="AO4" s="2"/>
      <c r="AP4" s="3"/>
      <c r="AQ4" s="3"/>
      <c r="AR4" s="3"/>
      <c r="AS4" s="3"/>
    </row>
    <row r="5" spans="1:45" ht="15">
      <c r="A5" s="85" t="s">
        <v>197</v>
      </c>
      <c r="B5" s="157"/>
      <c r="C5" s="157"/>
      <c r="D5" s="158">
        <v>20</v>
      </c>
      <c r="E5" s="159">
        <v>93.1648822043783</v>
      </c>
      <c r="F5" s="157"/>
      <c r="G5" s="157"/>
      <c r="H5" s="160" t="s">
        <v>197</v>
      </c>
      <c r="I5" s="161"/>
      <c r="J5" s="161"/>
      <c r="K5" s="160" t="s">
        <v>272</v>
      </c>
      <c r="L5" s="162"/>
      <c r="M5" s="163">
        <v>474.72979736328125</v>
      </c>
      <c r="N5" s="163">
        <v>4961.4521484375</v>
      </c>
      <c r="O5" s="164"/>
      <c r="P5" s="148"/>
      <c r="Q5" s="148"/>
      <c r="R5" s="91">
        <v>2</v>
      </c>
      <c r="S5" s="91">
        <v>1</v>
      </c>
      <c r="T5" s="91">
        <v>2</v>
      </c>
      <c r="U5" s="92">
        <v>32</v>
      </c>
      <c r="V5" s="92">
        <v>0.076923</v>
      </c>
      <c r="W5" s="92">
        <v>0.139498</v>
      </c>
      <c r="X5" s="92">
        <v>1.004621</v>
      </c>
      <c r="Y5" s="92">
        <v>0.16666666666666666</v>
      </c>
      <c r="Z5" s="92">
        <v>0</v>
      </c>
      <c r="AA5" s="165">
        <v>5</v>
      </c>
      <c r="AB5" s="165"/>
      <c r="AC5" s="121"/>
      <c r="AD5" s="91"/>
      <c r="AE5" s="91"/>
      <c r="AF5" s="91"/>
      <c r="AG5" s="91"/>
      <c r="AH5" s="91"/>
      <c r="AI5" s="91"/>
      <c r="AJ5" s="139" t="s">
        <v>231</v>
      </c>
      <c r="AK5" s="139" t="s">
        <v>231</v>
      </c>
      <c r="AL5" s="139" t="s">
        <v>231</v>
      </c>
      <c r="AM5" s="139" t="s">
        <v>231</v>
      </c>
      <c r="AN5" s="136" t="str">
        <f>REPLACE(INDEX(GroupVertices[Group],MATCH(Vertices[[#This Row],[Vertex]],GroupVertices[Vertex],0)),1,1,"")</f>
        <v>1</v>
      </c>
      <c r="AO5" s="2"/>
      <c r="AP5" s="3"/>
      <c r="AQ5" s="3"/>
      <c r="AR5" s="3"/>
      <c r="AS5" s="3"/>
    </row>
    <row r="6" spans="1:45" ht="15">
      <c r="A6" s="122" t="s">
        <v>181</v>
      </c>
      <c r="B6" s="157"/>
      <c r="C6" s="157"/>
      <c r="D6" s="158">
        <v>32.5</v>
      </c>
      <c r="E6" s="159">
        <v>92.39104696547258</v>
      </c>
      <c r="F6" s="157"/>
      <c r="G6" s="157"/>
      <c r="H6" s="160" t="s">
        <v>181</v>
      </c>
      <c r="I6" s="161"/>
      <c r="J6" s="161"/>
      <c r="K6" s="160" t="s">
        <v>271</v>
      </c>
      <c r="L6" s="162"/>
      <c r="M6" s="163">
        <v>851.2088012695312</v>
      </c>
      <c r="N6" s="163">
        <v>981.334228515625</v>
      </c>
      <c r="O6" s="164"/>
      <c r="P6" s="148"/>
      <c r="Q6" s="148"/>
      <c r="R6" s="91">
        <v>3</v>
      </c>
      <c r="S6" s="91">
        <v>0</v>
      </c>
      <c r="T6" s="91">
        <v>3</v>
      </c>
      <c r="U6" s="92">
        <v>1</v>
      </c>
      <c r="V6" s="92">
        <v>0.05</v>
      </c>
      <c r="W6" s="92">
        <v>0.136345</v>
      </c>
      <c r="X6" s="92">
        <v>1.01693</v>
      </c>
      <c r="Y6" s="92">
        <v>0.3333333333333333</v>
      </c>
      <c r="Z6" s="92">
        <v>0</v>
      </c>
      <c r="AA6" s="165">
        <v>6</v>
      </c>
      <c r="AB6" s="165"/>
      <c r="AC6" s="133"/>
      <c r="AD6" s="91"/>
      <c r="AE6" s="91"/>
      <c r="AF6" s="91"/>
      <c r="AG6" s="91"/>
      <c r="AH6" s="91"/>
      <c r="AI6" s="91"/>
      <c r="AJ6" s="139" t="s">
        <v>231</v>
      </c>
      <c r="AK6" s="139" t="s">
        <v>231</v>
      </c>
      <c r="AL6" s="139" t="s">
        <v>231</v>
      </c>
      <c r="AM6" s="139" t="s">
        <v>231</v>
      </c>
      <c r="AN6" s="136" t="str">
        <f>REPLACE(INDEX(GroupVertices[Group],MATCH(Vertices[[#This Row],[Vertex]],GroupVertices[Vertex],0)),1,1,"")</f>
        <v>1</v>
      </c>
      <c r="AO6" s="2"/>
      <c r="AP6" s="3"/>
      <c r="AQ6" s="3"/>
      <c r="AR6" s="3"/>
      <c r="AS6" s="3"/>
    </row>
    <row r="7" spans="1:45" ht="15">
      <c r="A7" s="85" t="s">
        <v>177</v>
      </c>
      <c r="B7" s="157"/>
      <c r="C7" s="157"/>
      <c r="D7" s="158">
        <v>20</v>
      </c>
      <c r="E7" s="159">
        <v>85.13091583982143</v>
      </c>
      <c r="F7" s="157"/>
      <c r="G7" s="157"/>
      <c r="H7" s="160" t="s">
        <v>177</v>
      </c>
      <c r="I7" s="161"/>
      <c r="J7" s="161"/>
      <c r="K7" s="160" t="s">
        <v>272</v>
      </c>
      <c r="L7" s="162"/>
      <c r="M7" s="163">
        <v>9375.7314453125</v>
      </c>
      <c r="N7" s="163">
        <v>1118.706298828125</v>
      </c>
      <c r="O7" s="164"/>
      <c r="P7" s="148"/>
      <c r="Q7" s="148"/>
      <c r="R7" s="169">
        <v>2</v>
      </c>
      <c r="S7" s="91">
        <v>2</v>
      </c>
      <c r="T7" s="91">
        <v>4</v>
      </c>
      <c r="U7" s="92">
        <v>31</v>
      </c>
      <c r="V7" s="92">
        <v>0.071429</v>
      </c>
      <c r="W7" s="92">
        <v>0.110024</v>
      </c>
      <c r="X7" s="92">
        <v>1.375537</v>
      </c>
      <c r="Y7" s="92">
        <v>0.16666666666666666</v>
      </c>
      <c r="Z7" s="92">
        <v>0.5</v>
      </c>
      <c r="AA7" s="165">
        <v>7</v>
      </c>
      <c r="AB7" s="165"/>
      <c r="AC7" s="133"/>
      <c r="AD7" s="91"/>
      <c r="AE7" s="91"/>
      <c r="AF7" s="91"/>
      <c r="AG7" s="91"/>
      <c r="AH7" s="91"/>
      <c r="AI7" s="91"/>
      <c r="AJ7" s="139" t="s">
        <v>231</v>
      </c>
      <c r="AK7" s="139" t="s">
        <v>231</v>
      </c>
      <c r="AL7" s="139" t="s">
        <v>231</v>
      </c>
      <c r="AM7" s="139" t="s">
        <v>231</v>
      </c>
      <c r="AN7" s="136" t="str">
        <f>REPLACE(INDEX(GroupVertices[Group],MATCH(Vertices[[#This Row],[Vertex]],GroupVertices[Vertex],0)),1,1,"")</f>
        <v>2</v>
      </c>
      <c r="AO7" s="2"/>
      <c r="AP7" s="3"/>
      <c r="AQ7" s="3"/>
      <c r="AR7" s="3"/>
      <c r="AS7" s="3"/>
    </row>
    <row r="8" spans="1:45" ht="15">
      <c r="A8" s="85" t="s">
        <v>176</v>
      </c>
      <c r="B8" s="157"/>
      <c r="C8" s="157"/>
      <c r="D8" s="158">
        <v>39.812031259014454</v>
      </c>
      <c r="E8" s="159">
        <v>82.02548137339868</v>
      </c>
      <c r="F8" s="157"/>
      <c r="G8" s="157"/>
      <c r="H8" s="160" t="s">
        <v>176</v>
      </c>
      <c r="I8" s="161"/>
      <c r="J8" s="161"/>
      <c r="K8" s="160" t="s">
        <v>272</v>
      </c>
      <c r="L8" s="162"/>
      <c r="M8" s="163">
        <v>4658.2880859375</v>
      </c>
      <c r="N8" s="163">
        <v>7060.4365234375</v>
      </c>
      <c r="O8" s="164"/>
      <c r="P8" s="148"/>
      <c r="Q8" s="148"/>
      <c r="R8" s="169">
        <v>2</v>
      </c>
      <c r="S8" s="91">
        <v>1</v>
      </c>
      <c r="T8" s="91">
        <v>1</v>
      </c>
      <c r="U8" s="92">
        <v>0</v>
      </c>
      <c r="V8" s="92">
        <v>0.047619</v>
      </c>
      <c r="W8" s="92">
        <v>0.100379</v>
      </c>
      <c r="X8" s="92">
        <v>0.716731</v>
      </c>
      <c r="Y8" s="92">
        <v>0.5</v>
      </c>
      <c r="Z8" s="92">
        <v>0</v>
      </c>
      <c r="AA8" s="165">
        <v>8</v>
      </c>
      <c r="AB8" s="165"/>
      <c r="AC8" s="133"/>
      <c r="AD8" s="91"/>
      <c r="AE8" s="91"/>
      <c r="AF8" s="91"/>
      <c r="AG8" s="91"/>
      <c r="AH8" s="91"/>
      <c r="AI8" s="91"/>
      <c r="AJ8" s="139" t="s">
        <v>231</v>
      </c>
      <c r="AK8" s="139" t="s">
        <v>231</v>
      </c>
      <c r="AL8" s="139" t="s">
        <v>231</v>
      </c>
      <c r="AM8" s="139" t="s">
        <v>231</v>
      </c>
      <c r="AN8" s="136" t="str">
        <f>REPLACE(INDEX(GroupVertices[Group],MATCH(Vertices[[#This Row],[Vertex]],GroupVertices[Vertex],0)),1,1,"")</f>
        <v>1</v>
      </c>
      <c r="AO8" s="2"/>
      <c r="AP8" s="3"/>
      <c r="AQ8" s="3"/>
      <c r="AR8" s="3"/>
      <c r="AS8" s="3"/>
    </row>
    <row r="9" spans="1:45" ht="15">
      <c r="A9" s="85" t="s">
        <v>178</v>
      </c>
      <c r="B9" s="86"/>
      <c r="C9" s="86"/>
      <c r="D9" s="117">
        <v>45</v>
      </c>
      <c r="E9" s="106">
        <v>72.45464621927519</v>
      </c>
      <c r="F9" s="86"/>
      <c r="G9" s="86"/>
      <c r="H9" s="87" t="s">
        <v>178</v>
      </c>
      <c r="I9" s="104"/>
      <c r="J9" s="104"/>
      <c r="K9" s="87" t="s">
        <v>272</v>
      </c>
      <c r="L9" s="118"/>
      <c r="M9" s="119">
        <v>5976.21630859375</v>
      </c>
      <c r="N9" s="119">
        <v>766.6519775390625</v>
      </c>
      <c r="O9" s="105"/>
      <c r="P9" s="120"/>
      <c r="Q9" s="120"/>
      <c r="R9" s="91">
        <v>2</v>
      </c>
      <c r="S9" s="91">
        <v>1</v>
      </c>
      <c r="T9" s="91">
        <v>2</v>
      </c>
      <c r="U9" s="92">
        <v>1</v>
      </c>
      <c r="V9" s="92">
        <v>0.052632</v>
      </c>
      <c r="W9" s="92">
        <v>0.075656</v>
      </c>
      <c r="X9" s="92">
        <v>1.077817</v>
      </c>
      <c r="Y9" s="92">
        <v>0.6666666666666666</v>
      </c>
      <c r="Z9" s="92">
        <v>0</v>
      </c>
      <c r="AA9" s="107">
        <v>9</v>
      </c>
      <c r="AB9" s="107"/>
      <c r="AC9" s="121"/>
      <c r="AD9" s="91"/>
      <c r="AE9" s="91"/>
      <c r="AF9" s="91"/>
      <c r="AG9" s="91"/>
      <c r="AH9" s="91"/>
      <c r="AI9" s="91"/>
      <c r="AJ9" s="139" t="s">
        <v>231</v>
      </c>
      <c r="AK9" s="139" t="s">
        <v>231</v>
      </c>
      <c r="AL9" s="139" t="s">
        <v>231</v>
      </c>
      <c r="AM9" s="139" t="s">
        <v>231</v>
      </c>
      <c r="AN9" s="136" t="str">
        <f>REPLACE(INDEX(GroupVertices[Group],MATCH(Vertices[[#This Row],[Vertex]],GroupVertices[Vertex],0)),1,1,"")</f>
        <v>2</v>
      </c>
      <c r="AO9" s="2"/>
      <c r="AP9" s="3"/>
      <c r="AQ9" s="3"/>
      <c r="AR9" s="3"/>
      <c r="AS9" s="3"/>
    </row>
    <row r="10" spans="1:45" ht="15">
      <c r="A10" s="85" t="s">
        <v>179</v>
      </c>
      <c r="B10" s="123"/>
      <c r="C10" s="123"/>
      <c r="D10" s="124">
        <v>39.812031259014454</v>
      </c>
      <c r="E10" s="125">
        <v>65</v>
      </c>
      <c r="F10" s="123"/>
      <c r="G10" s="123"/>
      <c r="H10" s="126" t="s">
        <v>179</v>
      </c>
      <c r="I10" s="127"/>
      <c r="J10" s="127"/>
      <c r="K10" s="126" t="s">
        <v>272</v>
      </c>
      <c r="L10" s="128"/>
      <c r="M10" s="129">
        <v>9113.44140625</v>
      </c>
      <c r="N10" s="129">
        <v>6837.07666015625</v>
      </c>
      <c r="O10" s="130"/>
      <c r="P10" s="131"/>
      <c r="Q10" s="131"/>
      <c r="R10" s="91">
        <v>2</v>
      </c>
      <c r="S10" s="91">
        <v>2</v>
      </c>
      <c r="T10" s="91">
        <v>1</v>
      </c>
      <c r="U10" s="92">
        <v>0</v>
      </c>
      <c r="V10" s="92">
        <v>0.05</v>
      </c>
      <c r="W10" s="92">
        <v>0.060701</v>
      </c>
      <c r="X10" s="92">
        <v>0.747677</v>
      </c>
      <c r="Y10" s="92">
        <v>0.5</v>
      </c>
      <c r="Z10" s="92">
        <v>0.5</v>
      </c>
      <c r="AA10" s="132">
        <v>10</v>
      </c>
      <c r="AB10" s="132"/>
      <c r="AC10" s="121"/>
      <c r="AD10" s="91"/>
      <c r="AE10" s="91"/>
      <c r="AF10" s="91"/>
      <c r="AG10" s="91"/>
      <c r="AH10" s="91"/>
      <c r="AI10" s="91"/>
      <c r="AJ10" s="139" t="s">
        <v>231</v>
      </c>
      <c r="AK10" s="139" t="s">
        <v>231</v>
      </c>
      <c r="AL10" s="139" t="s">
        <v>231</v>
      </c>
      <c r="AM10" s="139" t="s">
        <v>231</v>
      </c>
      <c r="AN10" s="136" t="str">
        <f>REPLACE(INDEX(GroupVertices[Group],MATCH(Vertices[[#This Row],[Vertex]],GroupVertices[Vertex],0)),1,1,"")</f>
        <v>2</v>
      </c>
      <c r="AO10" s="2"/>
      <c r="AP10" s="3"/>
      <c r="AQ10" s="3"/>
      <c r="AR10" s="3"/>
      <c r="AS10" s="3"/>
    </row>
    <row r="11" spans="1:40" ht="15">
      <c r="A11" s="122" t="s">
        <v>266</v>
      </c>
      <c r="B11" s="123"/>
      <c r="C11" s="123"/>
      <c r="D11" s="124">
        <v>39.812031259014454</v>
      </c>
      <c r="E11" s="125">
        <v>65</v>
      </c>
      <c r="F11" s="123"/>
      <c r="G11" s="123"/>
      <c r="H11" s="126" t="s">
        <v>266</v>
      </c>
      <c r="I11" s="127"/>
      <c r="J11" s="127"/>
      <c r="K11" s="126" t="s">
        <v>271</v>
      </c>
      <c r="L11" s="128"/>
      <c r="M11" s="129">
        <v>6394.01806640625</v>
      </c>
      <c r="N11" s="129">
        <v>8707.546875</v>
      </c>
      <c r="O11" s="130"/>
      <c r="P11" s="131"/>
      <c r="Q11" s="131"/>
      <c r="R11" s="167">
        <f>S11+T11</f>
        <v>3</v>
      </c>
      <c r="S11" s="91">
        <v>2</v>
      </c>
      <c r="T11" s="91">
        <v>1</v>
      </c>
      <c r="U11" s="92">
        <v>0</v>
      </c>
      <c r="V11" s="92">
        <v>0.05</v>
      </c>
      <c r="W11" s="92">
        <v>0.060701</v>
      </c>
      <c r="X11" s="92">
        <v>0.747677</v>
      </c>
      <c r="Y11" s="92">
        <v>0.5</v>
      </c>
      <c r="Z11" s="92">
        <v>0.5</v>
      </c>
      <c r="AA11" s="132">
        <v>11</v>
      </c>
      <c r="AB11" s="132"/>
      <c r="AC11" s="149"/>
      <c r="AD11" s="91"/>
      <c r="AE11" s="91"/>
      <c r="AF11" s="91"/>
      <c r="AG11" s="91"/>
      <c r="AH11" s="91"/>
      <c r="AI11" s="91"/>
      <c r="AJ11" s="139" t="s">
        <v>231</v>
      </c>
      <c r="AK11" s="139" t="s">
        <v>231</v>
      </c>
      <c r="AL11" s="139" t="s">
        <v>231</v>
      </c>
      <c r="AM11" s="139" t="s">
        <v>231</v>
      </c>
      <c r="AN11" s="134" t="str">
        <f>REPLACE(INDEX(GroupVertices[Group],MATCH(Vertices[[#This Row],[Vertex]],GroupVertices[Vertex],0)),1,1,"")</f>
        <v>2</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57" t="s">
        <v>39</v>
      </c>
      <c r="C1" s="58"/>
      <c r="D1" s="58"/>
      <c r="E1" s="59"/>
      <c r="F1" s="55" t="s">
        <v>43</v>
      </c>
      <c r="G1" s="60" t="s">
        <v>44</v>
      </c>
      <c r="H1" s="61"/>
      <c r="I1" s="62" t="s">
        <v>40</v>
      </c>
      <c r="J1" s="63"/>
      <c r="K1" s="64" t="s">
        <v>42</v>
      </c>
      <c r="L1" s="65"/>
      <c r="M1" s="65"/>
      <c r="N1" s="65"/>
      <c r="O1" s="65"/>
      <c r="P1" s="65"/>
      <c r="Q1" s="65"/>
      <c r="R1" s="65"/>
      <c r="S1" s="65"/>
      <c r="T1" s="65"/>
      <c r="U1" s="65"/>
      <c r="V1" s="65"/>
      <c r="W1" s="65"/>
      <c r="X1" s="65"/>
    </row>
    <row r="2" spans="1:32" s="13" customFormat="1" ht="30" customHeight="1">
      <c r="A2" s="83" t="s">
        <v>144</v>
      </c>
      <c r="B2" s="84" t="s">
        <v>21</v>
      </c>
      <c r="C2" s="84" t="s">
        <v>20</v>
      </c>
      <c r="D2" s="13" t="s">
        <v>11</v>
      </c>
      <c r="E2" s="13" t="s">
        <v>145</v>
      </c>
      <c r="F2" s="13" t="s">
        <v>46</v>
      </c>
      <c r="G2" s="13" t="s">
        <v>167</v>
      </c>
      <c r="H2" s="13" t="s">
        <v>168</v>
      </c>
      <c r="I2" s="13" t="s">
        <v>12</v>
      </c>
      <c r="J2" s="13" t="s">
        <v>166</v>
      </c>
      <c r="K2" s="84" t="s">
        <v>146</v>
      </c>
      <c r="L2" s="84" t="s">
        <v>148</v>
      </c>
      <c r="M2" s="84" t="s">
        <v>149</v>
      </c>
      <c r="N2" s="84" t="s">
        <v>150</v>
      </c>
      <c r="O2" s="84" t="s">
        <v>151</v>
      </c>
      <c r="P2" s="84" t="s">
        <v>170</v>
      </c>
      <c r="Q2" s="84" t="s">
        <v>171</v>
      </c>
      <c r="R2" s="84" t="s">
        <v>152</v>
      </c>
      <c r="S2" s="84" t="s">
        <v>153</v>
      </c>
      <c r="T2" s="84" t="s">
        <v>154</v>
      </c>
      <c r="U2" s="84" t="s">
        <v>155</v>
      </c>
      <c r="V2" s="84" t="s">
        <v>156</v>
      </c>
      <c r="W2" s="84" t="s">
        <v>157</v>
      </c>
      <c r="X2" s="84" t="s">
        <v>158</v>
      </c>
      <c r="Y2" s="84" t="s">
        <v>204</v>
      </c>
      <c r="Z2" s="84" t="s">
        <v>206</v>
      </c>
      <c r="AA2" s="84" t="s">
        <v>208</v>
      </c>
      <c r="AB2" s="84" t="s">
        <v>215</v>
      </c>
      <c r="AC2" s="84" t="s">
        <v>217</v>
      </c>
      <c r="AD2" s="84" t="s">
        <v>220</v>
      </c>
      <c r="AE2" s="84" t="s">
        <v>221</v>
      </c>
      <c r="AF2" s="84" t="s">
        <v>223</v>
      </c>
    </row>
    <row r="3" spans="1:32" ht="15">
      <c r="A3" s="146" t="s">
        <v>237</v>
      </c>
      <c r="B3" s="147" t="s">
        <v>239</v>
      </c>
      <c r="C3" s="147" t="s">
        <v>56</v>
      </c>
      <c r="D3" s="141"/>
      <c r="E3" s="140"/>
      <c r="F3" s="142" t="s">
        <v>273</v>
      </c>
      <c r="G3" s="143"/>
      <c r="H3" s="143"/>
      <c r="I3" s="144">
        <v>3</v>
      </c>
      <c r="J3" s="145"/>
      <c r="K3" s="91"/>
      <c r="L3" s="91"/>
      <c r="M3" s="91"/>
      <c r="N3" s="91"/>
      <c r="O3" s="91"/>
      <c r="P3" s="92"/>
      <c r="Q3" s="92"/>
      <c r="R3" s="91"/>
      <c r="S3" s="91"/>
      <c r="T3" s="91"/>
      <c r="U3" s="91"/>
      <c r="V3" s="91"/>
      <c r="W3" s="92"/>
      <c r="X3" s="92"/>
      <c r="Y3" s="134"/>
      <c r="Z3" s="134"/>
      <c r="AA3" s="134"/>
      <c r="AB3" s="136"/>
      <c r="AC3" s="136"/>
      <c r="AD3" s="134"/>
      <c r="AE3" s="134"/>
      <c r="AF3" s="134"/>
    </row>
    <row r="4" spans="1:32" ht="15">
      <c r="A4" s="166" t="s">
        <v>238</v>
      </c>
      <c r="B4" s="147" t="s">
        <v>240</v>
      </c>
      <c r="C4" s="147" t="s">
        <v>56</v>
      </c>
      <c r="D4" s="151"/>
      <c r="E4" s="123"/>
      <c r="F4" s="126" t="s">
        <v>274</v>
      </c>
      <c r="G4" s="130"/>
      <c r="H4" s="130"/>
      <c r="I4" s="152">
        <v>4</v>
      </c>
      <c r="J4" s="132"/>
      <c r="K4" s="168"/>
      <c r="L4" s="168"/>
      <c r="M4" s="168"/>
      <c r="N4" s="168"/>
      <c r="O4" s="168"/>
      <c r="P4" s="173"/>
      <c r="Q4" s="173"/>
      <c r="R4" s="168"/>
      <c r="S4" s="168"/>
      <c r="T4" s="168"/>
      <c r="U4" s="168"/>
      <c r="V4" s="168"/>
      <c r="W4" s="173"/>
      <c r="X4" s="173"/>
      <c r="Y4" s="172"/>
      <c r="Z4" s="171"/>
      <c r="AA4" s="171"/>
      <c r="AB4" s="171"/>
      <c r="AC4" s="171"/>
      <c r="AD4" s="171"/>
      <c r="AE4" s="171"/>
      <c r="AF4" s="171"/>
    </row>
    <row r="5" ht="15">
      <c r="A5"/>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E33" sqref="E33"/>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3" t="s">
        <v>144</v>
      </c>
      <c r="B1" s="83" t="s">
        <v>5</v>
      </c>
      <c r="C1" s="83" t="s">
        <v>147</v>
      </c>
    </row>
    <row r="2" spans="1:3" ht="15">
      <c r="A2" s="134" t="s">
        <v>237</v>
      </c>
      <c r="B2" s="136" t="s">
        <v>175</v>
      </c>
      <c r="C2" s="134">
        <f>VLOOKUP(GroupVertices[[#This Row],[Vertex]],Vertices[],MATCH("ID",Vertices[[#Headers],[Vertex]:[Vertex Group]],0),FALSE)</f>
        <v>4</v>
      </c>
    </row>
    <row r="3" spans="1:3" ht="15">
      <c r="A3" s="134" t="s">
        <v>237</v>
      </c>
      <c r="B3" s="136" t="s">
        <v>183</v>
      </c>
      <c r="C3" s="134">
        <f>VLOOKUP(GroupVertices[[#This Row],[Vertex]],Vertices[],MATCH("ID",Vertices[[#Headers],[Vertex]:[Vertex Group]],0),FALSE)</f>
        <v>3</v>
      </c>
    </row>
    <row r="4" spans="1:3" ht="15">
      <c r="A4" s="134" t="s">
        <v>237</v>
      </c>
      <c r="B4" s="136" t="s">
        <v>176</v>
      </c>
      <c r="C4" s="134">
        <f>VLOOKUP(GroupVertices[[#This Row],[Vertex]],Vertices[],MATCH("ID",Vertices[[#Headers],[Vertex]:[Vertex Group]],0),FALSE)</f>
        <v>8</v>
      </c>
    </row>
    <row r="5" spans="1:3" ht="15">
      <c r="A5" s="134" t="s">
        <v>237</v>
      </c>
      <c r="B5" s="136" t="s">
        <v>181</v>
      </c>
      <c r="C5" s="134">
        <f>VLOOKUP(GroupVertices[[#This Row],[Vertex]],Vertices[],MATCH("ID",Vertices[[#Headers],[Vertex]:[Vertex Group]],0),FALSE)</f>
        <v>6</v>
      </c>
    </row>
    <row r="6" spans="1:3" ht="15">
      <c r="A6" s="134" t="s">
        <v>237</v>
      </c>
      <c r="B6" s="136" t="s">
        <v>197</v>
      </c>
      <c r="C6" s="134">
        <f>VLOOKUP(GroupVertices[[#This Row],[Vertex]],Vertices[],MATCH("ID",Vertices[[#Headers],[Vertex]:[Vertex Group]],0),FALSE)</f>
        <v>5</v>
      </c>
    </row>
    <row r="7" spans="1:3" ht="15">
      <c r="A7" s="134" t="s">
        <v>238</v>
      </c>
      <c r="B7" s="136" t="s">
        <v>266</v>
      </c>
      <c r="C7" s="134">
        <f>VLOOKUP(GroupVertices[[#This Row],[Vertex]],Vertices[],MATCH("ID",Vertices[[#Headers],[Vertex]:[Vertex Group]],0),FALSE)</f>
        <v>11</v>
      </c>
    </row>
    <row r="8" spans="1:3" ht="15">
      <c r="A8" s="134" t="s">
        <v>238</v>
      </c>
      <c r="B8" s="136" t="s">
        <v>177</v>
      </c>
      <c r="C8" s="134">
        <f>VLOOKUP(GroupVertices[[#This Row],[Vertex]],Vertices[],MATCH("ID",Vertices[[#Headers],[Vertex]:[Vertex Group]],0),FALSE)</f>
        <v>7</v>
      </c>
    </row>
    <row r="9" spans="1:3" ht="15">
      <c r="A9" s="134" t="s">
        <v>238</v>
      </c>
      <c r="B9" s="136" t="s">
        <v>179</v>
      </c>
      <c r="C9" s="134">
        <f>VLOOKUP(GroupVertices[[#This Row],[Vertex]],Vertices[],MATCH("ID",Vertices[[#Headers],[Vertex]:[Vertex Group]],0),FALSE)</f>
        <v>10</v>
      </c>
    </row>
    <row r="10" spans="1:3" ht="15">
      <c r="A10" s="134" t="s">
        <v>238</v>
      </c>
      <c r="B10" s="136" t="s">
        <v>178</v>
      </c>
      <c r="C10" s="134">
        <f>VLOOKUP(GroupVertices[[#This Row],[Vertex]],Vertices[],MATCH("ID",Vertices[[#Headers],[Vertex]:[Vertex Group]],0),FALSE)</f>
        <v>9</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Y31" sqref="Y3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84" t="s">
        <v>162</v>
      </c>
      <c r="B1" s="84"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89" t="s">
        <v>198</v>
      </c>
      <c r="B2" s="89" t="s">
        <v>244</v>
      </c>
      <c r="D2" s="31">
        <f>MIN(Vertices[Degree])</f>
        <v>2</v>
      </c>
      <c r="E2" s="3">
        <f>COUNTIF(Vertices[Degree],"&gt;= "&amp;D2)-COUNTIF(Vertices[Degree],"&gt;="&amp;D3)</f>
        <v>5</v>
      </c>
      <c r="F2" s="36">
        <f>MIN(Vertices[In-Degree])</f>
        <v>0</v>
      </c>
      <c r="G2" s="37">
        <f>COUNTIF(Vertices[In-Degree],"&gt;= "&amp;F2)-COUNTIF(Vertices[In-Degree],"&gt;="&amp;F3)</f>
        <v>1</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3</v>
      </c>
      <c r="L2" s="36">
        <f>MIN(Vertices[Closeness Centrality])</f>
        <v>0.047619</v>
      </c>
      <c r="M2" s="37">
        <f>COUNTIF(Vertices[Closeness Centrality],"&gt;= "&amp;L2)-COUNTIF(Vertices[Closeness Centrality],"&gt;="&amp;L3)</f>
        <v>1</v>
      </c>
      <c r="N2" s="36">
        <f>MIN(Vertices[Eigenvector Centrality])</f>
        <v>0.060701</v>
      </c>
      <c r="O2" s="37">
        <f>COUNTIF(Vertices[Eigenvector Centrality],"&gt;= "&amp;N2)-COUNTIF(Vertices[Eigenvector Centrality],"&gt;="&amp;N3)</f>
        <v>2</v>
      </c>
      <c r="P2" s="36">
        <f>MIN(Vertices[PageRank])</f>
        <v>0.716731</v>
      </c>
      <c r="Q2" s="37">
        <f>COUNTIF(Vertices[PageRank],"&gt;= "&amp;P2)-COUNTIF(Vertices[PageRank],"&gt;="&amp;P3)</f>
        <v>1</v>
      </c>
      <c r="R2" s="36">
        <f>MIN(Vertices[Clustering Coefficient])</f>
        <v>0.16666666666666666</v>
      </c>
      <c r="S2" s="42">
        <f>COUNTIF(Vertices[Clustering Coefficient],"&gt;= "&amp;R2)-COUNTIF(Vertices[Clustering Coefficient],"&gt;="&amp;R3)</f>
        <v>2</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35"/>
      <c r="B3" s="135"/>
      <c r="D3" s="32">
        <f aca="true" t="shared" si="1" ref="D3:D26">D2+($D$57-$D$2)/BinDivisor</f>
        <v>2.036363636363636</v>
      </c>
      <c r="E3" s="3">
        <f>COUNTIF(Vertices[Degree],"&gt;= "&amp;D3)-COUNTIF(Vertices[Degree],"&gt;="&amp;D4)</f>
        <v>0</v>
      </c>
      <c r="F3" s="38">
        <f aca="true" t="shared" si="2" ref="F3:F26">F2+($F$57-$F$2)/BinDivisor</f>
        <v>0.07272727272727272</v>
      </c>
      <c r="G3" s="39">
        <f>COUNTIF(Vertices[In-Degree],"&gt;= "&amp;F3)-COUNTIF(Vertices[In-Degree],"&gt;="&amp;F4)</f>
        <v>0</v>
      </c>
      <c r="H3" s="38">
        <f aca="true" t="shared" si="3" ref="H3:H26">H2+($H$57-$H$2)/BinDivisor</f>
        <v>0.07272727272727272</v>
      </c>
      <c r="I3" s="39">
        <f>COUNTIF(Vertices[Out-Degree],"&gt;= "&amp;H3)-COUNTIF(Vertices[Out-Degree],"&gt;="&amp;H4)</f>
        <v>0</v>
      </c>
      <c r="J3" s="38">
        <f aca="true" t="shared" si="4" ref="J3:J26">J2+($J$57-$J$2)/BinDivisor</f>
        <v>0.5818181818181818</v>
      </c>
      <c r="K3" s="39">
        <f>COUNTIF(Vertices[Betweenness Centrality],"&gt;= "&amp;J3)-COUNTIF(Vertices[Betweenness Centrality],"&gt;="&amp;J4)</f>
        <v>2</v>
      </c>
      <c r="L3" s="38">
        <f aca="true" t="shared" si="5" ref="L3:L26">L2+($L$57-$L$2)/BinDivisor</f>
        <v>0.0481518</v>
      </c>
      <c r="M3" s="39">
        <f>COUNTIF(Vertices[Closeness Centrality],"&gt;= "&amp;L3)-COUNTIF(Vertices[Closeness Centrality],"&gt;="&amp;L4)</f>
        <v>0</v>
      </c>
      <c r="N3" s="38">
        <f aca="true" t="shared" si="6" ref="N3:N26">N2+($N$57-$N$2)/BinDivisor</f>
        <v>0.06270121818181817</v>
      </c>
      <c r="O3" s="39">
        <f>COUNTIF(Vertices[Eigenvector Centrality],"&gt;= "&amp;N3)-COUNTIF(Vertices[Eigenvector Centrality],"&gt;="&amp;N4)</f>
        <v>0</v>
      </c>
      <c r="P3" s="38">
        <f aca="true" t="shared" si="7" ref="P3:P26">P2+($P$57-$P$2)/BinDivisor</f>
        <v>0.7287092909090909</v>
      </c>
      <c r="Q3" s="39">
        <f>COUNTIF(Vertices[PageRank],"&gt;= "&amp;P3)-COUNTIF(Vertices[PageRank],"&gt;="&amp;P4)</f>
        <v>0</v>
      </c>
      <c r="R3" s="38">
        <f aca="true" t="shared" si="8" ref="R3:R26">R2+($R$57-$R$2)/BinDivisor</f>
        <v>0.17575757575757575</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89" t="s">
        <v>146</v>
      </c>
      <c r="B4" s="89">
        <v>9</v>
      </c>
      <c r="D4" s="32">
        <f t="shared" si="1"/>
        <v>2.0727272727272723</v>
      </c>
      <c r="E4" s="3">
        <f>COUNTIF(Vertices[Degree],"&gt;= "&amp;D4)-COUNTIF(Vertices[Degree],"&gt;="&amp;D5)</f>
        <v>0</v>
      </c>
      <c r="F4" s="36">
        <f t="shared" si="2"/>
        <v>0.14545454545454545</v>
      </c>
      <c r="G4" s="37">
        <f>COUNTIF(Vertices[In-Degree],"&gt;= "&amp;F4)-COUNTIF(Vertices[In-Degree],"&gt;="&amp;F5)</f>
        <v>0</v>
      </c>
      <c r="H4" s="36">
        <f t="shared" si="3"/>
        <v>0.14545454545454545</v>
      </c>
      <c r="I4" s="37">
        <f>COUNTIF(Vertices[Out-Degree],"&gt;= "&amp;H4)-COUNTIF(Vertices[Out-Degree],"&gt;="&amp;H5)</f>
        <v>0</v>
      </c>
      <c r="J4" s="36">
        <f t="shared" si="4"/>
        <v>1.1636363636363636</v>
      </c>
      <c r="K4" s="37">
        <f>COUNTIF(Vertices[Betweenness Centrality],"&gt;= "&amp;J4)-COUNTIF(Vertices[Betweenness Centrality],"&gt;="&amp;J5)</f>
        <v>0</v>
      </c>
      <c r="L4" s="36">
        <f t="shared" si="5"/>
        <v>0.0486846</v>
      </c>
      <c r="M4" s="37">
        <f>COUNTIF(Vertices[Closeness Centrality],"&gt;= "&amp;L4)-COUNTIF(Vertices[Closeness Centrality],"&gt;="&amp;L5)</f>
        <v>0</v>
      </c>
      <c r="N4" s="36">
        <f t="shared" si="6"/>
        <v>0.06470143636363636</v>
      </c>
      <c r="O4" s="37">
        <f>COUNTIF(Vertices[Eigenvector Centrality],"&gt;= "&amp;N4)-COUNTIF(Vertices[Eigenvector Centrality],"&gt;="&amp;N5)</f>
        <v>0</v>
      </c>
      <c r="P4" s="36">
        <f t="shared" si="7"/>
        <v>0.7406875818181817</v>
      </c>
      <c r="Q4" s="37">
        <f>COUNTIF(Vertices[PageRank],"&gt;= "&amp;P4)-COUNTIF(Vertices[PageRank],"&gt;="&amp;P5)</f>
        <v>2</v>
      </c>
      <c r="R4" s="36">
        <f t="shared" si="8"/>
        <v>0.18484848484848485</v>
      </c>
      <c r="S4" s="42">
        <f>COUNTIF(Vertices[Clustering Coefficient],"&gt;= "&amp;R4)-COUNTIF(Vertices[Clustering Coefficient],"&gt;="&amp;R5)</f>
        <v>0</v>
      </c>
      <c r="T4" s="36" t="e">
        <f ca="1" t="shared" si="9"/>
        <v>#REF!</v>
      </c>
      <c r="U4" s="37" t="e">
        <f ca="1" t="shared" si="0"/>
        <v>#REF!</v>
      </c>
      <c r="W4" s="12" t="s">
        <v>126</v>
      </c>
      <c r="X4" s="12" t="s">
        <v>128</v>
      </c>
    </row>
    <row r="5" spans="1:21" ht="15">
      <c r="A5" s="135"/>
      <c r="B5" s="135"/>
      <c r="D5" s="32">
        <f t="shared" si="1"/>
        <v>2.1090909090909085</v>
      </c>
      <c r="E5" s="3">
        <f>COUNTIF(Vertices[Degree],"&gt;= "&amp;D5)-COUNTIF(Vertices[Degree],"&gt;="&amp;D6)</f>
        <v>0</v>
      </c>
      <c r="F5" s="38">
        <f t="shared" si="2"/>
        <v>0.21818181818181817</v>
      </c>
      <c r="G5" s="39">
        <f>COUNTIF(Vertices[In-Degree],"&gt;= "&amp;F5)-COUNTIF(Vertices[In-Degree],"&gt;="&amp;F6)</f>
        <v>0</v>
      </c>
      <c r="H5" s="38">
        <f t="shared" si="3"/>
        <v>0.21818181818181817</v>
      </c>
      <c r="I5" s="39">
        <f>COUNTIF(Vertices[Out-Degree],"&gt;= "&amp;H5)-COUNTIF(Vertices[Out-Degree],"&gt;="&amp;H6)</f>
        <v>0</v>
      </c>
      <c r="J5" s="38">
        <f t="shared" si="4"/>
        <v>1.7454545454545454</v>
      </c>
      <c r="K5" s="39">
        <f>COUNTIF(Vertices[Betweenness Centrality],"&gt;= "&amp;J5)-COUNTIF(Vertices[Betweenness Centrality],"&gt;="&amp;J6)</f>
        <v>0</v>
      </c>
      <c r="L5" s="38">
        <f t="shared" si="5"/>
        <v>0.0492174</v>
      </c>
      <c r="M5" s="39">
        <f>COUNTIF(Vertices[Closeness Centrality],"&gt;= "&amp;L5)-COUNTIF(Vertices[Closeness Centrality],"&gt;="&amp;L6)</f>
        <v>0</v>
      </c>
      <c r="N5" s="38">
        <f t="shared" si="6"/>
        <v>0.06670165454545454</v>
      </c>
      <c r="O5" s="39">
        <f>COUNTIF(Vertices[Eigenvector Centrality],"&gt;= "&amp;N5)-COUNTIF(Vertices[Eigenvector Centrality],"&gt;="&amp;N6)</f>
        <v>0</v>
      </c>
      <c r="P5" s="38">
        <f t="shared" si="7"/>
        <v>0.7526658727272726</v>
      </c>
      <c r="Q5" s="39">
        <f>COUNTIF(Vertices[PageRank],"&gt;= "&amp;P5)-COUNTIF(Vertices[PageRank],"&gt;="&amp;P6)</f>
        <v>0</v>
      </c>
      <c r="R5" s="38">
        <f t="shared" si="8"/>
        <v>0.19393939393939394</v>
      </c>
      <c r="S5" s="43">
        <f>COUNTIF(Vertices[Clustering Coefficient],"&gt;= "&amp;R5)-COUNTIF(Vertices[Clustering Coefficient],"&gt;="&amp;R6)</f>
        <v>0</v>
      </c>
      <c r="T5" s="38" t="e">
        <f ca="1" t="shared" si="9"/>
        <v>#REF!</v>
      </c>
      <c r="U5" s="39" t="e">
        <f ca="1" t="shared" si="0"/>
        <v>#REF!</v>
      </c>
    </row>
    <row r="6" spans="1:21" ht="15">
      <c r="A6" s="89" t="s">
        <v>148</v>
      </c>
      <c r="B6" s="89">
        <v>8</v>
      </c>
      <c r="D6" s="32">
        <f t="shared" si="1"/>
        <v>2.1454545454545446</v>
      </c>
      <c r="E6" s="3">
        <f>COUNTIF(Vertices[Degree],"&gt;= "&amp;D6)-COUNTIF(Vertices[Degree],"&gt;="&amp;D7)</f>
        <v>0</v>
      </c>
      <c r="F6" s="36">
        <f t="shared" si="2"/>
        <v>0.2909090909090909</v>
      </c>
      <c r="G6" s="37">
        <f>COUNTIF(Vertices[In-Degree],"&gt;= "&amp;F6)-COUNTIF(Vertices[In-Degree],"&gt;="&amp;F7)</f>
        <v>0</v>
      </c>
      <c r="H6" s="36">
        <f t="shared" si="3"/>
        <v>0.2909090909090909</v>
      </c>
      <c r="I6" s="37">
        <f>COUNTIF(Vertices[Out-Degree],"&gt;= "&amp;H6)-COUNTIF(Vertices[Out-Degree],"&gt;="&amp;H7)</f>
        <v>0</v>
      </c>
      <c r="J6" s="36">
        <f t="shared" si="4"/>
        <v>2.327272727272727</v>
      </c>
      <c r="K6" s="37">
        <f>COUNTIF(Vertices[Betweenness Centrality],"&gt;= "&amp;J6)-COUNTIF(Vertices[Betweenness Centrality],"&gt;="&amp;J7)</f>
        <v>0</v>
      </c>
      <c r="L6" s="36">
        <f t="shared" si="5"/>
        <v>0.0497502</v>
      </c>
      <c r="M6" s="37">
        <f>COUNTIF(Vertices[Closeness Centrality],"&gt;= "&amp;L6)-COUNTIF(Vertices[Closeness Centrality],"&gt;="&amp;L7)</f>
        <v>3</v>
      </c>
      <c r="N6" s="36">
        <f t="shared" si="6"/>
        <v>0.06870187272727273</v>
      </c>
      <c r="O6" s="37">
        <f>COUNTIF(Vertices[Eigenvector Centrality],"&gt;= "&amp;N6)-COUNTIF(Vertices[Eigenvector Centrality],"&gt;="&amp;N7)</f>
        <v>0</v>
      </c>
      <c r="P6" s="36">
        <f t="shared" si="7"/>
        <v>0.7646441636363634</v>
      </c>
      <c r="Q6" s="37">
        <f>COUNTIF(Vertices[PageRank],"&gt;= "&amp;P6)-COUNTIF(Vertices[PageRank],"&gt;="&amp;P7)</f>
        <v>0</v>
      </c>
      <c r="R6" s="36">
        <f t="shared" si="8"/>
        <v>0.20303030303030303</v>
      </c>
      <c r="S6" s="42">
        <f>COUNTIF(Vertices[Clustering Coefficient],"&gt;= "&amp;R6)-COUNTIF(Vertices[Clustering Coefficient],"&gt;="&amp;R7)</f>
        <v>0</v>
      </c>
      <c r="T6" s="36" t="e">
        <f ca="1" t="shared" si="9"/>
        <v>#REF!</v>
      </c>
      <c r="U6" s="37" t="e">
        <f ca="1" t="shared" si="0"/>
        <v>#REF!</v>
      </c>
    </row>
    <row r="7" spans="1:21" ht="15">
      <c r="A7" s="89" t="s">
        <v>149</v>
      </c>
      <c r="B7" s="89">
        <v>15</v>
      </c>
      <c r="D7" s="32">
        <f t="shared" si="1"/>
        <v>2.1818181818181808</v>
      </c>
      <c r="E7" s="3">
        <f>COUNTIF(Vertices[Degree],"&gt;= "&amp;D7)-COUNTIF(Vertices[Degree],"&gt;="&amp;D8)</f>
        <v>0</v>
      </c>
      <c r="F7" s="38">
        <f t="shared" si="2"/>
        <v>0.36363636363636365</v>
      </c>
      <c r="G7" s="39">
        <f>COUNTIF(Vertices[In-Degree],"&gt;= "&amp;F7)-COUNTIF(Vertices[In-Degree],"&gt;="&amp;F8)</f>
        <v>0</v>
      </c>
      <c r="H7" s="38">
        <f t="shared" si="3"/>
        <v>0.36363636363636365</v>
      </c>
      <c r="I7" s="39">
        <f>COUNTIF(Vertices[Out-Degree],"&gt;= "&amp;H7)-COUNTIF(Vertices[Out-Degree],"&gt;="&amp;H8)</f>
        <v>0</v>
      </c>
      <c r="J7" s="38">
        <f t="shared" si="4"/>
        <v>2.909090909090909</v>
      </c>
      <c r="K7" s="39">
        <f>COUNTIF(Vertices[Betweenness Centrality],"&gt;= "&amp;J7)-COUNTIF(Vertices[Betweenness Centrality],"&gt;="&amp;J8)</f>
        <v>0</v>
      </c>
      <c r="L7" s="38">
        <f t="shared" si="5"/>
        <v>0.050283</v>
      </c>
      <c r="M7" s="39">
        <f>COUNTIF(Vertices[Closeness Centrality],"&gt;= "&amp;L7)-COUNTIF(Vertices[Closeness Centrality],"&gt;="&amp;L8)</f>
        <v>0</v>
      </c>
      <c r="N7" s="38">
        <f t="shared" si="6"/>
        <v>0.07070209090909091</v>
      </c>
      <c r="O7" s="39">
        <f>COUNTIF(Vertices[Eigenvector Centrality],"&gt;= "&amp;N7)-COUNTIF(Vertices[Eigenvector Centrality],"&gt;="&amp;N8)</f>
        <v>0</v>
      </c>
      <c r="P7" s="38">
        <f t="shared" si="7"/>
        <v>0.7766224545454543</v>
      </c>
      <c r="Q7" s="39">
        <f>COUNTIF(Vertices[PageRank],"&gt;= "&amp;P7)-COUNTIF(Vertices[PageRank],"&gt;="&amp;P8)</f>
        <v>0</v>
      </c>
      <c r="R7" s="38">
        <f t="shared" si="8"/>
        <v>0.21212121212121213</v>
      </c>
      <c r="S7" s="43">
        <f>COUNTIF(Vertices[Clustering Coefficient],"&gt;= "&amp;R7)-COUNTIF(Vertices[Clustering Coefficient],"&gt;="&amp;R8)</f>
        <v>0</v>
      </c>
      <c r="T7" s="38" t="e">
        <f ca="1" t="shared" si="9"/>
        <v>#REF!</v>
      </c>
      <c r="U7" s="39" t="e">
        <f ca="1" t="shared" si="0"/>
        <v>#REF!</v>
      </c>
    </row>
    <row r="8" spans="1:21" ht="15">
      <c r="A8" s="89" t="s">
        <v>150</v>
      </c>
      <c r="B8" s="89">
        <v>23</v>
      </c>
      <c r="D8" s="32">
        <f t="shared" si="1"/>
        <v>2.218181818181817</v>
      </c>
      <c r="E8" s="3">
        <f>COUNTIF(Vertices[Degree],"&gt;= "&amp;D8)-COUNTIF(Vertices[Degree],"&gt;="&amp;D9)</f>
        <v>0</v>
      </c>
      <c r="F8" s="36">
        <f t="shared" si="2"/>
        <v>0.4363636363636364</v>
      </c>
      <c r="G8" s="37">
        <f>COUNTIF(Vertices[In-Degree],"&gt;= "&amp;F8)-COUNTIF(Vertices[In-Degree],"&gt;="&amp;F9)</f>
        <v>0</v>
      </c>
      <c r="H8" s="36">
        <f t="shared" si="3"/>
        <v>0.4363636363636364</v>
      </c>
      <c r="I8" s="37">
        <f>COUNTIF(Vertices[Out-Degree],"&gt;= "&amp;H8)-COUNTIF(Vertices[Out-Degree],"&gt;="&amp;H9)</f>
        <v>0</v>
      </c>
      <c r="J8" s="36">
        <f t="shared" si="4"/>
        <v>3.490909090909091</v>
      </c>
      <c r="K8" s="37">
        <f>COUNTIF(Vertices[Betweenness Centrality],"&gt;= "&amp;J8)-COUNTIF(Vertices[Betweenness Centrality],"&gt;="&amp;J9)</f>
        <v>0</v>
      </c>
      <c r="L8" s="36">
        <f t="shared" si="5"/>
        <v>0.0508158</v>
      </c>
      <c r="M8" s="37">
        <f>COUNTIF(Vertices[Closeness Centrality],"&gt;= "&amp;L8)-COUNTIF(Vertices[Closeness Centrality],"&gt;="&amp;L9)</f>
        <v>0</v>
      </c>
      <c r="N8" s="36">
        <f t="shared" si="6"/>
        <v>0.07270230909090909</v>
      </c>
      <c r="O8" s="37">
        <f>COUNTIF(Vertices[Eigenvector Centrality],"&gt;= "&amp;N8)-COUNTIF(Vertices[Eigenvector Centrality],"&gt;="&amp;N9)</f>
        <v>0</v>
      </c>
      <c r="P8" s="36">
        <f t="shared" si="7"/>
        <v>0.7886007454545452</v>
      </c>
      <c r="Q8" s="37">
        <f>COUNTIF(Vertices[PageRank],"&gt;= "&amp;P8)-COUNTIF(Vertices[PageRank],"&gt;="&amp;P9)</f>
        <v>0</v>
      </c>
      <c r="R8" s="36">
        <f t="shared" si="8"/>
        <v>0.22121212121212122</v>
      </c>
      <c r="S8" s="42">
        <f>COUNTIF(Vertices[Clustering Coefficient],"&gt;= "&amp;R8)-COUNTIF(Vertices[Clustering Coefficient],"&gt;="&amp;R9)</f>
        <v>0</v>
      </c>
      <c r="T8" s="36" t="e">
        <f ca="1" t="shared" si="9"/>
        <v>#REF!</v>
      </c>
      <c r="U8" s="37" t="e">
        <f ca="1" t="shared" si="0"/>
        <v>#REF!</v>
      </c>
    </row>
    <row r="9" spans="1:21" ht="15">
      <c r="A9" s="135"/>
      <c r="B9" s="135"/>
      <c r="D9" s="32">
        <f t="shared" si="1"/>
        <v>2.254545454545453</v>
      </c>
      <c r="E9" s="3">
        <f>COUNTIF(Vertices[Degree],"&gt;= "&amp;D9)-COUNTIF(Vertices[Degree],"&gt;="&amp;D10)</f>
        <v>0</v>
      </c>
      <c r="F9" s="38">
        <f t="shared" si="2"/>
        <v>0.5090909090909091</v>
      </c>
      <c r="G9" s="39">
        <f>COUNTIF(Vertices[In-Degree],"&gt;= "&amp;F9)-COUNTIF(Vertices[In-Degree],"&gt;="&amp;F10)</f>
        <v>0</v>
      </c>
      <c r="H9" s="38">
        <f t="shared" si="3"/>
        <v>0.5090909090909091</v>
      </c>
      <c r="I9" s="39">
        <f>COUNTIF(Vertices[Out-Degree],"&gt;= "&amp;H9)-COUNTIF(Vertices[Out-Degree],"&gt;="&amp;H10)</f>
        <v>0</v>
      </c>
      <c r="J9" s="38">
        <f t="shared" si="4"/>
        <v>4.072727272727273</v>
      </c>
      <c r="K9" s="39">
        <f>COUNTIF(Vertices[Betweenness Centrality],"&gt;= "&amp;J9)-COUNTIF(Vertices[Betweenness Centrality],"&gt;="&amp;J10)</f>
        <v>0</v>
      </c>
      <c r="L9" s="38">
        <f t="shared" si="5"/>
        <v>0.0513486</v>
      </c>
      <c r="M9" s="39">
        <f>COUNTIF(Vertices[Closeness Centrality],"&gt;= "&amp;L9)-COUNTIF(Vertices[Closeness Centrality],"&gt;="&amp;L10)</f>
        <v>0</v>
      </c>
      <c r="N9" s="38">
        <f t="shared" si="6"/>
        <v>0.07470252727272728</v>
      </c>
      <c r="O9" s="39">
        <f>COUNTIF(Vertices[Eigenvector Centrality],"&gt;= "&amp;N9)-COUNTIF(Vertices[Eigenvector Centrality],"&gt;="&amp;N10)</f>
        <v>1</v>
      </c>
      <c r="P9" s="38">
        <f t="shared" si="7"/>
        <v>0.800579036363636</v>
      </c>
      <c r="Q9" s="39">
        <f>COUNTIF(Vertices[PageRank],"&gt;= "&amp;P9)-COUNTIF(Vertices[PageRank],"&gt;="&amp;P10)</f>
        <v>0</v>
      </c>
      <c r="R9" s="38">
        <f t="shared" si="8"/>
        <v>0.23030303030303031</v>
      </c>
      <c r="S9" s="43">
        <f>COUNTIF(Vertices[Clustering Coefficient],"&gt;= "&amp;R9)-COUNTIF(Vertices[Clustering Coefficient],"&gt;="&amp;R10)</f>
        <v>0</v>
      </c>
      <c r="T9" s="38" t="e">
        <f ca="1" t="shared" si="9"/>
        <v>#REF!</v>
      </c>
      <c r="U9" s="39" t="e">
        <f ca="1" t="shared" si="0"/>
        <v>#REF!</v>
      </c>
    </row>
    <row r="10" spans="1:21" ht="15">
      <c r="A10" s="89" t="s">
        <v>151</v>
      </c>
      <c r="B10" s="89">
        <v>0</v>
      </c>
      <c r="D10" s="32">
        <f t="shared" si="1"/>
        <v>2.2909090909090892</v>
      </c>
      <c r="E10" s="3">
        <f>COUNTIF(Vertices[Degree],"&gt;= "&amp;D10)-COUNTIF(Vertices[Degree],"&gt;="&amp;D11)</f>
        <v>0</v>
      </c>
      <c r="F10" s="36">
        <f t="shared" si="2"/>
        <v>0.5818181818181819</v>
      </c>
      <c r="G10" s="37">
        <f>COUNTIF(Vertices[In-Degree],"&gt;= "&amp;F10)-COUNTIF(Vertices[In-Degree],"&gt;="&amp;F11)</f>
        <v>0</v>
      </c>
      <c r="H10" s="36">
        <f t="shared" si="3"/>
        <v>0.5818181818181819</v>
      </c>
      <c r="I10" s="37">
        <f>COUNTIF(Vertices[Out-Degree],"&gt;= "&amp;H10)-COUNTIF(Vertices[Out-Degree],"&gt;="&amp;H11)</f>
        <v>0</v>
      </c>
      <c r="J10" s="36">
        <f t="shared" si="4"/>
        <v>4.654545454545455</v>
      </c>
      <c r="K10" s="37">
        <f>COUNTIF(Vertices[Betweenness Centrality],"&gt;= "&amp;J10)-COUNTIF(Vertices[Betweenness Centrality],"&gt;="&amp;J11)</f>
        <v>1</v>
      </c>
      <c r="L10" s="36">
        <f t="shared" si="5"/>
        <v>0.0518814</v>
      </c>
      <c r="M10" s="37">
        <f>COUNTIF(Vertices[Closeness Centrality],"&gt;= "&amp;L10)-COUNTIF(Vertices[Closeness Centrality],"&gt;="&amp;L11)</f>
        <v>0</v>
      </c>
      <c r="N10" s="36">
        <f t="shared" si="6"/>
        <v>0.07670274545454546</v>
      </c>
      <c r="O10" s="37">
        <f>COUNTIF(Vertices[Eigenvector Centrality],"&gt;= "&amp;N10)-COUNTIF(Vertices[Eigenvector Centrality],"&gt;="&amp;N11)</f>
        <v>0</v>
      </c>
      <c r="P10" s="36">
        <f t="shared" si="7"/>
        <v>0.8125573272727269</v>
      </c>
      <c r="Q10" s="37">
        <f>COUNTIF(Vertices[PageRank],"&gt;= "&amp;P10)-COUNTIF(Vertices[PageRank],"&gt;="&amp;P11)</f>
        <v>0</v>
      </c>
      <c r="R10" s="36">
        <f t="shared" si="8"/>
        <v>0.2393939393939394</v>
      </c>
      <c r="S10" s="42">
        <f>COUNTIF(Vertices[Clustering Coefficient],"&gt;= "&amp;R10)-COUNTIF(Vertices[Clustering Coefficient],"&gt;="&amp;R11)</f>
        <v>0</v>
      </c>
      <c r="T10" s="36" t="e">
        <f ca="1" t="shared" si="9"/>
        <v>#REF!</v>
      </c>
      <c r="U10" s="37" t="e">
        <f ca="1" t="shared" si="0"/>
        <v>#REF!</v>
      </c>
    </row>
    <row r="11" spans="1:21" ht="15">
      <c r="A11" s="135"/>
      <c r="B11" s="135"/>
      <c r="D11" s="32">
        <f t="shared" si="1"/>
        <v>2.3272727272727254</v>
      </c>
      <c r="E11" s="3">
        <f>COUNTIF(Vertices[Degree],"&gt;= "&amp;D11)-COUNTIF(Vertices[Degree],"&gt;="&amp;D12)</f>
        <v>0</v>
      </c>
      <c r="F11" s="38">
        <f t="shared" si="2"/>
        <v>0.6545454545454547</v>
      </c>
      <c r="G11" s="39">
        <f>COUNTIF(Vertices[In-Degree],"&gt;= "&amp;F11)-COUNTIF(Vertices[In-Degree],"&gt;="&amp;F12)</f>
        <v>0</v>
      </c>
      <c r="H11" s="38">
        <f t="shared" si="3"/>
        <v>0.6545454545454547</v>
      </c>
      <c r="I11" s="39">
        <f>COUNTIF(Vertices[Out-Degree],"&gt;= "&amp;H11)-COUNTIF(Vertices[Out-Degree],"&gt;="&amp;H12)</f>
        <v>0</v>
      </c>
      <c r="J11" s="38">
        <f t="shared" si="4"/>
        <v>5.236363636363637</v>
      </c>
      <c r="K11" s="39">
        <f>COUNTIF(Vertices[Betweenness Centrality],"&gt;= "&amp;J11)-COUNTIF(Vertices[Betweenness Centrality],"&gt;="&amp;J12)</f>
        <v>0</v>
      </c>
      <c r="L11" s="38">
        <f t="shared" si="5"/>
        <v>0.0524142</v>
      </c>
      <c r="M11" s="39">
        <f>COUNTIF(Vertices[Closeness Centrality],"&gt;= "&amp;L11)-COUNTIF(Vertices[Closeness Centrality],"&gt;="&amp;L12)</f>
        <v>1</v>
      </c>
      <c r="N11" s="38">
        <f t="shared" si="6"/>
        <v>0.07870296363636364</v>
      </c>
      <c r="O11" s="39">
        <f>COUNTIF(Vertices[Eigenvector Centrality],"&gt;= "&amp;N11)-COUNTIF(Vertices[Eigenvector Centrality],"&gt;="&amp;N12)</f>
        <v>0</v>
      </c>
      <c r="P11" s="38">
        <f t="shared" si="7"/>
        <v>0.8245356181818178</v>
      </c>
      <c r="Q11" s="39">
        <f>COUNTIF(Vertices[PageRank],"&gt;= "&amp;P11)-COUNTIF(Vertices[PageRank],"&gt;="&amp;P12)</f>
        <v>0</v>
      </c>
      <c r="R11" s="38">
        <f t="shared" si="8"/>
        <v>0.2484848484848485</v>
      </c>
      <c r="S11" s="43">
        <f>COUNTIF(Vertices[Clustering Coefficient],"&gt;= "&amp;R11)-COUNTIF(Vertices[Clustering Coefficient],"&gt;="&amp;R12)</f>
        <v>1</v>
      </c>
      <c r="T11" s="38" t="e">
        <f ca="1" t="shared" si="9"/>
        <v>#REF!</v>
      </c>
      <c r="U11" s="39" t="e">
        <f ca="1" t="shared" si="0"/>
        <v>#REF!</v>
      </c>
    </row>
    <row r="12" spans="1:21" ht="15">
      <c r="A12" s="89" t="s">
        <v>170</v>
      </c>
      <c r="B12" s="89">
        <v>0.15384615384615385</v>
      </c>
      <c r="D12" s="32">
        <f t="shared" si="1"/>
        <v>2.3636363636363615</v>
      </c>
      <c r="E12" s="3">
        <f>COUNTIF(Vertices[Degree],"&gt;= "&amp;D12)-COUNTIF(Vertices[Degree],"&gt;="&amp;D13)</f>
        <v>0</v>
      </c>
      <c r="F12" s="36">
        <f t="shared" si="2"/>
        <v>0.7272727272727274</v>
      </c>
      <c r="G12" s="37">
        <f>COUNTIF(Vertices[In-Degree],"&gt;= "&amp;F12)-COUNTIF(Vertices[In-Degree],"&gt;="&amp;F13)</f>
        <v>0</v>
      </c>
      <c r="H12" s="36">
        <f t="shared" si="3"/>
        <v>0.7272727272727274</v>
      </c>
      <c r="I12" s="37">
        <f>COUNTIF(Vertices[Out-Degree],"&gt;= "&amp;H12)-COUNTIF(Vertices[Out-Degree],"&gt;="&amp;H13)</f>
        <v>0</v>
      </c>
      <c r="J12" s="36">
        <f t="shared" si="4"/>
        <v>5.818181818181819</v>
      </c>
      <c r="K12" s="37">
        <f>COUNTIF(Vertices[Betweenness Centrality],"&gt;= "&amp;J12)-COUNTIF(Vertices[Betweenness Centrality],"&gt;="&amp;J13)</f>
        <v>0</v>
      </c>
      <c r="L12" s="36">
        <f t="shared" si="5"/>
        <v>0.052947</v>
      </c>
      <c r="M12" s="37">
        <f>COUNTIF(Vertices[Closeness Centrality],"&gt;= "&amp;L12)-COUNTIF(Vertices[Closeness Centrality],"&gt;="&amp;L13)</f>
        <v>0</v>
      </c>
      <c r="N12" s="36">
        <f t="shared" si="6"/>
        <v>0.08070318181818183</v>
      </c>
      <c r="O12" s="37">
        <f>COUNTIF(Vertices[Eigenvector Centrality],"&gt;= "&amp;N12)-COUNTIF(Vertices[Eigenvector Centrality],"&gt;="&amp;N13)</f>
        <v>0</v>
      </c>
      <c r="P12" s="36">
        <f t="shared" si="7"/>
        <v>0.8365139090909086</v>
      </c>
      <c r="Q12" s="37">
        <f>COUNTIF(Vertices[PageRank],"&gt;= "&amp;P12)-COUNTIF(Vertices[PageRank],"&gt;="&amp;P13)</f>
        <v>0</v>
      </c>
      <c r="R12" s="36">
        <f t="shared" si="8"/>
        <v>0.25757575757575757</v>
      </c>
      <c r="S12" s="42">
        <f>COUNTIF(Vertices[Clustering Coefficient],"&gt;= "&amp;R12)-COUNTIF(Vertices[Clustering Coefficient],"&gt;="&amp;R13)</f>
        <v>0</v>
      </c>
      <c r="T12" s="36" t="e">
        <f ca="1" t="shared" si="9"/>
        <v>#REF!</v>
      </c>
      <c r="U12" s="37" t="e">
        <f ca="1" t="shared" si="0"/>
        <v>#REF!</v>
      </c>
    </row>
    <row r="13" spans="1:21" ht="15">
      <c r="A13" s="89" t="s">
        <v>171</v>
      </c>
      <c r="B13" s="89">
        <v>0.26666666666666666</v>
      </c>
      <c r="D13" s="32">
        <f t="shared" si="1"/>
        <v>2.3999999999999977</v>
      </c>
      <c r="E13" s="3">
        <f>COUNTIF(Vertices[Degree],"&gt;= "&amp;D13)-COUNTIF(Vertices[Degree],"&gt;="&amp;D14)</f>
        <v>0</v>
      </c>
      <c r="F13" s="38">
        <f t="shared" si="2"/>
        <v>0.8000000000000002</v>
      </c>
      <c r="G13" s="39">
        <f>COUNTIF(Vertices[In-Degree],"&gt;= "&amp;F13)-COUNTIF(Vertices[In-Degree],"&gt;="&amp;F14)</f>
        <v>0</v>
      </c>
      <c r="H13" s="38">
        <f t="shared" si="3"/>
        <v>0.8000000000000002</v>
      </c>
      <c r="I13" s="39">
        <f>COUNTIF(Vertices[Out-Degree],"&gt;= "&amp;H13)-COUNTIF(Vertices[Out-Degree],"&gt;="&amp;H14)</f>
        <v>0</v>
      </c>
      <c r="J13" s="38">
        <f t="shared" si="4"/>
        <v>6.400000000000001</v>
      </c>
      <c r="K13" s="39">
        <f>COUNTIF(Vertices[Betweenness Centrality],"&gt;= "&amp;J13)-COUNTIF(Vertices[Betweenness Centrality],"&gt;="&amp;J14)</f>
        <v>0</v>
      </c>
      <c r="L13" s="38">
        <f t="shared" si="5"/>
        <v>0.0534798</v>
      </c>
      <c r="M13" s="39">
        <f>COUNTIF(Vertices[Closeness Centrality],"&gt;= "&amp;L13)-COUNTIF(Vertices[Closeness Centrality],"&gt;="&amp;L14)</f>
        <v>0</v>
      </c>
      <c r="N13" s="38">
        <f t="shared" si="6"/>
        <v>0.08270340000000001</v>
      </c>
      <c r="O13" s="39">
        <f>COUNTIF(Vertices[Eigenvector Centrality],"&gt;= "&amp;N13)-COUNTIF(Vertices[Eigenvector Centrality],"&gt;="&amp;N14)</f>
        <v>0</v>
      </c>
      <c r="P13" s="38">
        <f t="shared" si="7"/>
        <v>0.8484921999999995</v>
      </c>
      <c r="Q13" s="39">
        <f>COUNTIF(Vertices[PageRank],"&gt;= "&amp;P13)-COUNTIF(Vertices[PageRank],"&gt;="&amp;P14)</f>
        <v>0</v>
      </c>
      <c r="R13" s="38">
        <f t="shared" si="8"/>
        <v>0.26666666666666666</v>
      </c>
      <c r="S13" s="43">
        <f>COUNTIF(Vertices[Clustering Coefficient],"&gt;= "&amp;R13)-COUNTIF(Vertices[Clustering Coefficient],"&gt;="&amp;R14)</f>
        <v>0</v>
      </c>
      <c r="T13" s="38" t="e">
        <f ca="1" t="shared" si="9"/>
        <v>#REF!</v>
      </c>
      <c r="U13" s="39" t="e">
        <f ca="1" t="shared" si="0"/>
        <v>#REF!</v>
      </c>
    </row>
    <row r="14" spans="1:21" ht="15">
      <c r="A14" s="135"/>
      <c r="B14" s="135"/>
      <c r="D14" s="32">
        <f t="shared" si="1"/>
        <v>2.436363636363634</v>
      </c>
      <c r="E14" s="3">
        <f>COUNTIF(Vertices[Degree],"&gt;= "&amp;D14)-COUNTIF(Vertices[Degree],"&gt;="&amp;D15)</f>
        <v>0</v>
      </c>
      <c r="F14" s="36">
        <f t="shared" si="2"/>
        <v>0.8727272727272729</v>
      </c>
      <c r="G14" s="37">
        <f>COUNTIF(Vertices[In-Degree],"&gt;= "&amp;F14)-COUNTIF(Vertices[In-Degree],"&gt;="&amp;F15)</f>
        <v>0</v>
      </c>
      <c r="H14" s="36">
        <f t="shared" si="3"/>
        <v>0.8727272727272729</v>
      </c>
      <c r="I14" s="37">
        <f>COUNTIF(Vertices[Out-Degree],"&gt;= "&amp;H14)-COUNTIF(Vertices[Out-Degree],"&gt;="&amp;H15)</f>
        <v>0</v>
      </c>
      <c r="J14" s="36">
        <f t="shared" si="4"/>
        <v>6.981818181818183</v>
      </c>
      <c r="K14" s="37">
        <f>COUNTIF(Vertices[Betweenness Centrality],"&gt;= "&amp;J14)-COUNTIF(Vertices[Betweenness Centrality],"&gt;="&amp;J15)</f>
        <v>0</v>
      </c>
      <c r="L14" s="36">
        <f t="shared" si="5"/>
        <v>0.0540126</v>
      </c>
      <c r="M14" s="37">
        <f>COUNTIF(Vertices[Closeness Centrality],"&gt;= "&amp;L14)-COUNTIF(Vertices[Closeness Centrality],"&gt;="&amp;L15)</f>
        <v>0</v>
      </c>
      <c r="N14" s="36">
        <f t="shared" si="6"/>
        <v>0.0847036181818182</v>
      </c>
      <c r="O14" s="37">
        <f>COUNTIF(Vertices[Eigenvector Centrality],"&gt;= "&amp;N14)-COUNTIF(Vertices[Eigenvector Centrality],"&gt;="&amp;N15)</f>
        <v>0</v>
      </c>
      <c r="P14" s="36">
        <f t="shared" si="7"/>
        <v>0.8604704909090903</v>
      </c>
      <c r="Q14" s="37">
        <f>COUNTIF(Vertices[PageRank],"&gt;= "&amp;P14)-COUNTIF(Vertices[PageRank],"&gt;="&amp;P15)</f>
        <v>0</v>
      </c>
      <c r="R14" s="36">
        <f t="shared" si="8"/>
        <v>0.27575757575757576</v>
      </c>
      <c r="S14" s="42">
        <f>COUNTIF(Vertices[Clustering Coefficient],"&gt;= "&amp;R14)-COUNTIF(Vertices[Clustering Coefficient],"&gt;="&amp;R15)</f>
        <v>0</v>
      </c>
      <c r="T14" s="36" t="e">
        <f ca="1" t="shared" si="9"/>
        <v>#REF!</v>
      </c>
      <c r="U14" s="37" t="e">
        <f ca="1" t="shared" si="0"/>
        <v>#REF!</v>
      </c>
    </row>
    <row r="15" spans="1:21" ht="15">
      <c r="A15" s="89" t="s">
        <v>152</v>
      </c>
      <c r="B15" s="89">
        <v>1</v>
      </c>
      <c r="D15" s="32">
        <f t="shared" si="1"/>
        <v>2.47272727272727</v>
      </c>
      <c r="E15" s="3">
        <f>COUNTIF(Vertices[Degree],"&gt;= "&amp;D15)-COUNTIF(Vertices[Degree],"&gt;="&amp;D16)</f>
        <v>0</v>
      </c>
      <c r="F15" s="38">
        <f t="shared" si="2"/>
        <v>0.9454545454545457</v>
      </c>
      <c r="G15" s="39">
        <f>COUNTIF(Vertices[In-Degree],"&gt;= "&amp;F15)-COUNTIF(Vertices[In-Degree],"&gt;="&amp;F16)</f>
        <v>3</v>
      </c>
      <c r="H15" s="38">
        <f t="shared" si="3"/>
        <v>0.9454545454545457</v>
      </c>
      <c r="I15" s="39">
        <f>COUNTIF(Vertices[Out-Degree],"&gt;= "&amp;H15)-COUNTIF(Vertices[Out-Degree],"&gt;="&amp;H16)</f>
        <v>4</v>
      </c>
      <c r="J15" s="38">
        <f t="shared" si="4"/>
        <v>7.563636363636365</v>
      </c>
      <c r="K15" s="39">
        <f>COUNTIF(Vertices[Betweenness Centrality],"&gt;= "&amp;J15)-COUNTIF(Vertices[Betweenness Centrality],"&gt;="&amp;J16)</f>
        <v>0</v>
      </c>
      <c r="L15" s="38">
        <f t="shared" si="5"/>
        <v>0.0545454</v>
      </c>
      <c r="M15" s="39">
        <f>COUNTIF(Vertices[Closeness Centrality],"&gt;= "&amp;L15)-COUNTIF(Vertices[Closeness Centrality],"&gt;="&amp;L16)</f>
        <v>0</v>
      </c>
      <c r="N15" s="38">
        <f t="shared" si="6"/>
        <v>0.08670383636363638</v>
      </c>
      <c r="O15" s="39">
        <f>COUNTIF(Vertices[Eigenvector Centrality],"&gt;= "&amp;N15)-COUNTIF(Vertices[Eigenvector Centrality],"&gt;="&amp;N16)</f>
        <v>0</v>
      </c>
      <c r="P15" s="38">
        <f t="shared" si="7"/>
        <v>0.8724487818181812</v>
      </c>
      <c r="Q15" s="39">
        <f>COUNTIF(Vertices[PageRank],"&gt;= "&amp;P15)-COUNTIF(Vertices[PageRank],"&gt;="&amp;P16)</f>
        <v>0</v>
      </c>
      <c r="R15" s="38">
        <f t="shared" si="8"/>
        <v>0.28484848484848485</v>
      </c>
      <c r="S15" s="43">
        <f>COUNTIF(Vertices[Clustering Coefficient],"&gt;= "&amp;R15)-COUNTIF(Vertices[Clustering Coefficient],"&gt;="&amp;R16)</f>
        <v>0</v>
      </c>
      <c r="T15" s="38" t="e">
        <f ca="1" t="shared" si="9"/>
        <v>#REF!</v>
      </c>
      <c r="U15" s="39" t="e">
        <f ca="1" t="shared" si="0"/>
        <v>#REF!</v>
      </c>
    </row>
    <row r="16" spans="1:21" ht="15">
      <c r="A16" s="89" t="s">
        <v>153</v>
      </c>
      <c r="B16" s="89">
        <v>0</v>
      </c>
      <c r="D16" s="32">
        <f t="shared" si="1"/>
        <v>2.509090909090906</v>
      </c>
      <c r="E16" s="3">
        <f>COUNTIF(Vertices[Degree],"&gt;= "&amp;D16)-COUNTIF(Vertices[Degree],"&gt;="&amp;D17)</f>
        <v>0</v>
      </c>
      <c r="F16" s="36">
        <f t="shared" si="2"/>
        <v>1.0181818181818183</v>
      </c>
      <c r="G16" s="37">
        <f>COUNTIF(Vertices[In-Degree],"&gt;= "&amp;F16)-COUNTIF(Vertices[In-Degree],"&gt;="&amp;F17)</f>
        <v>0</v>
      </c>
      <c r="H16" s="36">
        <f t="shared" si="3"/>
        <v>1.0181818181818183</v>
      </c>
      <c r="I16" s="37">
        <f>COUNTIF(Vertices[Out-Degree],"&gt;= "&amp;H16)-COUNTIF(Vertices[Out-Degree],"&gt;="&amp;H17)</f>
        <v>0</v>
      </c>
      <c r="J16" s="36">
        <f t="shared" si="4"/>
        <v>8.145454545454546</v>
      </c>
      <c r="K16" s="37">
        <f>COUNTIF(Vertices[Betweenness Centrality],"&gt;= "&amp;J16)-COUNTIF(Vertices[Betweenness Centrality],"&gt;="&amp;J17)</f>
        <v>0</v>
      </c>
      <c r="L16" s="36">
        <f t="shared" si="5"/>
        <v>0.0550782</v>
      </c>
      <c r="M16" s="37">
        <f>COUNTIF(Vertices[Closeness Centrality],"&gt;= "&amp;L16)-COUNTIF(Vertices[Closeness Centrality],"&gt;="&amp;L17)</f>
        <v>0</v>
      </c>
      <c r="N16" s="36">
        <f t="shared" si="6"/>
        <v>0.08870405454545456</v>
      </c>
      <c r="O16" s="37">
        <f>COUNTIF(Vertices[Eigenvector Centrality],"&gt;= "&amp;N16)-COUNTIF(Vertices[Eigenvector Centrality],"&gt;="&amp;N17)</f>
        <v>0</v>
      </c>
      <c r="P16" s="36">
        <f t="shared" si="7"/>
        <v>0.8844270727272721</v>
      </c>
      <c r="Q16" s="37">
        <f>COUNTIF(Vertices[PageRank],"&gt;= "&amp;P16)-COUNTIF(Vertices[PageRank],"&gt;="&amp;P17)</f>
        <v>0</v>
      </c>
      <c r="R16" s="36">
        <f t="shared" si="8"/>
        <v>0.29393939393939394</v>
      </c>
      <c r="S16" s="42">
        <f>COUNTIF(Vertices[Clustering Coefficient],"&gt;= "&amp;R16)-COUNTIF(Vertices[Clustering Coefficient],"&gt;="&amp;R17)</f>
        <v>0</v>
      </c>
      <c r="T16" s="36" t="e">
        <f ca="1" t="shared" si="9"/>
        <v>#REF!</v>
      </c>
      <c r="U16" s="37" t="e">
        <f ca="1" t="shared" si="0"/>
        <v>#REF!</v>
      </c>
    </row>
    <row r="17" spans="1:21" ht="15">
      <c r="A17" s="89" t="s">
        <v>154</v>
      </c>
      <c r="B17" s="89">
        <v>9</v>
      </c>
      <c r="D17" s="32">
        <f t="shared" si="1"/>
        <v>2.5454545454545423</v>
      </c>
      <c r="E17" s="3">
        <f>COUNTIF(Vertices[Degree],"&gt;= "&amp;D17)-COUNTIF(Vertices[Degree],"&gt;="&amp;D18)</f>
        <v>0</v>
      </c>
      <c r="F17" s="38">
        <f t="shared" si="2"/>
        <v>1.090909090909091</v>
      </c>
      <c r="G17" s="39">
        <f>COUNTIF(Vertices[In-Degree],"&gt;= "&amp;F17)-COUNTIF(Vertices[In-Degree],"&gt;="&amp;F18)</f>
        <v>0</v>
      </c>
      <c r="H17" s="38">
        <f t="shared" si="3"/>
        <v>1.090909090909091</v>
      </c>
      <c r="I17" s="39">
        <f>COUNTIF(Vertices[Out-Degree],"&gt;= "&amp;H17)-COUNTIF(Vertices[Out-Degree],"&gt;="&amp;H18)</f>
        <v>0</v>
      </c>
      <c r="J17" s="38">
        <f t="shared" si="4"/>
        <v>8.727272727272728</v>
      </c>
      <c r="K17" s="39">
        <f>COUNTIF(Vertices[Betweenness Centrality],"&gt;= "&amp;J17)-COUNTIF(Vertices[Betweenness Centrality],"&gt;="&amp;J18)</f>
        <v>0</v>
      </c>
      <c r="L17" s="38">
        <f t="shared" si="5"/>
        <v>0.055611</v>
      </c>
      <c r="M17" s="39">
        <f>COUNTIF(Vertices[Closeness Centrality],"&gt;= "&amp;L17)-COUNTIF(Vertices[Closeness Centrality],"&gt;="&amp;L18)</f>
        <v>0</v>
      </c>
      <c r="N17" s="38">
        <f t="shared" si="6"/>
        <v>0.09070427272727274</v>
      </c>
      <c r="O17" s="39">
        <f>COUNTIF(Vertices[Eigenvector Centrality],"&gt;= "&amp;N17)-COUNTIF(Vertices[Eigenvector Centrality],"&gt;="&amp;N18)</f>
        <v>0</v>
      </c>
      <c r="P17" s="38">
        <f t="shared" si="7"/>
        <v>0.8964053636363629</v>
      </c>
      <c r="Q17" s="39">
        <f>COUNTIF(Vertices[PageRank],"&gt;= "&amp;P17)-COUNTIF(Vertices[PageRank],"&gt;="&amp;P18)</f>
        <v>0</v>
      </c>
      <c r="R17" s="38">
        <f t="shared" si="8"/>
        <v>0.30303030303030304</v>
      </c>
      <c r="S17" s="43">
        <f>COUNTIF(Vertices[Clustering Coefficient],"&gt;= "&amp;R17)-COUNTIF(Vertices[Clustering Coefficient],"&gt;="&amp;R18)</f>
        <v>0</v>
      </c>
      <c r="T17" s="38" t="e">
        <f ca="1" t="shared" si="9"/>
        <v>#REF!</v>
      </c>
      <c r="U17" s="39" t="e">
        <f ca="1" t="shared" si="0"/>
        <v>#REF!</v>
      </c>
    </row>
    <row r="18" spans="1:21" ht="15">
      <c r="A18" s="89" t="s">
        <v>155</v>
      </c>
      <c r="B18" s="89">
        <v>23</v>
      </c>
      <c r="D18" s="32">
        <f t="shared" si="1"/>
        <v>2.5818181818181785</v>
      </c>
      <c r="E18" s="3">
        <f>COUNTIF(Vertices[Degree],"&gt;= "&amp;D18)-COUNTIF(Vertices[Degree],"&gt;="&amp;D19)</f>
        <v>0</v>
      </c>
      <c r="F18" s="36">
        <f t="shared" si="2"/>
        <v>1.1636363636363638</v>
      </c>
      <c r="G18" s="37">
        <f>COUNTIF(Vertices[In-Degree],"&gt;= "&amp;F18)-COUNTIF(Vertices[In-Degree],"&gt;="&amp;F19)</f>
        <v>0</v>
      </c>
      <c r="H18" s="36">
        <f t="shared" si="3"/>
        <v>1.1636363636363638</v>
      </c>
      <c r="I18" s="37">
        <f>COUNTIF(Vertices[Out-Degree],"&gt;= "&amp;H18)-COUNTIF(Vertices[Out-Degree],"&gt;="&amp;H19)</f>
        <v>0</v>
      </c>
      <c r="J18" s="36">
        <f t="shared" si="4"/>
        <v>9.30909090909091</v>
      </c>
      <c r="K18" s="37">
        <f>COUNTIF(Vertices[Betweenness Centrality],"&gt;= "&amp;J18)-COUNTIF(Vertices[Betweenness Centrality],"&gt;="&amp;J19)</f>
        <v>0</v>
      </c>
      <c r="L18" s="36">
        <f t="shared" si="5"/>
        <v>0.0561438</v>
      </c>
      <c r="M18" s="37">
        <f>COUNTIF(Vertices[Closeness Centrality],"&gt;= "&amp;L18)-COUNTIF(Vertices[Closeness Centrality],"&gt;="&amp;L19)</f>
        <v>0</v>
      </c>
      <c r="N18" s="36">
        <f t="shared" si="6"/>
        <v>0.09270449090909093</v>
      </c>
      <c r="O18" s="37">
        <f>COUNTIF(Vertices[Eigenvector Centrality],"&gt;= "&amp;N18)-COUNTIF(Vertices[Eigenvector Centrality],"&gt;="&amp;N19)</f>
        <v>0</v>
      </c>
      <c r="P18" s="36">
        <f t="shared" si="7"/>
        <v>0.9083836545454538</v>
      </c>
      <c r="Q18" s="37">
        <f>COUNTIF(Vertices[PageRank],"&gt;= "&amp;P18)-COUNTIF(Vertices[PageRank],"&gt;="&amp;P19)</f>
        <v>0</v>
      </c>
      <c r="R18" s="36">
        <f t="shared" si="8"/>
        <v>0.31212121212121213</v>
      </c>
      <c r="S18" s="42">
        <f>COUNTIF(Vertices[Clustering Coefficient],"&gt;= "&amp;R18)-COUNTIF(Vertices[Clustering Coefficient],"&gt;="&amp;R19)</f>
        <v>0</v>
      </c>
      <c r="T18" s="36" t="e">
        <f ca="1" t="shared" si="9"/>
        <v>#REF!</v>
      </c>
      <c r="U18" s="37" t="e">
        <f ca="1" t="shared" si="0"/>
        <v>#REF!</v>
      </c>
    </row>
    <row r="19" spans="1:21" ht="15">
      <c r="A19" s="135"/>
      <c r="B19" s="135"/>
      <c r="D19" s="32">
        <f t="shared" si="1"/>
        <v>2.6181818181818146</v>
      </c>
      <c r="E19" s="3">
        <f>COUNTIF(Vertices[Degree],"&gt;= "&amp;D19)-COUNTIF(Vertices[Degree],"&gt;="&amp;D20)</f>
        <v>0</v>
      </c>
      <c r="F19" s="38">
        <f t="shared" si="2"/>
        <v>1.2363636363636366</v>
      </c>
      <c r="G19" s="39">
        <f>COUNTIF(Vertices[In-Degree],"&gt;= "&amp;F19)-COUNTIF(Vertices[In-Degree],"&gt;="&amp;F20)</f>
        <v>0</v>
      </c>
      <c r="H19" s="38">
        <f t="shared" si="3"/>
        <v>1.2363636363636366</v>
      </c>
      <c r="I19" s="39">
        <f>COUNTIF(Vertices[Out-Degree],"&gt;= "&amp;H19)-COUNTIF(Vertices[Out-Degree],"&gt;="&amp;H20)</f>
        <v>0</v>
      </c>
      <c r="J19" s="38">
        <f t="shared" si="4"/>
        <v>9.890909090909092</v>
      </c>
      <c r="K19" s="39">
        <f>COUNTIF(Vertices[Betweenness Centrality],"&gt;= "&amp;J19)-COUNTIF(Vertices[Betweenness Centrality],"&gt;="&amp;J20)</f>
        <v>0</v>
      </c>
      <c r="L19" s="38">
        <f t="shared" si="5"/>
        <v>0.0566766</v>
      </c>
      <c r="M19" s="39">
        <f>COUNTIF(Vertices[Closeness Centrality],"&gt;= "&amp;L19)-COUNTIF(Vertices[Closeness Centrality],"&gt;="&amp;L20)</f>
        <v>0</v>
      </c>
      <c r="N19" s="38">
        <f t="shared" si="6"/>
        <v>0.09470470909090911</v>
      </c>
      <c r="O19" s="39">
        <f>COUNTIF(Vertices[Eigenvector Centrality],"&gt;= "&amp;N19)-COUNTIF(Vertices[Eigenvector Centrality],"&gt;="&amp;N20)</f>
        <v>0</v>
      </c>
      <c r="P19" s="38">
        <f t="shared" si="7"/>
        <v>0.9203619454545446</v>
      </c>
      <c r="Q19" s="39">
        <f>COUNTIF(Vertices[PageRank],"&gt;= "&amp;P19)-COUNTIF(Vertices[PageRank],"&gt;="&amp;P20)</f>
        <v>0</v>
      </c>
      <c r="R19" s="38">
        <f t="shared" si="8"/>
        <v>0.3212121212121212</v>
      </c>
      <c r="S19" s="43">
        <f>COUNTIF(Vertices[Clustering Coefficient],"&gt;= "&amp;R19)-COUNTIF(Vertices[Clustering Coefficient],"&gt;="&amp;R20)</f>
        <v>0</v>
      </c>
      <c r="T19" s="38" t="e">
        <f ca="1" t="shared" si="9"/>
        <v>#REF!</v>
      </c>
      <c r="U19" s="39" t="e">
        <f ca="1" t="shared" si="0"/>
        <v>#REF!</v>
      </c>
    </row>
    <row r="20" spans="1:21" ht="15">
      <c r="A20" s="89" t="s">
        <v>156</v>
      </c>
      <c r="B20" s="89">
        <v>4</v>
      </c>
      <c r="D20" s="32">
        <f t="shared" si="1"/>
        <v>2.6545454545454508</v>
      </c>
      <c r="E20" s="3">
        <f>COUNTIF(Vertices[Degree],"&gt;= "&amp;D20)-COUNTIF(Vertices[Degree],"&gt;="&amp;D21)</f>
        <v>0</v>
      </c>
      <c r="F20" s="36">
        <f t="shared" si="2"/>
        <v>1.3090909090909093</v>
      </c>
      <c r="G20" s="37">
        <f>COUNTIF(Vertices[In-Degree],"&gt;= "&amp;F20)-COUNTIF(Vertices[In-Degree],"&gt;="&amp;F21)</f>
        <v>0</v>
      </c>
      <c r="H20" s="36">
        <f t="shared" si="3"/>
        <v>1.3090909090909093</v>
      </c>
      <c r="I20" s="37">
        <f>COUNTIF(Vertices[Out-Degree],"&gt;= "&amp;H20)-COUNTIF(Vertices[Out-Degree],"&gt;="&amp;H21)</f>
        <v>0</v>
      </c>
      <c r="J20" s="36">
        <f t="shared" si="4"/>
        <v>10.472727272727274</v>
      </c>
      <c r="K20" s="37">
        <f>COUNTIF(Vertices[Betweenness Centrality],"&gt;= "&amp;J20)-COUNTIF(Vertices[Betweenness Centrality],"&gt;="&amp;J21)</f>
        <v>0</v>
      </c>
      <c r="L20" s="36">
        <f t="shared" si="5"/>
        <v>0.0572094</v>
      </c>
      <c r="M20" s="37">
        <f>COUNTIF(Vertices[Closeness Centrality],"&gt;= "&amp;L20)-COUNTIF(Vertices[Closeness Centrality],"&gt;="&amp;L21)</f>
        <v>0</v>
      </c>
      <c r="N20" s="36">
        <f t="shared" si="6"/>
        <v>0.0967049272727273</v>
      </c>
      <c r="O20" s="37">
        <f>COUNTIF(Vertices[Eigenvector Centrality],"&gt;= "&amp;N20)-COUNTIF(Vertices[Eigenvector Centrality],"&gt;="&amp;N21)</f>
        <v>0</v>
      </c>
      <c r="P20" s="36">
        <f t="shared" si="7"/>
        <v>0.9323402363636355</v>
      </c>
      <c r="Q20" s="37">
        <f>COUNTIF(Vertices[PageRank],"&gt;= "&amp;P20)-COUNTIF(Vertices[PageRank],"&gt;="&amp;P21)</f>
        <v>0</v>
      </c>
      <c r="R20" s="36">
        <f t="shared" si="8"/>
        <v>0.3303030303030303</v>
      </c>
      <c r="S20" s="42">
        <f>COUNTIF(Vertices[Clustering Coefficient],"&gt;= "&amp;R20)-COUNTIF(Vertices[Clustering Coefficient],"&gt;="&amp;R21)</f>
        <v>2</v>
      </c>
      <c r="T20" s="36" t="e">
        <f ca="1" t="shared" si="9"/>
        <v>#REF!</v>
      </c>
      <c r="U20" s="37" t="e">
        <f ca="1" t="shared" si="0"/>
        <v>#REF!</v>
      </c>
    </row>
    <row r="21" spans="1:21" ht="15">
      <c r="A21" s="89" t="s">
        <v>157</v>
      </c>
      <c r="B21" s="89">
        <v>1.950617</v>
      </c>
      <c r="D21" s="32">
        <f t="shared" si="1"/>
        <v>2.690909090909087</v>
      </c>
      <c r="E21" s="3">
        <f>COUNTIF(Vertices[Degree],"&gt;= "&amp;D21)-COUNTIF(Vertices[Degree],"&gt;="&amp;D22)</f>
        <v>0</v>
      </c>
      <c r="F21" s="38">
        <f t="shared" si="2"/>
        <v>1.381818181818182</v>
      </c>
      <c r="G21" s="39">
        <f>COUNTIF(Vertices[In-Degree],"&gt;= "&amp;F21)-COUNTIF(Vertices[In-Degree],"&gt;="&amp;F22)</f>
        <v>0</v>
      </c>
      <c r="H21" s="38">
        <f t="shared" si="3"/>
        <v>1.381818181818182</v>
      </c>
      <c r="I21" s="39">
        <f>COUNTIF(Vertices[Out-Degree],"&gt;= "&amp;H21)-COUNTIF(Vertices[Out-Degree],"&gt;="&amp;H22)</f>
        <v>0</v>
      </c>
      <c r="J21" s="38">
        <f t="shared" si="4"/>
        <v>11.054545454545456</v>
      </c>
      <c r="K21" s="39">
        <f>COUNTIF(Vertices[Betweenness Centrality],"&gt;= "&amp;J21)-COUNTIF(Vertices[Betweenness Centrality],"&gt;="&amp;J22)</f>
        <v>0</v>
      </c>
      <c r="L21" s="38">
        <f t="shared" si="5"/>
        <v>0.0577422</v>
      </c>
      <c r="M21" s="39">
        <f>COUNTIF(Vertices[Closeness Centrality],"&gt;= "&amp;L21)-COUNTIF(Vertices[Closeness Centrality],"&gt;="&amp;L22)</f>
        <v>0</v>
      </c>
      <c r="N21" s="38">
        <f t="shared" si="6"/>
        <v>0.09870514545454548</v>
      </c>
      <c r="O21" s="39">
        <f>COUNTIF(Vertices[Eigenvector Centrality],"&gt;= "&amp;N21)-COUNTIF(Vertices[Eigenvector Centrality],"&gt;="&amp;N22)</f>
        <v>1</v>
      </c>
      <c r="P21" s="38">
        <f t="shared" si="7"/>
        <v>0.9443185272727264</v>
      </c>
      <c r="Q21" s="39">
        <f>COUNTIF(Vertices[PageRank],"&gt;= "&amp;P21)-COUNTIF(Vertices[PageRank],"&gt;="&amp;P22)</f>
        <v>0</v>
      </c>
      <c r="R21" s="38">
        <f t="shared" si="8"/>
        <v>0.3393939393939394</v>
      </c>
      <c r="S21" s="43">
        <f>COUNTIF(Vertices[Clustering Coefficient],"&gt;= "&amp;R21)-COUNTIF(Vertices[Clustering Coefficient],"&gt;="&amp;R22)</f>
        <v>0</v>
      </c>
      <c r="T21" s="38" t="e">
        <f ca="1" t="shared" si="9"/>
        <v>#REF!</v>
      </c>
      <c r="U21" s="39" t="e">
        <f ca="1" t="shared" si="0"/>
        <v>#REF!</v>
      </c>
    </row>
    <row r="22" spans="1:21" ht="15">
      <c r="A22" s="135"/>
      <c r="B22" s="135"/>
      <c r="D22" s="32">
        <f t="shared" si="1"/>
        <v>2.727272727272723</v>
      </c>
      <c r="E22" s="3">
        <f>COUNTIF(Vertices[Degree],"&gt;= "&amp;D22)-COUNTIF(Vertices[Degree],"&gt;="&amp;D23)</f>
        <v>0</v>
      </c>
      <c r="F22" s="36">
        <f t="shared" si="2"/>
        <v>1.4545454545454548</v>
      </c>
      <c r="G22" s="37">
        <f>COUNTIF(Vertices[In-Degree],"&gt;= "&amp;F22)-COUNTIF(Vertices[In-Degree],"&gt;="&amp;F23)</f>
        <v>0</v>
      </c>
      <c r="H22" s="36">
        <f t="shared" si="3"/>
        <v>1.4545454545454548</v>
      </c>
      <c r="I22" s="37">
        <f>COUNTIF(Vertices[Out-Degree],"&gt;= "&amp;H22)-COUNTIF(Vertices[Out-Degree],"&gt;="&amp;H23)</f>
        <v>0</v>
      </c>
      <c r="J22" s="36">
        <f t="shared" si="4"/>
        <v>11.636363636363638</v>
      </c>
      <c r="K22" s="37">
        <f>COUNTIF(Vertices[Betweenness Centrality],"&gt;= "&amp;J22)-COUNTIF(Vertices[Betweenness Centrality],"&gt;="&amp;J23)</f>
        <v>0</v>
      </c>
      <c r="L22" s="36">
        <f t="shared" si="5"/>
        <v>0.058275</v>
      </c>
      <c r="M22" s="37">
        <f>COUNTIF(Vertices[Closeness Centrality],"&gt;= "&amp;L22)-COUNTIF(Vertices[Closeness Centrality],"&gt;="&amp;L23)</f>
        <v>0</v>
      </c>
      <c r="N22" s="36">
        <f t="shared" si="6"/>
        <v>0.10070536363636366</v>
      </c>
      <c r="O22" s="37">
        <f>COUNTIF(Vertices[Eigenvector Centrality],"&gt;= "&amp;N22)-COUNTIF(Vertices[Eigenvector Centrality],"&gt;="&amp;N23)</f>
        <v>0</v>
      </c>
      <c r="P22" s="36">
        <f t="shared" si="7"/>
        <v>0.9562968181818172</v>
      </c>
      <c r="Q22" s="37">
        <f>COUNTIF(Vertices[PageRank],"&gt;= "&amp;P22)-COUNTIF(Vertices[PageRank],"&gt;="&amp;P23)</f>
        <v>0</v>
      </c>
      <c r="R22" s="36">
        <f t="shared" si="8"/>
        <v>0.3484848484848485</v>
      </c>
      <c r="S22" s="42">
        <f>COUNTIF(Vertices[Clustering Coefficient],"&gt;= "&amp;R22)-COUNTIF(Vertices[Clustering Coefficient],"&gt;="&amp;R23)</f>
        <v>0</v>
      </c>
      <c r="T22" s="36" t="e">
        <f ca="1" t="shared" si="9"/>
        <v>#REF!</v>
      </c>
      <c r="U22" s="37" t="e">
        <f ca="1" t="shared" si="0"/>
        <v>#REF!</v>
      </c>
    </row>
    <row r="23" spans="1:21" ht="15">
      <c r="A23" s="89" t="s">
        <v>158</v>
      </c>
      <c r="B23" s="89">
        <v>0.20833333333333334</v>
      </c>
      <c r="D23" s="32">
        <f t="shared" si="1"/>
        <v>2.7636363636363592</v>
      </c>
      <c r="E23" s="3">
        <f>COUNTIF(Vertices[Degree],"&gt;= "&amp;D23)-COUNTIF(Vertices[Degree],"&gt;="&amp;D24)</f>
        <v>0</v>
      </c>
      <c r="F23" s="38">
        <f t="shared" si="2"/>
        <v>1.5272727272727276</v>
      </c>
      <c r="G23" s="39">
        <f>COUNTIF(Vertices[In-Degree],"&gt;= "&amp;F23)-COUNTIF(Vertices[In-Degree],"&gt;="&amp;F24)</f>
        <v>0</v>
      </c>
      <c r="H23" s="38">
        <f t="shared" si="3"/>
        <v>1.5272727272727276</v>
      </c>
      <c r="I23" s="39">
        <f>COUNTIF(Vertices[Out-Degree],"&gt;= "&amp;H23)-COUNTIF(Vertices[Out-Degree],"&gt;="&amp;H24)</f>
        <v>0</v>
      </c>
      <c r="J23" s="38">
        <f t="shared" si="4"/>
        <v>12.21818181818182</v>
      </c>
      <c r="K23" s="39">
        <f>COUNTIF(Vertices[Betweenness Centrality],"&gt;= "&amp;J23)-COUNTIF(Vertices[Betweenness Centrality],"&gt;="&amp;J24)</f>
        <v>0</v>
      </c>
      <c r="L23" s="38">
        <f t="shared" si="5"/>
        <v>0.0588078</v>
      </c>
      <c r="M23" s="39">
        <f>COUNTIF(Vertices[Closeness Centrality],"&gt;= "&amp;L23)-COUNTIF(Vertices[Closeness Centrality],"&gt;="&amp;L24)</f>
        <v>0</v>
      </c>
      <c r="N23" s="38">
        <f t="shared" si="6"/>
        <v>0.10270558181818185</v>
      </c>
      <c r="O23" s="39">
        <f>COUNTIF(Vertices[Eigenvector Centrality],"&gt;= "&amp;N23)-COUNTIF(Vertices[Eigenvector Centrality],"&gt;="&amp;N24)</f>
        <v>0</v>
      </c>
      <c r="P23" s="38">
        <f t="shared" si="7"/>
        <v>0.9682751090909081</v>
      </c>
      <c r="Q23" s="39">
        <f>COUNTIF(Vertices[PageRank],"&gt;= "&amp;P23)-COUNTIF(Vertices[PageRank],"&gt;="&amp;P24)</f>
        <v>0</v>
      </c>
      <c r="R23" s="38">
        <f t="shared" si="8"/>
        <v>0.3575757575757576</v>
      </c>
      <c r="S23" s="43">
        <f>COUNTIF(Vertices[Clustering Coefficient],"&gt;= "&amp;R23)-COUNTIF(Vertices[Clustering Coefficient],"&gt;="&amp;R24)</f>
        <v>0</v>
      </c>
      <c r="T23" s="38" t="e">
        <f ca="1" t="shared" si="9"/>
        <v>#REF!</v>
      </c>
      <c r="U23" s="39" t="e">
        <f ca="1" t="shared" si="0"/>
        <v>#REF!</v>
      </c>
    </row>
    <row r="24" spans="1:21" ht="15">
      <c r="A24" s="89" t="s">
        <v>199</v>
      </c>
      <c r="B24" s="89">
        <v>0.358223</v>
      </c>
      <c r="D24" s="32">
        <f t="shared" si="1"/>
        <v>2.7999999999999954</v>
      </c>
      <c r="E24" s="3">
        <f>COUNTIF(Vertices[Degree],"&gt;= "&amp;D24)-COUNTIF(Vertices[Degree],"&gt;="&amp;D25)</f>
        <v>0</v>
      </c>
      <c r="F24" s="36">
        <f t="shared" si="2"/>
        <v>1.6000000000000003</v>
      </c>
      <c r="G24" s="37">
        <f>COUNTIF(Vertices[In-Degree],"&gt;= "&amp;F24)-COUNTIF(Vertices[In-Degree],"&gt;="&amp;F25)</f>
        <v>0</v>
      </c>
      <c r="H24" s="36">
        <f t="shared" si="3"/>
        <v>1.6000000000000003</v>
      </c>
      <c r="I24" s="37">
        <f>COUNTIF(Vertices[Out-Degree],"&gt;= "&amp;H24)-COUNTIF(Vertices[Out-Degree],"&gt;="&amp;H25)</f>
        <v>0</v>
      </c>
      <c r="J24" s="36">
        <f t="shared" si="4"/>
        <v>12.800000000000002</v>
      </c>
      <c r="K24" s="37">
        <f>COUNTIF(Vertices[Betweenness Centrality],"&gt;= "&amp;J24)-COUNTIF(Vertices[Betweenness Centrality],"&gt;="&amp;J25)</f>
        <v>0</v>
      </c>
      <c r="L24" s="36">
        <f t="shared" si="5"/>
        <v>0.0593406</v>
      </c>
      <c r="M24" s="37">
        <f>COUNTIF(Vertices[Closeness Centrality],"&gt;= "&amp;L24)-COUNTIF(Vertices[Closeness Centrality],"&gt;="&amp;L25)</f>
        <v>0</v>
      </c>
      <c r="N24" s="36">
        <f t="shared" si="6"/>
        <v>0.10470580000000003</v>
      </c>
      <c r="O24" s="37">
        <f>COUNTIF(Vertices[Eigenvector Centrality],"&gt;= "&amp;N24)-COUNTIF(Vertices[Eigenvector Centrality],"&gt;="&amp;N25)</f>
        <v>0</v>
      </c>
      <c r="P24" s="36">
        <f t="shared" si="7"/>
        <v>0.9802533999999989</v>
      </c>
      <c r="Q24" s="37">
        <f>COUNTIF(Vertices[PageRank],"&gt;= "&amp;P24)-COUNTIF(Vertices[PageRank],"&gt;="&amp;P25)</f>
        <v>0</v>
      </c>
      <c r="R24" s="36">
        <f t="shared" si="8"/>
        <v>0.3666666666666667</v>
      </c>
      <c r="S24" s="42">
        <f>COUNTIF(Vertices[Clustering Coefficient],"&gt;= "&amp;R24)-COUNTIF(Vertices[Clustering Coefficient],"&gt;="&amp;R25)</f>
        <v>0</v>
      </c>
      <c r="T24" s="36" t="e">
        <f ca="1" t="shared" si="9"/>
        <v>#REF!</v>
      </c>
      <c r="U24" s="37" t="e">
        <f ca="1" t="shared" si="0"/>
        <v>#REF!</v>
      </c>
    </row>
    <row r="25" spans="1:21" ht="15">
      <c r="A25" s="135"/>
      <c r="B25" s="135"/>
      <c r="D25" s="32">
        <f t="shared" si="1"/>
        <v>2.8363636363636315</v>
      </c>
      <c r="E25" s="3">
        <f>COUNTIF(Vertices[Degree],"&gt;= "&amp;D25)-COUNTIF(Vertices[Degree],"&gt;="&amp;D26)</f>
        <v>0</v>
      </c>
      <c r="F25" s="38">
        <f t="shared" si="2"/>
        <v>1.672727272727273</v>
      </c>
      <c r="G25" s="39">
        <f>COUNTIF(Vertices[In-Degree],"&gt;= "&amp;F25)-COUNTIF(Vertices[In-Degree],"&gt;="&amp;F26)</f>
        <v>0</v>
      </c>
      <c r="H25" s="38">
        <f t="shared" si="3"/>
        <v>1.672727272727273</v>
      </c>
      <c r="I25" s="39">
        <f>COUNTIF(Vertices[Out-Degree],"&gt;= "&amp;H25)-COUNTIF(Vertices[Out-Degree],"&gt;="&amp;H26)</f>
        <v>0</v>
      </c>
      <c r="J25" s="38">
        <f t="shared" si="4"/>
        <v>13.381818181818184</v>
      </c>
      <c r="K25" s="39">
        <f>COUNTIF(Vertices[Betweenness Centrality],"&gt;= "&amp;J25)-COUNTIF(Vertices[Betweenness Centrality],"&gt;="&amp;J26)</f>
        <v>0</v>
      </c>
      <c r="L25" s="38">
        <f t="shared" si="5"/>
        <v>0.0598734</v>
      </c>
      <c r="M25" s="39">
        <f>COUNTIF(Vertices[Closeness Centrality],"&gt;= "&amp;L25)-COUNTIF(Vertices[Closeness Centrality],"&gt;="&amp;L26)</f>
        <v>0</v>
      </c>
      <c r="N25" s="38">
        <f t="shared" si="6"/>
        <v>0.10670601818181821</v>
      </c>
      <c r="O25" s="39">
        <f>COUNTIF(Vertices[Eigenvector Centrality],"&gt;= "&amp;N25)-COUNTIF(Vertices[Eigenvector Centrality],"&gt;="&amp;N26)</f>
        <v>0</v>
      </c>
      <c r="P25" s="38">
        <f t="shared" si="7"/>
        <v>0.9922316909090898</v>
      </c>
      <c r="Q25" s="39">
        <f>COUNTIF(Vertices[PageRank],"&gt;= "&amp;P25)-COUNTIF(Vertices[PageRank],"&gt;="&amp;P26)</f>
        <v>1</v>
      </c>
      <c r="R25" s="38">
        <f t="shared" si="8"/>
        <v>0.3757575757575758</v>
      </c>
      <c r="S25" s="43">
        <f>COUNTIF(Vertices[Clustering Coefficient],"&gt;= "&amp;R25)-COUNTIF(Vertices[Clustering Coefficient],"&gt;="&amp;R26)</f>
        <v>0</v>
      </c>
      <c r="T25" s="38" t="e">
        <f ca="1" t="shared" si="9"/>
        <v>#REF!</v>
      </c>
      <c r="U25" s="39" t="e">
        <f ca="1" t="shared" si="0"/>
        <v>#REF!</v>
      </c>
    </row>
    <row r="26" spans="1:21" ht="15">
      <c r="A26" s="89" t="s">
        <v>200</v>
      </c>
      <c r="B26" s="89" t="s">
        <v>201</v>
      </c>
      <c r="D26" s="32">
        <f t="shared" si="1"/>
        <v>2.8727272727272677</v>
      </c>
      <c r="E26" s="3">
        <f>COUNTIF(Vertices[Degree],"&gt;= "&amp;D26)-COUNTIF(Vertices[Degree],"&gt;="&amp;D28)</f>
        <v>0</v>
      </c>
      <c r="F26" s="36">
        <f t="shared" si="2"/>
        <v>1.7454545454545458</v>
      </c>
      <c r="G26" s="37">
        <f>COUNTIF(Vertices[In-Degree],"&gt;= "&amp;F26)-COUNTIF(Vertices[In-Degree],"&gt;="&amp;F28)</f>
        <v>0</v>
      </c>
      <c r="H26" s="36">
        <f t="shared" si="3"/>
        <v>1.7454545454545458</v>
      </c>
      <c r="I26" s="37">
        <f>COUNTIF(Vertices[Out-Degree],"&gt;= "&amp;H26)-COUNTIF(Vertices[Out-Degree],"&gt;="&amp;H28)</f>
        <v>0</v>
      </c>
      <c r="J26" s="36">
        <f t="shared" si="4"/>
        <v>13.963636363636367</v>
      </c>
      <c r="K26" s="37">
        <f>COUNTIF(Vertices[Betweenness Centrality],"&gt;= "&amp;J26)-COUNTIF(Vertices[Betweenness Centrality],"&gt;="&amp;J28)</f>
        <v>0</v>
      </c>
      <c r="L26" s="36">
        <f t="shared" si="5"/>
        <v>0.0604062</v>
      </c>
      <c r="M26" s="37">
        <f>COUNTIF(Vertices[Closeness Centrality],"&gt;= "&amp;L26)-COUNTIF(Vertices[Closeness Centrality],"&gt;="&amp;L28)</f>
        <v>0</v>
      </c>
      <c r="N26" s="36">
        <f t="shared" si="6"/>
        <v>0.1087062363636364</v>
      </c>
      <c r="O26" s="37">
        <f>COUNTIF(Vertices[Eigenvector Centrality],"&gt;= "&amp;N26)-COUNTIF(Vertices[Eigenvector Centrality],"&gt;="&amp;N28)</f>
        <v>1</v>
      </c>
      <c r="P26" s="36">
        <f t="shared" si="7"/>
        <v>1.0042099818181807</v>
      </c>
      <c r="Q26" s="37">
        <f>COUNTIF(Vertices[PageRank],"&gt;= "&amp;P26)-COUNTIF(Vertices[PageRank],"&gt;="&amp;P28)</f>
        <v>1</v>
      </c>
      <c r="R26" s="36">
        <f t="shared" si="8"/>
        <v>0.3848484848484849</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-4</v>
      </c>
      <c r="F27" s="66"/>
      <c r="G27" s="67">
        <f>COUNTIF(Vertices[In-Degree],"&gt;= "&amp;F27)-COUNTIF(Vertices[In-Degree],"&gt;="&amp;F28)</f>
        <v>-5</v>
      </c>
      <c r="H27" s="66"/>
      <c r="I27" s="67">
        <f>COUNTIF(Vertices[Out-Degree],"&gt;= "&amp;H27)-COUNTIF(Vertices[Out-Degree],"&gt;="&amp;H28)</f>
        <v>-4</v>
      </c>
      <c r="J27" s="66"/>
      <c r="K27" s="67">
        <f>COUNTIF(Vertices[Betweenness Centrality],"&gt;= "&amp;J27)-COUNTIF(Vertices[Betweenness Centrality],"&gt;="&amp;J28)</f>
        <v>-3</v>
      </c>
      <c r="L27" s="66"/>
      <c r="M27" s="67">
        <f>COUNTIF(Vertices[Closeness Centrality],"&gt;= "&amp;L27)-COUNTIF(Vertices[Closeness Centrality],"&gt;="&amp;L28)</f>
        <v>-4</v>
      </c>
      <c r="N27" s="66"/>
      <c r="O27" s="67">
        <f>COUNTIF(Vertices[Eigenvector Centrality],"&gt;= "&amp;N27)-COUNTIF(Vertices[Eigenvector Centrality],"&gt;="&amp;N28)</f>
        <v>-4</v>
      </c>
      <c r="P27" s="66"/>
      <c r="Q27" s="67">
        <f>COUNTIF(Vertices[Eigenvector Centrality],"&gt;= "&amp;P27)-COUNTIF(Vertices[Eigenvector Centrality],"&gt;="&amp;P28)</f>
        <v>0</v>
      </c>
      <c r="R27" s="66"/>
      <c r="S27" s="68">
        <f>COUNTIF(Vertices[Clustering Coefficient],"&gt;= "&amp;R27)-COUNTIF(Vertices[Clustering Coefficient],"&gt;="&amp;R28)</f>
        <v>-4</v>
      </c>
      <c r="T27" s="66"/>
      <c r="U27" s="67">
        <f ca="1">COUNTIF(Vertices[Clustering Coefficient],"&gt;= "&amp;T27)-COUNTIF(Vertices[Clustering Coefficient],"&gt;="&amp;T28)</f>
        <v>0</v>
      </c>
    </row>
    <row r="28" spans="4:21" ht="15">
      <c r="D28" s="32">
        <f>D26+($D$57-$D$2)/BinDivisor</f>
        <v>2.909090909090904</v>
      </c>
      <c r="E28" s="3">
        <f>COUNTIF(Vertices[Degree],"&gt;= "&amp;D28)-COUNTIF(Vertices[Degree],"&gt;="&amp;D40)</f>
        <v>0</v>
      </c>
      <c r="F28" s="38">
        <f>F26+($F$57-$F$2)/BinDivisor</f>
        <v>1.8181818181818186</v>
      </c>
      <c r="G28" s="39">
        <f>COUNTIF(Vertices[In-Degree],"&gt;= "&amp;F28)-COUNTIF(Vertices[In-Degree],"&gt;="&amp;F40)</f>
        <v>0</v>
      </c>
      <c r="H28" s="38">
        <f>H26+($H$57-$H$2)/BinDivisor</f>
        <v>1.8181818181818186</v>
      </c>
      <c r="I28" s="39">
        <f>COUNTIF(Vertices[Out-Degree],"&gt;= "&amp;H28)-COUNTIF(Vertices[Out-Degree],"&gt;="&amp;H40)</f>
        <v>0</v>
      </c>
      <c r="J28" s="38">
        <f>J26+($J$57-$J$2)/BinDivisor</f>
        <v>14.545454545454549</v>
      </c>
      <c r="K28" s="39">
        <f>COUNTIF(Vertices[Betweenness Centrality],"&gt;= "&amp;J28)-COUNTIF(Vertices[Betweenness Centrality],"&gt;="&amp;J40)</f>
        <v>0</v>
      </c>
      <c r="L28" s="38">
        <f>L26+($L$57-$L$2)/BinDivisor</f>
        <v>0.060939</v>
      </c>
      <c r="M28" s="39">
        <f>COUNTIF(Vertices[Closeness Centrality],"&gt;= "&amp;L28)-COUNTIF(Vertices[Closeness Centrality],"&gt;="&amp;L40)</f>
        <v>0</v>
      </c>
      <c r="N28" s="38">
        <f>N26+($N$57-$N$2)/BinDivisor</f>
        <v>0.11070645454545458</v>
      </c>
      <c r="O28" s="39">
        <f>COUNTIF(Vertices[Eigenvector Centrality],"&gt;= "&amp;N28)-COUNTIF(Vertices[Eigenvector Centrality],"&gt;="&amp;N40)</f>
        <v>0</v>
      </c>
      <c r="P28" s="38">
        <f>P26+($P$57-$P$2)/BinDivisor</f>
        <v>1.0161882727272715</v>
      </c>
      <c r="Q28" s="39">
        <f>COUNTIF(Vertices[PageRank],"&gt;= "&amp;P28)-COUNTIF(Vertices[PageRank],"&gt;="&amp;P40)</f>
        <v>1</v>
      </c>
      <c r="R28" s="38">
        <f>R26+($R$57-$R$2)/BinDivisor</f>
        <v>0.393939393939394</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6"/>
      <c r="G29" s="67">
        <f>COUNTIF(Vertices[In-Degree],"&gt;= "&amp;F29)-COUNTIF(Vertices[In-Degree],"&gt;="&amp;F30)</f>
        <v>0</v>
      </c>
      <c r="H29" s="66"/>
      <c r="I29" s="67">
        <f>COUNTIF(Vertices[Out-Degree],"&gt;= "&amp;H29)-COUNTIF(Vertices[Out-Degree],"&gt;="&amp;H30)</f>
        <v>0</v>
      </c>
      <c r="J29" s="66"/>
      <c r="K29" s="67">
        <f>COUNTIF(Vertices[Betweenness Centrality],"&gt;= "&amp;J29)-COUNTIF(Vertices[Betweenness Centrality],"&gt;="&amp;J30)</f>
        <v>0</v>
      </c>
      <c r="L29" s="66"/>
      <c r="M29" s="67">
        <f>COUNTIF(Vertices[Closeness Centrality],"&gt;= "&amp;L29)-COUNTIF(Vertices[Closeness Centrality],"&gt;="&amp;L30)</f>
        <v>0</v>
      </c>
      <c r="N29" s="66"/>
      <c r="O29" s="67">
        <f>COUNTIF(Vertices[Eigenvector Centrality],"&gt;= "&amp;N29)-COUNTIF(Vertices[Eigenvector Centrality],"&gt;="&amp;N30)</f>
        <v>0</v>
      </c>
      <c r="P29" s="66"/>
      <c r="Q29" s="67">
        <f>COUNTIF(Vertices[Eigenvector Centrality],"&gt;= "&amp;P29)-COUNTIF(Vertices[Eigenvector Centrality],"&gt;="&amp;P30)</f>
        <v>0</v>
      </c>
      <c r="R29" s="66"/>
      <c r="S29" s="68">
        <f>COUNTIF(Vertices[Clustering Coefficient],"&gt;= "&amp;R29)-COUNTIF(Vertices[Clustering Coefficient],"&gt;="&amp;R30)</f>
        <v>0</v>
      </c>
      <c r="T29" s="66"/>
      <c r="U29" s="67">
        <f>COUNTIF(Vertices[Clustering Coefficient],"&gt;= "&amp;T29)-COUNTIF(Vertices[Clustering Coefficient],"&gt;="&amp;T30)</f>
        <v>0</v>
      </c>
    </row>
    <row r="30" spans="4:21" ht="15">
      <c r="D30" s="32"/>
      <c r="E30" s="3">
        <f>COUNTIF(Vertices[Degree],"&gt;= "&amp;D30)-COUNTIF(Vertices[Degree],"&gt;="&amp;D31)</f>
        <v>0</v>
      </c>
      <c r="F30" s="66"/>
      <c r="G30" s="67">
        <f>COUNTIF(Vertices[In-Degree],"&gt;= "&amp;F30)-COUNTIF(Vertices[In-Degree],"&gt;="&amp;F31)</f>
        <v>0</v>
      </c>
      <c r="H30" s="66"/>
      <c r="I30" s="67">
        <f>COUNTIF(Vertices[Out-Degree],"&gt;= "&amp;H30)-COUNTIF(Vertices[Out-Degree],"&gt;="&amp;H31)</f>
        <v>0</v>
      </c>
      <c r="J30" s="66"/>
      <c r="K30" s="67">
        <f>COUNTIF(Vertices[Betweenness Centrality],"&gt;= "&amp;J30)-COUNTIF(Vertices[Betweenness Centrality],"&gt;="&amp;J31)</f>
        <v>0</v>
      </c>
      <c r="L30" s="66"/>
      <c r="M30" s="67">
        <f>COUNTIF(Vertices[Closeness Centrality],"&gt;= "&amp;L30)-COUNTIF(Vertices[Closeness Centrality],"&gt;="&amp;L31)</f>
        <v>0</v>
      </c>
      <c r="N30" s="66"/>
      <c r="O30" s="67">
        <f>COUNTIF(Vertices[Eigenvector Centrality],"&gt;= "&amp;N30)-COUNTIF(Vertices[Eigenvector Centrality],"&gt;="&amp;N31)</f>
        <v>0</v>
      </c>
      <c r="P30" s="66"/>
      <c r="Q30" s="67">
        <f>COUNTIF(Vertices[Eigenvector Centrality],"&gt;= "&amp;P30)-COUNTIF(Vertices[Eigenvector Centrality],"&gt;="&amp;P31)</f>
        <v>0</v>
      </c>
      <c r="R30" s="66"/>
      <c r="S30" s="68">
        <f>COUNTIF(Vertices[Clustering Coefficient],"&gt;= "&amp;R30)-COUNTIF(Vertices[Clustering Coefficient],"&gt;="&amp;R31)</f>
        <v>0</v>
      </c>
      <c r="T30" s="66"/>
      <c r="U30" s="67">
        <f>COUNTIF(Vertices[Clustering Coefficient],"&gt;= "&amp;T30)-COUNTIF(Vertices[Clustering Coefficient],"&gt;="&amp;T31)</f>
        <v>0</v>
      </c>
    </row>
    <row r="31" spans="4:21" ht="15">
      <c r="D31" s="32"/>
      <c r="E31" s="3">
        <f>COUNTIF(Vertices[Degree],"&gt;= "&amp;D31)-COUNTIF(Vertices[Degree],"&gt;="&amp;D32)</f>
        <v>0</v>
      </c>
      <c r="F31" s="66"/>
      <c r="G31" s="67">
        <f>COUNTIF(Vertices[In-Degree],"&gt;= "&amp;F31)-COUNTIF(Vertices[In-Degree],"&gt;="&amp;F32)</f>
        <v>0</v>
      </c>
      <c r="H31" s="66"/>
      <c r="I31" s="67">
        <f>COUNTIF(Vertices[Out-Degree],"&gt;= "&amp;H31)-COUNTIF(Vertices[Out-Degree],"&gt;="&amp;H32)</f>
        <v>0</v>
      </c>
      <c r="J31" s="66"/>
      <c r="K31" s="67">
        <f>COUNTIF(Vertices[Betweenness Centrality],"&gt;= "&amp;J31)-COUNTIF(Vertices[Betweenness Centrality],"&gt;="&amp;J32)</f>
        <v>0</v>
      </c>
      <c r="L31" s="66"/>
      <c r="M31" s="67">
        <f>COUNTIF(Vertices[Closeness Centrality],"&gt;= "&amp;L31)-COUNTIF(Vertices[Closeness Centrality],"&gt;="&amp;L32)</f>
        <v>0</v>
      </c>
      <c r="N31" s="66"/>
      <c r="O31" s="67">
        <f>COUNTIF(Vertices[Eigenvector Centrality],"&gt;= "&amp;N31)-COUNTIF(Vertices[Eigenvector Centrality],"&gt;="&amp;N32)</f>
        <v>0</v>
      </c>
      <c r="P31" s="66"/>
      <c r="Q31" s="67">
        <f>COUNTIF(Vertices[Eigenvector Centrality],"&gt;= "&amp;P31)-COUNTIF(Vertices[Eigenvector Centrality],"&gt;="&amp;P32)</f>
        <v>0</v>
      </c>
      <c r="R31" s="66"/>
      <c r="S31" s="68">
        <f>COUNTIF(Vertices[Clustering Coefficient],"&gt;= "&amp;R31)-COUNTIF(Vertices[Clustering Coefficient],"&gt;="&amp;R32)</f>
        <v>0</v>
      </c>
      <c r="T31" s="66"/>
      <c r="U31" s="67">
        <f>COUNTIF(Vertices[Clustering Coefficient],"&gt;= "&amp;T31)-COUNTIF(Vertices[Clustering Coefficient],"&gt;="&amp;T32)</f>
        <v>0</v>
      </c>
    </row>
    <row r="32" spans="4:21" ht="15">
      <c r="D32" s="32"/>
      <c r="E32" s="3">
        <f>COUNTIF(Vertices[Degree],"&gt;= "&amp;D32)-COUNTIF(Vertices[Degree],"&gt;="&amp;D33)</f>
        <v>0</v>
      </c>
      <c r="F32" s="66"/>
      <c r="G32" s="67">
        <f>COUNTIF(Vertices[In-Degree],"&gt;= "&amp;F32)-COUNTIF(Vertices[In-Degree],"&gt;="&amp;F33)</f>
        <v>0</v>
      </c>
      <c r="H32" s="66"/>
      <c r="I32" s="67">
        <f>COUNTIF(Vertices[Out-Degree],"&gt;= "&amp;H32)-COUNTIF(Vertices[Out-Degree],"&gt;="&amp;H33)</f>
        <v>0</v>
      </c>
      <c r="J32" s="66"/>
      <c r="K32" s="67">
        <f>COUNTIF(Vertices[Betweenness Centrality],"&gt;= "&amp;J32)-COUNTIF(Vertices[Betweenness Centrality],"&gt;="&amp;J33)</f>
        <v>0</v>
      </c>
      <c r="L32" s="66"/>
      <c r="M32" s="67">
        <f>COUNTIF(Vertices[Closeness Centrality],"&gt;= "&amp;L32)-COUNTIF(Vertices[Closeness Centrality],"&gt;="&amp;L33)</f>
        <v>0</v>
      </c>
      <c r="N32" s="66"/>
      <c r="O32" s="67">
        <f>COUNTIF(Vertices[Eigenvector Centrality],"&gt;= "&amp;N32)-COUNTIF(Vertices[Eigenvector Centrality],"&gt;="&amp;N33)</f>
        <v>0</v>
      </c>
      <c r="P32" s="66"/>
      <c r="Q32" s="67">
        <f>COUNTIF(Vertices[Eigenvector Centrality],"&gt;= "&amp;P32)-COUNTIF(Vertices[Eigenvector Centrality],"&gt;="&amp;P33)</f>
        <v>0</v>
      </c>
      <c r="R32" s="66"/>
      <c r="S32" s="68">
        <f>COUNTIF(Vertices[Clustering Coefficient],"&gt;= "&amp;R32)-COUNTIF(Vertices[Clustering Coefficient],"&gt;="&amp;R33)</f>
        <v>0</v>
      </c>
      <c r="T32" s="66"/>
      <c r="U32" s="67">
        <f>COUNTIF(Vertices[Clustering Coefficient],"&gt;= "&amp;T32)-COUNTIF(Vertices[Clustering Coefficient],"&gt;="&amp;T33)</f>
        <v>0</v>
      </c>
    </row>
    <row r="33" spans="4:21" ht="15">
      <c r="D33" s="32"/>
      <c r="E33" s="3">
        <f>COUNTIF(Vertices[Degree],"&gt;= "&amp;D33)-COUNTIF(Vertices[Degree],"&gt;="&amp;D38)</f>
        <v>0</v>
      </c>
      <c r="F33" s="66"/>
      <c r="G33" s="67">
        <f>COUNTIF(Vertices[In-Degree],"&gt;= "&amp;F33)-COUNTIF(Vertices[In-Degree],"&gt;="&amp;F38)</f>
        <v>0</v>
      </c>
      <c r="H33" s="66"/>
      <c r="I33" s="67">
        <f>COUNTIF(Vertices[Out-Degree],"&gt;= "&amp;H33)-COUNTIF(Vertices[Out-Degree],"&gt;="&amp;H38)</f>
        <v>0</v>
      </c>
      <c r="J33" s="66"/>
      <c r="K33" s="67">
        <f>COUNTIF(Vertices[Betweenness Centrality],"&gt;= "&amp;J33)-COUNTIF(Vertices[Betweenness Centrality],"&gt;="&amp;J38)</f>
        <v>0</v>
      </c>
      <c r="L33" s="66"/>
      <c r="M33" s="67">
        <f>COUNTIF(Vertices[Closeness Centrality],"&gt;= "&amp;L33)-COUNTIF(Vertices[Closeness Centrality],"&gt;="&amp;L38)</f>
        <v>0</v>
      </c>
      <c r="N33" s="66"/>
      <c r="O33" s="67">
        <f>COUNTIF(Vertices[Eigenvector Centrality],"&gt;= "&amp;N33)-COUNTIF(Vertices[Eigenvector Centrality],"&gt;="&amp;N38)</f>
        <v>0</v>
      </c>
      <c r="P33" s="66"/>
      <c r="Q33" s="67">
        <f>COUNTIF(Vertices[Eigenvector Centrality],"&gt;= "&amp;P33)-COUNTIF(Vertices[Eigenvector Centrality],"&gt;="&amp;P38)</f>
        <v>0</v>
      </c>
      <c r="R33" s="66"/>
      <c r="S33" s="68">
        <f>COUNTIF(Vertices[Clustering Coefficient],"&gt;= "&amp;R33)-COUNTIF(Vertices[Clustering Coefficient],"&gt;="&amp;R38)</f>
        <v>0</v>
      </c>
      <c r="T33" s="66"/>
      <c r="U33" s="67">
        <f>COUNTIF(Vertices[Clustering Coefficient],"&gt;= "&amp;T33)-COUNTIF(Vertices[Clustering Coefficient],"&gt;="&amp;T38)</f>
        <v>0</v>
      </c>
    </row>
    <row r="34" spans="4:21" ht="15">
      <c r="D34" s="32"/>
      <c r="E34" s="3">
        <f>COUNTIF(Vertices[Degree],"&gt;= "&amp;D34)-COUNTIF(Vertices[Degree],"&gt;="&amp;D35)</f>
        <v>0</v>
      </c>
      <c r="F34" s="66"/>
      <c r="G34" s="67">
        <f>COUNTIF(Vertices[In-Degree],"&gt;= "&amp;F34)-COUNTIF(Vertices[In-Degree],"&gt;="&amp;F35)</f>
        <v>0</v>
      </c>
      <c r="H34" s="66"/>
      <c r="I34" s="67">
        <f>COUNTIF(Vertices[Out-Degree],"&gt;= "&amp;H34)-COUNTIF(Vertices[Out-Degree],"&gt;="&amp;H35)</f>
        <v>0</v>
      </c>
      <c r="J34" s="66"/>
      <c r="K34" s="67">
        <f>COUNTIF(Vertices[Betweenness Centrality],"&gt;= "&amp;J34)-COUNTIF(Vertices[Betweenness Centrality],"&gt;="&amp;J35)</f>
        <v>0</v>
      </c>
      <c r="L34" s="66"/>
      <c r="M34" s="67">
        <f>COUNTIF(Vertices[Closeness Centrality],"&gt;= "&amp;L34)-COUNTIF(Vertices[Closeness Centrality],"&gt;="&amp;L35)</f>
        <v>0</v>
      </c>
      <c r="N34" s="66"/>
      <c r="O34" s="67">
        <f>COUNTIF(Vertices[Eigenvector Centrality],"&gt;= "&amp;N34)-COUNTIF(Vertices[Eigenvector Centrality],"&gt;="&amp;N35)</f>
        <v>0</v>
      </c>
      <c r="P34" s="66"/>
      <c r="Q34" s="67">
        <f>COUNTIF(Vertices[Eigenvector Centrality],"&gt;= "&amp;P34)-COUNTIF(Vertices[Eigenvector Centrality],"&gt;="&amp;P35)</f>
        <v>0</v>
      </c>
      <c r="R34" s="66"/>
      <c r="S34" s="68">
        <f>COUNTIF(Vertices[Clustering Coefficient],"&gt;= "&amp;R34)-COUNTIF(Vertices[Clustering Coefficient],"&gt;="&amp;R35)</f>
        <v>0</v>
      </c>
      <c r="T34" s="66"/>
      <c r="U34" s="67">
        <f>COUNTIF(Vertices[Clustering Coefficient],"&gt;= "&amp;T34)-COUNTIF(Vertices[Clustering Coefficient],"&gt;="&amp;T35)</f>
        <v>0</v>
      </c>
    </row>
    <row r="35" spans="4:21" ht="15">
      <c r="D35" s="32"/>
      <c r="E35" s="3">
        <f>COUNTIF(Vertices[Degree],"&gt;= "&amp;D35)-COUNTIF(Vertices[Degree],"&gt;="&amp;D36)</f>
        <v>0</v>
      </c>
      <c r="F35" s="66"/>
      <c r="G35" s="67">
        <f>COUNTIF(Vertices[In-Degree],"&gt;= "&amp;F35)-COUNTIF(Vertices[In-Degree],"&gt;="&amp;F36)</f>
        <v>0</v>
      </c>
      <c r="H35" s="66"/>
      <c r="I35" s="67">
        <f>COUNTIF(Vertices[Out-Degree],"&gt;= "&amp;H35)-COUNTIF(Vertices[Out-Degree],"&gt;="&amp;H36)</f>
        <v>0</v>
      </c>
      <c r="J35" s="66"/>
      <c r="K35" s="67">
        <f>COUNTIF(Vertices[Betweenness Centrality],"&gt;= "&amp;J35)-COUNTIF(Vertices[Betweenness Centrality],"&gt;="&amp;J36)</f>
        <v>0</v>
      </c>
      <c r="L35" s="66"/>
      <c r="M35" s="67">
        <f>COUNTIF(Vertices[Closeness Centrality],"&gt;= "&amp;L35)-COUNTIF(Vertices[Closeness Centrality],"&gt;="&amp;L36)</f>
        <v>0</v>
      </c>
      <c r="N35" s="66"/>
      <c r="O35" s="67">
        <f>COUNTIF(Vertices[Eigenvector Centrality],"&gt;= "&amp;N35)-COUNTIF(Vertices[Eigenvector Centrality],"&gt;="&amp;N36)</f>
        <v>0</v>
      </c>
      <c r="P35" s="66"/>
      <c r="Q35" s="67">
        <f>COUNTIF(Vertices[Eigenvector Centrality],"&gt;= "&amp;P35)-COUNTIF(Vertices[Eigenvector Centrality],"&gt;="&amp;P36)</f>
        <v>0</v>
      </c>
      <c r="R35" s="66"/>
      <c r="S35" s="68">
        <f>COUNTIF(Vertices[Clustering Coefficient],"&gt;= "&amp;R35)-COUNTIF(Vertices[Clustering Coefficient],"&gt;="&amp;R36)</f>
        <v>0</v>
      </c>
      <c r="T35" s="66"/>
      <c r="U35" s="67">
        <f>COUNTIF(Vertices[Clustering Coefficient],"&gt;= "&amp;T35)-COUNTIF(Vertices[Clustering Coefficient],"&gt;="&amp;T36)</f>
        <v>0</v>
      </c>
    </row>
    <row r="36" spans="4:21" ht="15">
      <c r="D36" s="32"/>
      <c r="E36" s="3">
        <f>COUNTIF(Vertices[Degree],"&gt;= "&amp;D36)-COUNTIF(Vertices[Degree],"&gt;="&amp;D37)</f>
        <v>0</v>
      </c>
      <c r="F36" s="66"/>
      <c r="G36" s="67">
        <f>COUNTIF(Vertices[In-Degree],"&gt;= "&amp;F36)-COUNTIF(Vertices[In-Degree],"&gt;="&amp;F37)</f>
        <v>0</v>
      </c>
      <c r="H36" s="66"/>
      <c r="I36" s="67">
        <f>COUNTIF(Vertices[Out-Degree],"&gt;= "&amp;H36)-COUNTIF(Vertices[Out-Degree],"&gt;="&amp;H37)</f>
        <v>0</v>
      </c>
      <c r="J36" s="66"/>
      <c r="K36" s="67">
        <f>COUNTIF(Vertices[Betweenness Centrality],"&gt;= "&amp;J36)-COUNTIF(Vertices[Betweenness Centrality],"&gt;="&amp;J37)</f>
        <v>0</v>
      </c>
      <c r="L36" s="66"/>
      <c r="M36" s="67">
        <f>COUNTIF(Vertices[Closeness Centrality],"&gt;= "&amp;L36)-COUNTIF(Vertices[Closeness Centrality],"&gt;="&amp;L37)</f>
        <v>0</v>
      </c>
      <c r="N36" s="66"/>
      <c r="O36" s="67">
        <f>COUNTIF(Vertices[Eigenvector Centrality],"&gt;= "&amp;N36)-COUNTIF(Vertices[Eigenvector Centrality],"&gt;="&amp;N37)</f>
        <v>0</v>
      </c>
      <c r="P36" s="66"/>
      <c r="Q36" s="67">
        <f>COUNTIF(Vertices[Eigenvector Centrality],"&gt;= "&amp;P36)-COUNTIF(Vertices[Eigenvector Centrality],"&gt;="&amp;P37)</f>
        <v>0</v>
      </c>
      <c r="R36" s="66"/>
      <c r="S36" s="68">
        <f>COUNTIF(Vertices[Clustering Coefficient],"&gt;= "&amp;R36)-COUNTIF(Vertices[Clustering Coefficient],"&gt;="&amp;R37)</f>
        <v>0</v>
      </c>
      <c r="T36" s="66"/>
      <c r="U36" s="67">
        <f>COUNTIF(Vertices[Clustering Coefficient],"&gt;= "&amp;T36)-COUNTIF(Vertices[Clustering Coefficient],"&gt;="&amp;T37)</f>
        <v>0</v>
      </c>
    </row>
    <row r="37" spans="4:21" ht="15">
      <c r="D37" s="32"/>
      <c r="E37" s="3">
        <f>COUNTIF(Vertices[Degree],"&gt;= "&amp;D37)-COUNTIF(Vertices[Degree],"&gt;="&amp;D38)</f>
        <v>0</v>
      </c>
      <c r="F37" s="66"/>
      <c r="G37" s="67">
        <f>COUNTIF(Vertices[In-Degree],"&gt;= "&amp;F37)-COUNTIF(Vertices[In-Degree],"&gt;="&amp;F38)</f>
        <v>0</v>
      </c>
      <c r="H37" s="66"/>
      <c r="I37" s="67">
        <f>COUNTIF(Vertices[Out-Degree],"&gt;= "&amp;H37)-COUNTIF(Vertices[Out-Degree],"&gt;="&amp;H38)</f>
        <v>0</v>
      </c>
      <c r="J37" s="66"/>
      <c r="K37" s="67">
        <f>COUNTIF(Vertices[Betweenness Centrality],"&gt;= "&amp;J37)-COUNTIF(Vertices[Betweenness Centrality],"&gt;="&amp;J38)</f>
        <v>0</v>
      </c>
      <c r="L37" s="66"/>
      <c r="M37" s="67">
        <f>COUNTIF(Vertices[Closeness Centrality],"&gt;= "&amp;L37)-COUNTIF(Vertices[Closeness Centrality],"&gt;="&amp;L38)</f>
        <v>0</v>
      </c>
      <c r="N37" s="66"/>
      <c r="O37" s="67">
        <f>COUNTIF(Vertices[Eigenvector Centrality],"&gt;= "&amp;N37)-COUNTIF(Vertices[Eigenvector Centrality],"&gt;="&amp;N38)</f>
        <v>0</v>
      </c>
      <c r="P37" s="66"/>
      <c r="Q37" s="67">
        <f>COUNTIF(Vertices[Eigenvector Centrality],"&gt;= "&amp;P37)-COUNTIF(Vertices[Eigenvector Centrality],"&gt;="&amp;P38)</f>
        <v>0</v>
      </c>
      <c r="R37" s="66"/>
      <c r="S37" s="68">
        <f>COUNTIF(Vertices[Clustering Coefficient],"&gt;= "&amp;R37)-COUNTIF(Vertices[Clustering Coefficient],"&gt;="&amp;R38)</f>
        <v>0</v>
      </c>
      <c r="T37" s="66"/>
      <c r="U37" s="67">
        <f>COUNTIF(Vertices[Clustering Coefficient],"&gt;= "&amp;T37)-COUNTIF(Vertices[Clustering Coefficient],"&gt;="&amp;T38)</f>
        <v>0</v>
      </c>
    </row>
    <row r="38" spans="4:21" ht="15">
      <c r="D38" s="32"/>
      <c r="E38" s="3">
        <f>COUNTIF(Vertices[Degree],"&gt;= "&amp;D38)-COUNTIF(Vertices[Degree],"&gt;="&amp;D40)</f>
        <v>-4</v>
      </c>
      <c r="F38" s="66"/>
      <c r="G38" s="67">
        <f>COUNTIF(Vertices[In-Degree],"&gt;= "&amp;F38)-COUNTIF(Vertices[In-Degree],"&gt;="&amp;F40)</f>
        <v>-5</v>
      </c>
      <c r="H38" s="66"/>
      <c r="I38" s="67">
        <f>COUNTIF(Vertices[Out-Degree],"&gt;= "&amp;H38)-COUNTIF(Vertices[Out-Degree],"&gt;="&amp;H40)</f>
        <v>-4</v>
      </c>
      <c r="J38" s="66"/>
      <c r="K38" s="67">
        <f>COUNTIF(Vertices[Betweenness Centrality],"&gt;= "&amp;J38)-COUNTIF(Vertices[Betweenness Centrality],"&gt;="&amp;J40)</f>
        <v>-3</v>
      </c>
      <c r="L38" s="66"/>
      <c r="M38" s="67">
        <f>COUNTIF(Vertices[Closeness Centrality],"&gt;= "&amp;L38)-COUNTIF(Vertices[Closeness Centrality],"&gt;="&amp;L40)</f>
        <v>-4</v>
      </c>
      <c r="N38" s="66"/>
      <c r="O38" s="67">
        <f>COUNTIF(Vertices[Eigenvector Centrality],"&gt;= "&amp;N38)-COUNTIF(Vertices[Eigenvector Centrality],"&gt;="&amp;N40)</f>
        <v>-4</v>
      </c>
      <c r="P38" s="66"/>
      <c r="Q38" s="67">
        <f>COUNTIF(Vertices[Eigenvector Centrality],"&gt;= "&amp;P38)-COUNTIF(Vertices[Eigenvector Centrality],"&gt;="&amp;P40)</f>
        <v>0</v>
      </c>
      <c r="R38" s="66"/>
      <c r="S38" s="68">
        <f>COUNTIF(Vertices[Clustering Coefficient],"&gt;= "&amp;R38)-COUNTIF(Vertices[Clustering Coefficient],"&gt;="&amp;R40)</f>
        <v>-4</v>
      </c>
      <c r="T38" s="66"/>
      <c r="U38" s="67">
        <f ca="1">COUNTIF(Vertices[Clustering Coefficient],"&gt;= "&amp;T38)-COUNTIF(Vertices[Clustering Coefficient],"&gt;="&amp;T40)</f>
        <v>0</v>
      </c>
    </row>
    <row r="39" spans="4:21" ht="15">
      <c r="D39" s="32"/>
      <c r="E39" s="3">
        <f>COUNTIF(Vertices[Degree],"&gt;= "&amp;D39)-COUNTIF(Vertices[Degree],"&gt;="&amp;D40)</f>
        <v>-4</v>
      </c>
      <c r="F39" s="66"/>
      <c r="G39" s="67">
        <f>COUNTIF(Vertices[In-Degree],"&gt;= "&amp;F39)-COUNTIF(Vertices[In-Degree],"&gt;="&amp;F40)</f>
        <v>-5</v>
      </c>
      <c r="H39" s="66"/>
      <c r="I39" s="67">
        <f>COUNTIF(Vertices[Out-Degree],"&gt;= "&amp;H39)-COUNTIF(Vertices[Out-Degree],"&gt;="&amp;H40)</f>
        <v>-4</v>
      </c>
      <c r="J39" s="66"/>
      <c r="K39" s="67">
        <f>COUNTIF(Vertices[Betweenness Centrality],"&gt;= "&amp;J39)-COUNTIF(Vertices[Betweenness Centrality],"&gt;="&amp;J40)</f>
        <v>-3</v>
      </c>
      <c r="L39" s="66"/>
      <c r="M39" s="67">
        <f>COUNTIF(Vertices[Closeness Centrality],"&gt;= "&amp;L39)-COUNTIF(Vertices[Closeness Centrality],"&gt;="&amp;L40)</f>
        <v>-4</v>
      </c>
      <c r="N39" s="66"/>
      <c r="O39" s="67">
        <f>COUNTIF(Vertices[Eigenvector Centrality],"&gt;= "&amp;N39)-COUNTIF(Vertices[Eigenvector Centrality],"&gt;="&amp;N40)</f>
        <v>-4</v>
      </c>
      <c r="P39" s="66"/>
      <c r="Q39" s="67">
        <f>COUNTIF(Vertices[Eigenvector Centrality],"&gt;= "&amp;P39)-COUNTIF(Vertices[Eigenvector Centrality],"&gt;="&amp;P40)</f>
        <v>0</v>
      </c>
      <c r="R39" s="66"/>
      <c r="S39" s="68">
        <f>COUNTIF(Vertices[Clustering Coefficient],"&gt;= "&amp;R39)-COUNTIF(Vertices[Clustering Coefficient],"&gt;="&amp;R40)</f>
        <v>-4</v>
      </c>
      <c r="T39" s="66"/>
      <c r="U39" s="67">
        <f ca="1">COUNTIF(Vertices[Clustering Coefficient],"&gt;= "&amp;T39)-COUNTIF(Vertices[Clustering Coefficient],"&gt;="&amp;T40)</f>
        <v>0</v>
      </c>
    </row>
    <row r="40" spans="4:21" ht="15">
      <c r="D40" s="32">
        <f>D28+($D$57-$D$2)/BinDivisor</f>
        <v>2.94545454545454</v>
      </c>
      <c r="E40" s="3">
        <f>COUNTIF(Vertices[Degree],"&gt;= "&amp;D40)-COUNTIF(Vertices[Degree],"&gt;="&amp;D41)</f>
        <v>0</v>
      </c>
      <c r="F40" s="36">
        <f>F28+($F$57-$F$2)/BinDivisor</f>
        <v>1.8909090909090913</v>
      </c>
      <c r="G40" s="37">
        <f>COUNTIF(Vertices[In-Degree],"&gt;= "&amp;F40)-COUNTIF(Vertices[In-Degree],"&gt;="&amp;F41)</f>
        <v>0</v>
      </c>
      <c r="H40" s="36">
        <f>H28+($H$57-$H$2)/BinDivisor</f>
        <v>1.8909090909090913</v>
      </c>
      <c r="I40" s="37">
        <f>COUNTIF(Vertices[Out-Degree],"&gt;= "&amp;H40)-COUNTIF(Vertices[Out-Degree],"&gt;="&amp;H41)</f>
        <v>0</v>
      </c>
      <c r="J40" s="36">
        <f>J28+($J$57-$J$2)/BinDivisor</f>
        <v>15.12727272727273</v>
      </c>
      <c r="K40" s="37">
        <f>COUNTIF(Vertices[Betweenness Centrality],"&gt;= "&amp;J40)-COUNTIF(Vertices[Betweenness Centrality],"&gt;="&amp;J41)</f>
        <v>0</v>
      </c>
      <c r="L40" s="36">
        <f>L28+($L$57-$L$2)/BinDivisor</f>
        <v>0.0614718</v>
      </c>
      <c r="M40" s="37">
        <f>COUNTIF(Vertices[Closeness Centrality],"&gt;= "&amp;L40)-COUNTIF(Vertices[Closeness Centrality],"&gt;="&amp;L41)</f>
        <v>0</v>
      </c>
      <c r="N40" s="36">
        <f>N28+($N$57-$N$2)/BinDivisor</f>
        <v>0.11270667272727276</v>
      </c>
      <c r="O40" s="37">
        <f>COUNTIF(Vertices[Eigenvector Centrality],"&gt;= "&amp;N40)-COUNTIF(Vertices[Eigenvector Centrality],"&gt;="&amp;N41)</f>
        <v>0</v>
      </c>
      <c r="P40" s="36">
        <f>P28+($P$57-$P$2)/BinDivisor</f>
        <v>1.0281665636363624</v>
      </c>
      <c r="Q40" s="37">
        <f>COUNTIF(Vertices[PageRank],"&gt;= "&amp;P40)-COUNTIF(Vertices[PageRank],"&gt;="&amp;P41)</f>
        <v>0</v>
      </c>
      <c r="R40" s="36">
        <f>R28+($R$57-$R$2)/BinDivisor</f>
        <v>0.40303030303030307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2.981818181818176</v>
      </c>
      <c r="E41" s="3">
        <f>COUNTIF(Vertices[Degree],"&gt;= "&amp;D41)-COUNTIF(Vertices[Degree],"&gt;="&amp;D42)</f>
        <v>3</v>
      </c>
      <c r="F41" s="38">
        <f aca="true" t="shared" si="11" ref="F41:F56">F40+($F$57-$F$2)/BinDivisor</f>
        <v>1.963636363636364</v>
      </c>
      <c r="G41" s="39">
        <f>COUNTIF(Vertices[In-Degree],"&gt;= "&amp;F41)-COUNTIF(Vertices[In-Degree],"&gt;="&amp;F42)</f>
        <v>4</v>
      </c>
      <c r="H41" s="38">
        <f aca="true" t="shared" si="12" ref="H41:H56">H40+($H$57-$H$2)/BinDivisor</f>
        <v>1.963636363636364</v>
      </c>
      <c r="I41" s="39">
        <f>COUNTIF(Vertices[Out-Degree],"&gt;= "&amp;H41)-COUNTIF(Vertices[Out-Degree],"&gt;="&amp;H42)</f>
        <v>2</v>
      </c>
      <c r="J41" s="38">
        <f aca="true" t="shared" si="13" ref="J41:J56">J40+($J$57-$J$2)/BinDivisor</f>
        <v>15.709090909090913</v>
      </c>
      <c r="K41" s="39">
        <f>COUNTIF(Vertices[Betweenness Centrality],"&gt;= "&amp;J41)-COUNTIF(Vertices[Betweenness Centrality],"&gt;="&amp;J42)</f>
        <v>1</v>
      </c>
      <c r="L41" s="38">
        <f aca="true" t="shared" si="14" ref="L41:L56">L40+($L$57-$L$2)/BinDivisor</f>
        <v>0.0620046</v>
      </c>
      <c r="M41" s="39">
        <f>COUNTIF(Vertices[Closeness Centrality],"&gt;= "&amp;L41)-COUNTIF(Vertices[Closeness Centrality],"&gt;="&amp;L42)</f>
        <v>1</v>
      </c>
      <c r="N41" s="38">
        <f aca="true" t="shared" si="15" ref="N41:N56">N40+($N$57-$N$2)/BinDivisor</f>
        <v>0.11470689090909095</v>
      </c>
      <c r="O41" s="39">
        <f>COUNTIF(Vertices[Eigenvector Centrality],"&gt;= "&amp;N41)-COUNTIF(Vertices[Eigenvector Centrality],"&gt;="&amp;N42)</f>
        <v>0</v>
      </c>
      <c r="P41" s="38">
        <f aca="true" t="shared" si="16" ref="P41:P56">P40+($P$57-$P$2)/BinDivisor</f>
        <v>1.0401448545454532</v>
      </c>
      <c r="Q41" s="39">
        <f>COUNTIF(Vertices[PageRank],"&gt;= "&amp;P41)-COUNTIF(Vertices[PageRank],"&gt;="&amp;P42)</f>
        <v>0</v>
      </c>
      <c r="R41" s="38">
        <f aca="true" t="shared" si="17" ref="R41:R56">R40+($R$57-$R$2)/BinDivisor</f>
        <v>0.41212121212121217</v>
      </c>
      <c r="S41" s="43">
        <f>COUNTIF(Vertices[Clustering Coefficient],"&gt;= "&amp;R41)-COUNTIF(Vertices[Clustering Coefficient],"&gt;="&amp;R42)</f>
        <v>0</v>
      </c>
      <c r="T41" s="38" t="e">
        <f aca="true" t="shared" si="18" ref="T41:T56">T40+($T$57-$T$2)/BinDivisor</f>
        <v>#REF!</v>
      </c>
      <c r="U41" s="39" t="e">
        <f ca="1" t="shared" si="0"/>
        <v>#REF!</v>
      </c>
    </row>
    <row r="42" spans="1:21" ht="15">
      <c r="A42" s="33"/>
      <c r="B42" s="33"/>
      <c r="D42" s="32">
        <f t="shared" si="10"/>
        <v>3.0181818181818123</v>
      </c>
      <c r="E42" s="3">
        <f>COUNTIF(Vertices[Degree],"&gt;= "&amp;D42)-COUNTIF(Vertices[Degree],"&gt;="&amp;D43)</f>
        <v>0</v>
      </c>
      <c r="F42" s="36">
        <f t="shared" si="11"/>
        <v>2.0363636363636366</v>
      </c>
      <c r="G42" s="37">
        <f>COUNTIF(Vertices[In-Degree],"&gt;= "&amp;F42)-COUNTIF(Vertices[In-Degree],"&gt;="&amp;F43)</f>
        <v>0</v>
      </c>
      <c r="H42" s="36">
        <f t="shared" si="12"/>
        <v>2.0363636363636366</v>
      </c>
      <c r="I42" s="37">
        <f>COUNTIF(Vertices[Out-Degree],"&gt;= "&amp;H42)-COUNTIF(Vertices[Out-Degree],"&gt;="&amp;H43)</f>
        <v>0</v>
      </c>
      <c r="J42" s="36">
        <f t="shared" si="13"/>
        <v>16.290909090909093</v>
      </c>
      <c r="K42" s="37">
        <f>COUNTIF(Vertices[Betweenness Centrality],"&gt;= "&amp;J42)-COUNTIF(Vertices[Betweenness Centrality],"&gt;="&amp;J43)</f>
        <v>0</v>
      </c>
      <c r="L42" s="36">
        <f t="shared" si="14"/>
        <v>0.0625374</v>
      </c>
      <c r="M42" s="37">
        <f>COUNTIF(Vertices[Closeness Centrality],"&gt;= "&amp;L42)-COUNTIF(Vertices[Closeness Centrality],"&gt;="&amp;L43)</f>
        <v>0</v>
      </c>
      <c r="N42" s="36">
        <f t="shared" si="15"/>
        <v>0.11670710909090913</v>
      </c>
      <c r="O42" s="37">
        <f>COUNTIF(Vertices[Eigenvector Centrality],"&gt;= "&amp;N42)-COUNTIF(Vertices[Eigenvector Centrality],"&gt;="&amp;N43)</f>
        <v>0</v>
      </c>
      <c r="P42" s="36">
        <f t="shared" si="16"/>
        <v>1.052123145454544</v>
      </c>
      <c r="Q42" s="37">
        <f>COUNTIF(Vertices[PageRank],"&gt;= "&amp;P42)-COUNTIF(Vertices[PageRank],"&gt;="&amp;P43)</f>
        <v>0</v>
      </c>
      <c r="R42" s="36">
        <f t="shared" si="17"/>
        <v>0.42121212121212126</v>
      </c>
      <c r="S42" s="42">
        <f>COUNTIF(Vertices[Clustering Coefficient],"&gt;= "&amp;R42)-COUNTIF(Vertices[Clustering Coefficient],"&gt;="&amp;R43)</f>
        <v>0</v>
      </c>
      <c r="T42" s="36" t="e">
        <f ca="1" t="shared" si="18"/>
        <v>#REF!</v>
      </c>
      <c r="U42" s="37" t="e">
        <f ca="1" t="shared" si="0"/>
        <v>#REF!</v>
      </c>
    </row>
    <row r="43" spans="1:21" ht="15">
      <c r="A43" s="33"/>
      <c r="B43" s="33"/>
      <c r="D43" s="32">
        <f t="shared" si="10"/>
        <v>3.0545454545454485</v>
      </c>
      <c r="E43" s="3">
        <f>COUNTIF(Vertices[Degree],"&gt;= "&amp;D43)-COUNTIF(Vertices[Degree],"&gt;="&amp;D44)</f>
        <v>0</v>
      </c>
      <c r="F43" s="38">
        <f t="shared" si="11"/>
        <v>2.1090909090909093</v>
      </c>
      <c r="G43" s="39">
        <f>COUNTIF(Vertices[In-Degree],"&gt;= "&amp;F43)-COUNTIF(Vertices[In-Degree],"&gt;="&amp;F44)</f>
        <v>0</v>
      </c>
      <c r="H43" s="38">
        <f t="shared" si="12"/>
        <v>2.1090909090909093</v>
      </c>
      <c r="I43" s="39">
        <f>COUNTIF(Vertices[Out-Degree],"&gt;= "&amp;H43)-COUNTIF(Vertices[Out-Degree],"&gt;="&amp;H44)</f>
        <v>0</v>
      </c>
      <c r="J43" s="38">
        <f t="shared" si="13"/>
        <v>16.872727272727275</v>
      </c>
      <c r="K43" s="39">
        <f>COUNTIF(Vertices[Betweenness Centrality],"&gt;= "&amp;J43)-COUNTIF(Vertices[Betweenness Centrality],"&gt;="&amp;J44)</f>
        <v>0</v>
      </c>
      <c r="L43" s="38">
        <f t="shared" si="14"/>
        <v>0.0630702</v>
      </c>
      <c r="M43" s="39">
        <f>COUNTIF(Vertices[Closeness Centrality],"&gt;= "&amp;L43)-COUNTIF(Vertices[Closeness Centrality],"&gt;="&amp;L44)</f>
        <v>0</v>
      </c>
      <c r="N43" s="38">
        <f t="shared" si="15"/>
        <v>0.11870732727272731</v>
      </c>
      <c r="O43" s="39">
        <f>COUNTIF(Vertices[Eigenvector Centrality],"&gt;= "&amp;N43)-COUNTIF(Vertices[Eigenvector Centrality],"&gt;="&amp;N44)</f>
        <v>0</v>
      </c>
      <c r="P43" s="38">
        <f t="shared" si="16"/>
        <v>1.064101436363635</v>
      </c>
      <c r="Q43" s="39">
        <f>COUNTIF(Vertices[PageRank],"&gt;= "&amp;P43)-COUNTIF(Vertices[PageRank],"&gt;="&amp;P44)</f>
        <v>0</v>
      </c>
      <c r="R43" s="38">
        <f t="shared" si="17"/>
        <v>0.43030303030303035</v>
      </c>
      <c r="S43" s="43">
        <f>COUNTIF(Vertices[Clustering Coefficient],"&gt;= "&amp;R43)-COUNTIF(Vertices[Clustering Coefficient],"&gt;="&amp;R44)</f>
        <v>0</v>
      </c>
      <c r="T43" s="38" t="e">
        <f ca="1" t="shared" si="18"/>
        <v>#REF!</v>
      </c>
      <c r="U43" s="39" t="e">
        <f ca="1" t="shared" si="0"/>
        <v>#REF!</v>
      </c>
    </row>
    <row r="44" spans="1:21" ht="15">
      <c r="A44" s="33"/>
      <c r="B44" s="33"/>
      <c r="D44" s="32">
        <f t="shared" si="10"/>
        <v>3.0909090909090846</v>
      </c>
      <c r="E44" s="3">
        <f>COUNTIF(Vertices[Degree],"&gt;= "&amp;D44)-COUNTIF(Vertices[Degree],"&gt;="&amp;D45)</f>
        <v>0</v>
      </c>
      <c r="F44" s="36">
        <f t="shared" si="11"/>
        <v>2.181818181818182</v>
      </c>
      <c r="G44" s="37">
        <f>COUNTIF(Vertices[In-Degree],"&gt;= "&amp;F44)-COUNTIF(Vertices[In-Degree],"&gt;="&amp;F45)</f>
        <v>0</v>
      </c>
      <c r="H44" s="36">
        <f t="shared" si="12"/>
        <v>2.181818181818182</v>
      </c>
      <c r="I44" s="37">
        <f>COUNTIF(Vertices[Out-Degree],"&gt;= "&amp;H44)-COUNTIF(Vertices[Out-Degree],"&gt;="&amp;H45)</f>
        <v>0</v>
      </c>
      <c r="J44" s="36">
        <f t="shared" si="13"/>
        <v>17.454545454545457</v>
      </c>
      <c r="K44" s="37">
        <f>COUNTIF(Vertices[Betweenness Centrality],"&gt;= "&amp;J44)-COUNTIF(Vertices[Betweenness Centrality],"&gt;="&amp;J45)</f>
        <v>0</v>
      </c>
      <c r="L44" s="36">
        <f t="shared" si="14"/>
        <v>0.063603</v>
      </c>
      <c r="M44" s="37">
        <f>COUNTIF(Vertices[Closeness Centrality],"&gt;= "&amp;L44)-COUNTIF(Vertices[Closeness Centrality],"&gt;="&amp;L45)</f>
        <v>0</v>
      </c>
      <c r="N44" s="36">
        <f t="shared" si="15"/>
        <v>0.1207075454545455</v>
      </c>
      <c r="O44" s="37">
        <f>COUNTIF(Vertices[Eigenvector Centrality],"&gt;= "&amp;N44)-COUNTIF(Vertices[Eigenvector Centrality],"&gt;="&amp;N45)</f>
        <v>0</v>
      </c>
      <c r="P44" s="36">
        <f t="shared" si="16"/>
        <v>1.0760797272727258</v>
      </c>
      <c r="Q44" s="37">
        <f>COUNTIF(Vertices[PageRank],"&gt;= "&amp;P44)-COUNTIF(Vertices[PageRank],"&gt;="&amp;P45)</f>
        <v>1</v>
      </c>
      <c r="R44" s="36">
        <f t="shared" si="17"/>
        <v>0.43939393939393945</v>
      </c>
      <c r="S44" s="42">
        <f>COUNTIF(Vertices[Clustering Coefficient],"&gt;= "&amp;R44)-COUNTIF(Vertices[Clustering Coefficient],"&gt;="&amp;R45)</f>
        <v>0</v>
      </c>
      <c r="T44" s="36" t="e">
        <f ca="1" t="shared" si="18"/>
        <v>#REF!</v>
      </c>
      <c r="U44" s="37" t="e">
        <f ca="1" t="shared" si="0"/>
        <v>#REF!</v>
      </c>
    </row>
    <row r="45" spans="4:21" ht="15">
      <c r="D45" s="32">
        <f t="shared" si="10"/>
        <v>3.1272727272727208</v>
      </c>
      <c r="E45" s="3">
        <f>COUNTIF(Vertices[Degree],"&gt;= "&amp;D45)-COUNTIF(Vertices[Degree],"&gt;="&amp;D46)</f>
        <v>0</v>
      </c>
      <c r="F45" s="38">
        <f t="shared" si="11"/>
        <v>2.254545454545455</v>
      </c>
      <c r="G45" s="39">
        <f>COUNTIF(Vertices[In-Degree],"&gt;= "&amp;F45)-COUNTIF(Vertices[In-Degree],"&gt;="&amp;F46)</f>
        <v>0</v>
      </c>
      <c r="H45" s="38">
        <f t="shared" si="12"/>
        <v>2.254545454545455</v>
      </c>
      <c r="I45" s="39">
        <f>COUNTIF(Vertices[Out-Degree],"&gt;= "&amp;H45)-COUNTIF(Vertices[Out-Degree],"&gt;="&amp;H46)</f>
        <v>0</v>
      </c>
      <c r="J45" s="38">
        <f t="shared" si="13"/>
        <v>18.03636363636364</v>
      </c>
      <c r="K45" s="39">
        <f>COUNTIF(Vertices[Betweenness Centrality],"&gt;= "&amp;J45)-COUNTIF(Vertices[Betweenness Centrality],"&gt;="&amp;J46)</f>
        <v>0</v>
      </c>
      <c r="L45" s="38">
        <f t="shared" si="14"/>
        <v>0.0641358</v>
      </c>
      <c r="M45" s="39">
        <f>COUNTIF(Vertices[Closeness Centrality],"&gt;= "&amp;L45)-COUNTIF(Vertices[Closeness Centrality],"&gt;="&amp;L46)</f>
        <v>0</v>
      </c>
      <c r="N45" s="38">
        <f t="shared" si="15"/>
        <v>0.12270776363636368</v>
      </c>
      <c r="O45" s="39">
        <f>COUNTIF(Vertices[Eigenvector Centrality],"&gt;= "&amp;N45)-COUNTIF(Vertices[Eigenvector Centrality],"&gt;="&amp;N46)</f>
        <v>0</v>
      </c>
      <c r="P45" s="38">
        <f t="shared" si="16"/>
        <v>1.0880580181818167</v>
      </c>
      <c r="Q45" s="39">
        <f>COUNTIF(Vertices[PageRank],"&gt;= "&amp;P45)-COUNTIF(Vertices[PageRank],"&gt;="&amp;P46)</f>
        <v>0</v>
      </c>
      <c r="R45" s="38">
        <f t="shared" si="17"/>
        <v>0.44848484848484854</v>
      </c>
      <c r="S45" s="43">
        <f>COUNTIF(Vertices[Clustering Coefficient],"&gt;= "&amp;R45)-COUNTIF(Vertices[Clustering Coefficient],"&gt;="&amp;R46)</f>
        <v>0</v>
      </c>
      <c r="T45" s="38" t="e">
        <f ca="1" t="shared" si="18"/>
        <v>#REF!</v>
      </c>
      <c r="U45" s="39" t="e">
        <f ca="1" t="shared" si="0"/>
        <v>#REF!</v>
      </c>
    </row>
    <row r="46" spans="4:21" ht="15">
      <c r="D46" s="32">
        <f t="shared" si="10"/>
        <v>3.163636363636357</v>
      </c>
      <c r="E46" s="3">
        <f>COUNTIF(Vertices[Degree],"&gt;= "&amp;D46)-COUNTIF(Vertices[Degree],"&gt;="&amp;D47)</f>
        <v>0</v>
      </c>
      <c r="F46" s="36">
        <f t="shared" si="11"/>
        <v>2.3272727272727276</v>
      </c>
      <c r="G46" s="37">
        <f>COUNTIF(Vertices[In-Degree],"&gt;= "&amp;F46)-COUNTIF(Vertices[In-Degree],"&gt;="&amp;F47)</f>
        <v>0</v>
      </c>
      <c r="H46" s="36">
        <f t="shared" si="12"/>
        <v>2.3272727272727276</v>
      </c>
      <c r="I46" s="37">
        <f>COUNTIF(Vertices[Out-Degree],"&gt;= "&amp;H46)-COUNTIF(Vertices[Out-Degree],"&gt;="&amp;H47)</f>
        <v>0</v>
      </c>
      <c r="J46" s="36">
        <f t="shared" si="13"/>
        <v>18.61818181818182</v>
      </c>
      <c r="K46" s="37">
        <f>COUNTIF(Vertices[Betweenness Centrality],"&gt;= "&amp;J46)-COUNTIF(Vertices[Betweenness Centrality],"&gt;="&amp;J47)</f>
        <v>0</v>
      </c>
      <c r="L46" s="36">
        <f t="shared" si="14"/>
        <v>0.0646686</v>
      </c>
      <c r="M46" s="37">
        <f>COUNTIF(Vertices[Closeness Centrality],"&gt;= "&amp;L46)-COUNTIF(Vertices[Closeness Centrality],"&gt;="&amp;L47)</f>
        <v>0</v>
      </c>
      <c r="N46" s="36">
        <f t="shared" si="15"/>
        <v>0.12470798181818187</v>
      </c>
      <c r="O46" s="37">
        <f>COUNTIF(Vertices[Eigenvector Centrality],"&gt;= "&amp;N46)-COUNTIF(Vertices[Eigenvector Centrality],"&gt;="&amp;N47)</f>
        <v>0</v>
      </c>
      <c r="P46" s="36">
        <f t="shared" si="16"/>
        <v>1.1000363090909075</v>
      </c>
      <c r="Q46" s="37">
        <f>COUNTIF(Vertices[PageRank],"&gt;= "&amp;P46)-COUNTIF(Vertices[PageRank],"&gt;="&amp;P47)</f>
        <v>0</v>
      </c>
      <c r="R46" s="36">
        <f t="shared" si="17"/>
        <v>0.45757575757575764</v>
      </c>
      <c r="S46" s="42">
        <f>COUNTIF(Vertices[Clustering Coefficient],"&gt;= "&amp;R46)-COUNTIF(Vertices[Clustering Coefficient],"&gt;="&amp;R47)</f>
        <v>0</v>
      </c>
      <c r="T46" s="36" t="e">
        <f ca="1" t="shared" si="18"/>
        <v>#REF!</v>
      </c>
      <c r="U46" s="37" t="e">
        <f ca="1" t="shared" si="0"/>
        <v>#REF!</v>
      </c>
    </row>
    <row r="47" spans="4:21" ht="15">
      <c r="D47" s="32">
        <f t="shared" si="10"/>
        <v>3.199999999999993</v>
      </c>
      <c r="E47" s="3">
        <f>COUNTIF(Vertices[Degree],"&gt;= "&amp;D47)-COUNTIF(Vertices[Degree],"&gt;="&amp;D48)</f>
        <v>0</v>
      </c>
      <c r="F47" s="38">
        <f t="shared" si="11"/>
        <v>2.4000000000000004</v>
      </c>
      <c r="G47" s="39">
        <f>COUNTIF(Vertices[In-Degree],"&gt;= "&amp;F47)-COUNTIF(Vertices[In-Degree],"&gt;="&amp;F48)</f>
        <v>0</v>
      </c>
      <c r="H47" s="38">
        <f t="shared" si="12"/>
        <v>2.4000000000000004</v>
      </c>
      <c r="I47" s="39">
        <f>COUNTIF(Vertices[Out-Degree],"&gt;= "&amp;H47)-COUNTIF(Vertices[Out-Degree],"&gt;="&amp;H48)</f>
        <v>0</v>
      </c>
      <c r="J47" s="38">
        <f t="shared" si="13"/>
        <v>19.200000000000003</v>
      </c>
      <c r="K47" s="39">
        <f>COUNTIF(Vertices[Betweenness Centrality],"&gt;= "&amp;J47)-COUNTIF(Vertices[Betweenness Centrality],"&gt;="&amp;J48)</f>
        <v>0</v>
      </c>
      <c r="L47" s="38">
        <f t="shared" si="14"/>
        <v>0.0652014</v>
      </c>
      <c r="M47" s="39">
        <f>COUNTIF(Vertices[Closeness Centrality],"&gt;= "&amp;L47)-COUNTIF(Vertices[Closeness Centrality],"&gt;="&amp;L48)</f>
        <v>0</v>
      </c>
      <c r="N47" s="38">
        <f t="shared" si="15"/>
        <v>0.12670820000000005</v>
      </c>
      <c r="O47" s="39">
        <f>COUNTIF(Vertices[Eigenvector Centrality],"&gt;= "&amp;N47)-COUNTIF(Vertices[Eigenvector Centrality],"&gt;="&amp;N48)</f>
        <v>0</v>
      </c>
      <c r="P47" s="38">
        <f t="shared" si="16"/>
        <v>1.1120145999999984</v>
      </c>
      <c r="Q47" s="39">
        <f>COUNTIF(Vertices[PageRank],"&gt;= "&amp;P47)-COUNTIF(Vertices[PageRank],"&gt;="&amp;P48)</f>
        <v>0</v>
      </c>
      <c r="R47" s="38">
        <f t="shared" si="17"/>
        <v>0.46666666666666673</v>
      </c>
      <c r="S47" s="43">
        <f>COUNTIF(Vertices[Clustering Coefficient],"&gt;= "&amp;R47)-COUNTIF(Vertices[Clustering Coefficient],"&gt;="&amp;R48)</f>
        <v>0</v>
      </c>
      <c r="T47" s="38" t="e">
        <f ca="1" t="shared" si="18"/>
        <v>#REF!</v>
      </c>
      <c r="U47" s="39" t="e">
        <f ca="1" t="shared" si="0"/>
        <v>#REF!</v>
      </c>
    </row>
    <row r="48" spans="4:21" ht="15">
      <c r="D48" s="32">
        <f t="shared" si="10"/>
        <v>3.2363636363636292</v>
      </c>
      <c r="E48" s="3">
        <f>COUNTIF(Vertices[Degree],"&gt;= "&amp;D48)-COUNTIF(Vertices[Degree],"&gt;="&amp;D49)</f>
        <v>0</v>
      </c>
      <c r="F48" s="36">
        <f t="shared" si="11"/>
        <v>2.472727272727273</v>
      </c>
      <c r="G48" s="37">
        <f>COUNTIF(Vertices[In-Degree],"&gt;= "&amp;F48)-COUNTIF(Vertices[In-Degree],"&gt;="&amp;F49)</f>
        <v>0</v>
      </c>
      <c r="H48" s="36">
        <f t="shared" si="12"/>
        <v>2.472727272727273</v>
      </c>
      <c r="I48" s="37">
        <f>COUNTIF(Vertices[Out-Degree],"&gt;= "&amp;H48)-COUNTIF(Vertices[Out-Degree],"&gt;="&amp;H49)</f>
        <v>0</v>
      </c>
      <c r="J48" s="36">
        <f t="shared" si="13"/>
        <v>19.781818181818185</v>
      </c>
      <c r="K48" s="37">
        <f>COUNTIF(Vertices[Betweenness Centrality],"&gt;= "&amp;J48)-COUNTIF(Vertices[Betweenness Centrality],"&gt;="&amp;J49)</f>
        <v>0</v>
      </c>
      <c r="L48" s="36">
        <f t="shared" si="14"/>
        <v>0.0657342</v>
      </c>
      <c r="M48" s="37">
        <f>COUNTIF(Vertices[Closeness Centrality],"&gt;= "&amp;L48)-COUNTIF(Vertices[Closeness Centrality],"&gt;="&amp;L49)</f>
        <v>0</v>
      </c>
      <c r="N48" s="36">
        <f t="shared" si="15"/>
        <v>0.12870841818181822</v>
      </c>
      <c r="O48" s="37">
        <f>COUNTIF(Vertices[Eigenvector Centrality],"&gt;= "&amp;N48)-COUNTIF(Vertices[Eigenvector Centrality],"&gt;="&amp;N49)</f>
        <v>0</v>
      </c>
      <c r="P48" s="36">
        <f t="shared" si="16"/>
        <v>1.1239928909090893</v>
      </c>
      <c r="Q48" s="37">
        <f>COUNTIF(Vertices[PageRank],"&gt;= "&amp;P48)-COUNTIF(Vertices[PageRank],"&gt;="&amp;P49)</f>
        <v>0</v>
      </c>
      <c r="R48" s="36">
        <f t="shared" si="17"/>
        <v>0.4757575757575758</v>
      </c>
      <c r="S48" s="42">
        <f>COUNTIF(Vertices[Clustering Coefficient],"&gt;= "&amp;R48)-COUNTIF(Vertices[Clustering Coefficient],"&gt;="&amp;R49)</f>
        <v>0</v>
      </c>
      <c r="T48" s="36" t="e">
        <f ca="1" t="shared" si="18"/>
        <v>#REF!</v>
      </c>
      <c r="U48" s="37" t="e">
        <f ca="1" t="shared" si="0"/>
        <v>#REF!</v>
      </c>
    </row>
    <row r="49" spans="4:21" ht="15">
      <c r="D49" s="32">
        <f t="shared" si="10"/>
        <v>3.2727272727272654</v>
      </c>
      <c r="E49" s="3">
        <f>COUNTIF(Vertices[Degree],"&gt;= "&amp;D49)-COUNTIF(Vertices[Degree],"&gt;="&amp;D50)</f>
        <v>0</v>
      </c>
      <c r="F49" s="38">
        <f t="shared" si="11"/>
        <v>2.545454545454546</v>
      </c>
      <c r="G49" s="39">
        <f>COUNTIF(Vertices[In-Degree],"&gt;= "&amp;F49)-COUNTIF(Vertices[In-Degree],"&gt;="&amp;F50)</f>
        <v>0</v>
      </c>
      <c r="H49" s="38">
        <f t="shared" si="12"/>
        <v>2.545454545454546</v>
      </c>
      <c r="I49" s="39">
        <f>COUNTIF(Vertices[Out-Degree],"&gt;= "&amp;H49)-COUNTIF(Vertices[Out-Degree],"&gt;="&amp;H50)</f>
        <v>0</v>
      </c>
      <c r="J49" s="38">
        <f t="shared" si="13"/>
        <v>20.363636363636367</v>
      </c>
      <c r="K49" s="39">
        <f>COUNTIF(Vertices[Betweenness Centrality],"&gt;= "&amp;J49)-COUNTIF(Vertices[Betweenness Centrality],"&gt;="&amp;J50)</f>
        <v>0</v>
      </c>
      <c r="L49" s="38">
        <f t="shared" si="14"/>
        <v>0.066267</v>
      </c>
      <c r="M49" s="39">
        <f>COUNTIF(Vertices[Closeness Centrality],"&gt;= "&amp;L49)-COUNTIF(Vertices[Closeness Centrality],"&gt;="&amp;L50)</f>
        <v>1</v>
      </c>
      <c r="N49" s="38">
        <f t="shared" si="15"/>
        <v>0.1307086363636364</v>
      </c>
      <c r="O49" s="39">
        <f>COUNTIF(Vertices[Eigenvector Centrality],"&gt;= "&amp;N49)-COUNTIF(Vertices[Eigenvector Centrality],"&gt;="&amp;N50)</f>
        <v>0</v>
      </c>
      <c r="P49" s="38">
        <f t="shared" si="16"/>
        <v>1.1359711818181801</v>
      </c>
      <c r="Q49" s="39">
        <f>COUNTIF(Vertices[PageRank],"&gt;= "&amp;P49)-COUNTIF(Vertices[PageRank],"&gt;="&amp;P50)</f>
        <v>0</v>
      </c>
      <c r="R49" s="38">
        <f t="shared" si="17"/>
        <v>0.4848484848484849</v>
      </c>
      <c r="S49" s="43">
        <f>COUNTIF(Vertices[Clustering Coefficient],"&gt;= "&amp;R49)-COUNTIF(Vertices[Clustering Coefficient],"&gt;="&amp;R50)</f>
        <v>0</v>
      </c>
      <c r="T49" s="38" t="e">
        <f ca="1" t="shared" si="18"/>
        <v>#REF!</v>
      </c>
      <c r="U49" s="39" t="e">
        <f ca="1" t="shared" si="0"/>
        <v>#REF!</v>
      </c>
    </row>
    <row r="50" spans="4:21" ht="15">
      <c r="D50" s="32">
        <f t="shared" si="10"/>
        <v>3.3090909090909015</v>
      </c>
      <c r="E50" s="3">
        <f>COUNTIF(Vertices[Degree],"&gt;= "&amp;D50)-COUNTIF(Vertices[Degree],"&gt;="&amp;D51)</f>
        <v>0</v>
      </c>
      <c r="F50" s="36">
        <f t="shared" si="11"/>
        <v>2.6181818181818186</v>
      </c>
      <c r="G50" s="37">
        <f>COUNTIF(Vertices[In-Degree],"&gt;= "&amp;F50)-COUNTIF(Vertices[In-Degree],"&gt;="&amp;F51)</f>
        <v>0</v>
      </c>
      <c r="H50" s="36">
        <f t="shared" si="12"/>
        <v>2.6181818181818186</v>
      </c>
      <c r="I50" s="37">
        <f>COUNTIF(Vertices[Out-Degree],"&gt;= "&amp;H50)-COUNTIF(Vertices[Out-Degree],"&gt;="&amp;H51)</f>
        <v>0</v>
      </c>
      <c r="J50" s="36">
        <f t="shared" si="13"/>
        <v>20.94545454545455</v>
      </c>
      <c r="K50" s="37">
        <f>COUNTIF(Vertices[Betweenness Centrality],"&gt;= "&amp;J50)-COUNTIF(Vertices[Betweenness Centrality],"&gt;="&amp;J51)</f>
        <v>0</v>
      </c>
      <c r="L50" s="36">
        <f t="shared" si="14"/>
        <v>0.0667998</v>
      </c>
      <c r="M50" s="37">
        <f>COUNTIF(Vertices[Closeness Centrality],"&gt;= "&amp;L50)-COUNTIF(Vertices[Closeness Centrality],"&gt;="&amp;L51)</f>
        <v>0</v>
      </c>
      <c r="N50" s="36">
        <f t="shared" si="15"/>
        <v>0.13270885454545456</v>
      </c>
      <c r="O50" s="37">
        <f>COUNTIF(Vertices[Eigenvector Centrality],"&gt;= "&amp;N50)-COUNTIF(Vertices[Eigenvector Centrality],"&gt;="&amp;N51)</f>
        <v>0</v>
      </c>
      <c r="P50" s="36">
        <f t="shared" si="16"/>
        <v>1.147949472727271</v>
      </c>
      <c r="Q50" s="37">
        <f>COUNTIF(Vertices[PageRank],"&gt;= "&amp;P50)-COUNTIF(Vertices[PageRank],"&gt;="&amp;P51)</f>
        <v>0</v>
      </c>
      <c r="R50" s="36">
        <f t="shared" si="17"/>
        <v>0.493939393939394</v>
      </c>
      <c r="S50" s="42">
        <f>COUNTIF(Vertices[Clustering Coefficient],"&gt;= "&amp;R50)-COUNTIF(Vertices[Clustering Coefficient],"&gt;="&amp;R51)</f>
        <v>3</v>
      </c>
      <c r="T50" s="36" t="e">
        <f ca="1" t="shared" si="18"/>
        <v>#REF!</v>
      </c>
      <c r="U50" s="37" t="e">
        <f ca="1" t="shared" si="0"/>
        <v>#REF!</v>
      </c>
    </row>
    <row r="51" spans="4:21" ht="15">
      <c r="D51" s="32">
        <f t="shared" si="10"/>
        <v>3.3454545454545377</v>
      </c>
      <c r="E51" s="3">
        <f>COUNTIF(Vertices[Degree],"&gt;= "&amp;D51)-COUNTIF(Vertices[Degree],"&gt;="&amp;D52)</f>
        <v>0</v>
      </c>
      <c r="F51" s="38">
        <f t="shared" si="11"/>
        <v>2.6909090909090914</v>
      </c>
      <c r="G51" s="39">
        <f>COUNTIF(Vertices[In-Degree],"&gt;= "&amp;F51)-COUNTIF(Vertices[In-Degree],"&gt;="&amp;F52)</f>
        <v>0</v>
      </c>
      <c r="H51" s="38">
        <f t="shared" si="12"/>
        <v>2.6909090909090914</v>
      </c>
      <c r="I51" s="39">
        <f>COUNTIF(Vertices[Out-Degree],"&gt;= "&amp;H51)-COUNTIF(Vertices[Out-Degree],"&gt;="&amp;H52)</f>
        <v>0</v>
      </c>
      <c r="J51" s="38">
        <f t="shared" si="13"/>
        <v>21.52727272727273</v>
      </c>
      <c r="K51" s="39">
        <f>COUNTIF(Vertices[Betweenness Centrality],"&gt;= "&amp;J51)-COUNTIF(Vertices[Betweenness Centrality],"&gt;="&amp;J52)</f>
        <v>0</v>
      </c>
      <c r="L51" s="38">
        <f t="shared" si="14"/>
        <v>0.0673326</v>
      </c>
      <c r="M51" s="39">
        <f>COUNTIF(Vertices[Closeness Centrality],"&gt;= "&amp;L51)-COUNTIF(Vertices[Closeness Centrality],"&gt;="&amp;L52)</f>
        <v>0</v>
      </c>
      <c r="N51" s="38">
        <f t="shared" si="15"/>
        <v>0.13470907272727273</v>
      </c>
      <c r="O51" s="39">
        <f>COUNTIF(Vertices[Eigenvector Centrality],"&gt;= "&amp;N51)-COUNTIF(Vertices[Eigenvector Centrality],"&gt;="&amp;N52)</f>
        <v>1</v>
      </c>
      <c r="P51" s="38">
        <f t="shared" si="16"/>
        <v>1.1599277636363619</v>
      </c>
      <c r="Q51" s="39">
        <f>COUNTIF(Vertices[PageRank],"&gt;= "&amp;P51)-COUNTIF(Vertices[PageRank],"&gt;="&amp;P52)</f>
        <v>0</v>
      </c>
      <c r="R51" s="38">
        <f t="shared" si="17"/>
        <v>0.503030303030303</v>
      </c>
      <c r="S51" s="43">
        <f>COUNTIF(Vertices[Clustering Coefficient],"&gt;= "&amp;R51)-COUNTIF(Vertices[Clustering Coefficient],"&gt;="&amp;R52)</f>
        <v>0</v>
      </c>
      <c r="T51" s="38" t="e">
        <f ca="1" t="shared" si="18"/>
        <v>#REF!</v>
      </c>
      <c r="U51" s="39" t="e">
        <f ca="1" t="shared" si="0"/>
        <v>#REF!</v>
      </c>
    </row>
    <row r="52" spans="4:21" ht="15">
      <c r="D52" s="32">
        <f t="shared" si="10"/>
        <v>3.381818181818174</v>
      </c>
      <c r="E52" s="3">
        <f>COUNTIF(Vertices[Degree],"&gt;= "&amp;D52)-COUNTIF(Vertices[Degree],"&gt;="&amp;D53)</f>
        <v>0</v>
      </c>
      <c r="F52" s="36">
        <f t="shared" si="11"/>
        <v>2.763636363636364</v>
      </c>
      <c r="G52" s="37">
        <f>COUNTIF(Vertices[In-Degree],"&gt;= "&amp;F52)-COUNTIF(Vertices[In-Degree],"&gt;="&amp;F53)</f>
        <v>0</v>
      </c>
      <c r="H52" s="36">
        <f t="shared" si="12"/>
        <v>2.763636363636364</v>
      </c>
      <c r="I52" s="37">
        <f>COUNTIF(Vertices[Out-Degree],"&gt;= "&amp;H52)-COUNTIF(Vertices[Out-Degree],"&gt;="&amp;H53)</f>
        <v>0</v>
      </c>
      <c r="J52" s="36">
        <f t="shared" si="13"/>
        <v>22.109090909090913</v>
      </c>
      <c r="K52" s="37">
        <f>COUNTIF(Vertices[Betweenness Centrality],"&gt;= "&amp;J52)-COUNTIF(Vertices[Betweenness Centrality],"&gt;="&amp;J53)</f>
        <v>0</v>
      </c>
      <c r="L52" s="36">
        <f t="shared" si="14"/>
        <v>0.0678654</v>
      </c>
      <c r="M52" s="37">
        <f>COUNTIF(Vertices[Closeness Centrality],"&gt;= "&amp;L52)-COUNTIF(Vertices[Closeness Centrality],"&gt;="&amp;L53)</f>
        <v>0</v>
      </c>
      <c r="N52" s="36">
        <f t="shared" si="15"/>
        <v>0.1367092909090909</v>
      </c>
      <c r="O52" s="37">
        <f>COUNTIF(Vertices[Eigenvector Centrality],"&gt;= "&amp;N52)-COUNTIF(Vertices[Eigenvector Centrality],"&gt;="&amp;N53)</f>
        <v>0</v>
      </c>
      <c r="P52" s="36">
        <f t="shared" si="16"/>
        <v>1.1719060545454527</v>
      </c>
      <c r="Q52" s="37">
        <f>COUNTIF(Vertices[PageRank],"&gt;= "&amp;P52)-COUNTIF(Vertices[PageRank],"&gt;="&amp;P53)</f>
        <v>0</v>
      </c>
      <c r="R52" s="36">
        <f t="shared" si="17"/>
        <v>0.5121212121212121</v>
      </c>
      <c r="S52" s="42">
        <f>COUNTIF(Vertices[Clustering Coefficient],"&gt;= "&amp;R52)-COUNTIF(Vertices[Clustering Coefficient],"&gt;="&amp;R53)</f>
        <v>0</v>
      </c>
      <c r="T52" s="36" t="e">
        <f ca="1" t="shared" si="18"/>
        <v>#REF!</v>
      </c>
      <c r="U52" s="37" t="e">
        <f ca="1" t="shared" si="0"/>
        <v>#REF!</v>
      </c>
    </row>
    <row r="53" spans="4:21" ht="15">
      <c r="D53" s="32">
        <f t="shared" si="10"/>
        <v>3.41818181818181</v>
      </c>
      <c r="E53" s="3">
        <f>COUNTIF(Vertices[Degree],"&gt;= "&amp;D53)-COUNTIF(Vertices[Degree],"&gt;="&amp;D54)</f>
        <v>0</v>
      </c>
      <c r="F53" s="38">
        <f t="shared" si="11"/>
        <v>2.836363636363637</v>
      </c>
      <c r="G53" s="39">
        <f>COUNTIF(Vertices[In-Degree],"&gt;= "&amp;F53)-COUNTIF(Vertices[In-Degree],"&gt;="&amp;F54)</f>
        <v>0</v>
      </c>
      <c r="H53" s="38">
        <f t="shared" si="12"/>
        <v>2.836363636363637</v>
      </c>
      <c r="I53" s="39">
        <f>COUNTIF(Vertices[Out-Degree],"&gt;= "&amp;H53)-COUNTIF(Vertices[Out-Degree],"&gt;="&amp;H54)</f>
        <v>0</v>
      </c>
      <c r="J53" s="38">
        <f t="shared" si="13"/>
        <v>22.690909090909095</v>
      </c>
      <c r="K53" s="39">
        <f>COUNTIF(Vertices[Betweenness Centrality],"&gt;= "&amp;J53)-COUNTIF(Vertices[Betweenness Centrality],"&gt;="&amp;J54)</f>
        <v>0</v>
      </c>
      <c r="L53" s="38">
        <f t="shared" si="14"/>
        <v>0.0683982</v>
      </c>
      <c r="M53" s="39">
        <f>COUNTIF(Vertices[Closeness Centrality],"&gt;= "&amp;L53)-COUNTIF(Vertices[Closeness Centrality],"&gt;="&amp;L54)</f>
        <v>0</v>
      </c>
      <c r="N53" s="38">
        <f t="shared" si="15"/>
        <v>0.13870950909090907</v>
      </c>
      <c r="O53" s="39">
        <f>COUNTIF(Vertices[Eigenvector Centrality],"&gt;= "&amp;N53)-COUNTIF(Vertices[Eigenvector Centrality],"&gt;="&amp;N54)</f>
        <v>1</v>
      </c>
      <c r="P53" s="38">
        <f t="shared" si="16"/>
        <v>1.1838843454545436</v>
      </c>
      <c r="Q53" s="39">
        <f>COUNTIF(Vertices[PageRank],"&gt;= "&amp;P53)-COUNTIF(Vertices[PageRank],"&gt;="&amp;P54)</f>
        <v>0</v>
      </c>
      <c r="R53" s="38">
        <f t="shared" si="17"/>
        <v>0.5212121212121211</v>
      </c>
      <c r="S53" s="43">
        <f>COUNTIF(Vertices[Clustering Coefficient],"&gt;= "&amp;R53)-COUNTIF(Vertices[Clustering Coefficient],"&gt;="&amp;R54)</f>
        <v>0</v>
      </c>
      <c r="T53" s="38" t="e">
        <f ca="1" t="shared" si="18"/>
        <v>#REF!</v>
      </c>
      <c r="U53" s="39" t="e">
        <f ca="1" t="shared" si="0"/>
        <v>#REF!</v>
      </c>
    </row>
    <row r="54" spans="4:21" ht="15">
      <c r="D54" s="32">
        <f t="shared" si="10"/>
        <v>3.454545454545446</v>
      </c>
      <c r="E54" s="3">
        <f>COUNTIF(Vertices[Degree],"&gt;= "&amp;D54)-COUNTIF(Vertices[Degree],"&gt;="&amp;D55)</f>
        <v>0</v>
      </c>
      <c r="F54" s="36">
        <f t="shared" si="11"/>
        <v>2.9090909090909096</v>
      </c>
      <c r="G54" s="37">
        <f>COUNTIF(Vertices[In-Degree],"&gt;= "&amp;F54)-COUNTIF(Vertices[In-Degree],"&gt;="&amp;F55)</f>
        <v>0</v>
      </c>
      <c r="H54" s="36">
        <f t="shared" si="12"/>
        <v>2.9090909090909096</v>
      </c>
      <c r="I54" s="37">
        <f>COUNTIF(Vertices[Out-Degree],"&gt;= "&amp;H54)-COUNTIF(Vertices[Out-Degree],"&gt;="&amp;H55)</f>
        <v>0</v>
      </c>
      <c r="J54" s="36">
        <f t="shared" si="13"/>
        <v>23.272727272727277</v>
      </c>
      <c r="K54" s="37">
        <f>COUNTIF(Vertices[Betweenness Centrality],"&gt;= "&amp;J54)-COUNTIF(Vertices[Betweenness Centrality],"&gt;="&amp;J55)</f>
        <v>0</v>
      </c>
      <c r="L54" s="36">
        <f t="shared" si="14"/>
        <v>0.068931</v>
      </c>
      <c r="M54" s="37">
        <f>COUNTIF(Vertices[Closeness Centrality],"&gt;= "&amp;L54)-COUNTIF(Vertices[Closeness Centrality],"&gt;="&amp;L55)</f>
        <v>0</v>
      </c>
      <c r="N54" s="36">
        <f t="shared" si="15"/>
        <v>0.14070972727272724</v>
      </c>
      <c r="O54" s="37">
        <f>COUNTIF(Vertices[Eigenvector Centrality],"&gt;= "&amp;N54)-COUNTIF(Vertices[Eigenvector Centrality],"&gt;="&amp;N55)</f>
        <v>0</v>
      </c>
      <c r="P54" s="36">
        <f t="shared" si="16"/>
        <v>1.1958626363636344</v>
      </c>
      <c r="Q54" s="37">
        <f>COUNTIF(Vertices[PageRank],"&gt;= "&amp;P54)-COUNTIF(Vertices[PageRank],"&gt;="&amp;P55)</f>
        <v>0</v>
      </c>
      <c r="R54" s="36">
        <f t="shared" si="17"/>
        <v>0.5303030303030302</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2</v>
      </c>
      <c r="D55" s="32">
        <f t="shared" si="10"/>
        <v>3.4909090909090823</v>
      </c>
      <c r="E55" s="3">
        <f>COUNTIF(Vertices[Degree],"&gt;= "&amp;D55)-COUNTIF(Vertices[Degree],"&gt;="&amp;D56)</f>
        <v>0</v>
      </c>
      <c r="F55" s="38">
        <f t="shared" si="11"/>
        <v>2.9818181818181824</v>
      </c>
      <c r="G55" s="39">
        <f>COUNTIF(Vertices[In-Degree],"&gt;= "&amp;F55)-COUNTIF(Vertices[In-Degree],"&gt;="&amp;F56)</f>
        <v>0</v>
      </c>
      <c r="H55" s="38">
        <f t="shared" si="12"/>
        <v>2.9818181818181824</v>
      </c>
      <c r="I55" s="39">
        <f>COUNTIF(Vertices[Out-Degree],"&gt;= "&amp;H55)-COUNTIF(Vertices[Out-Degree],"&gt;="&amp;H56)</f>
        <v>1</v>
      </c>
      <c r="J55" s="38">
        <f t="shared" si="13"/>
        <v>23.85454545454546</v>
      </c>
      <c r="K55" s="39">
        <f>COUNTIF(Vertices[Betweenness Centrality],"&gt;= "&amp;J55)-COUNTIF(Vertices[Betweenness Centrality],"&gt;="&amp;J56)</f>
        <v>0</v>
      </c>
      <c r="L55" s="38">
        <f t="shared" si="14"/>
        <v>0.0694638</v>
      </c>
      <c r="M55" s="39">
        <f>COUNTIF(Vertices[Closeness Centrality],"&gt;= "&amp;L55)-COUNTIF(Vertices[Closeness Centrality],"&gt;="&amp;L56)</f>
        <v>0</v>
      </c>
      <c r="N55" s="38">
        <f t="shared" si="15"/>
        <v>0.1427099454545454</v>
      </c>
      <c r="O55" s="39">
        <f>COUNTIF(Vertices[Eigenvector Centrality],"&gt;= "&amp;N55)-COUNTIF(Vertices[Eigenvector Centrality],"&gt;="&amp;N56)</f>
        <v>0</v>
      </c>
      <c r="P55" s="38">
        <f t="shared" si="16"/>
        <v>1.2078409272727253</v>
      </c>
      <c r="Q55" s="39">
        <f>COUNTIF(Vertices[PageRank],"&gt;= "&amp;P55)-COUNTIF(Vertices[PageRank],"&gt;="&amp;P56)</f>
        <v>0</v>
      </c>
      <c r="R55" s="38">
        <f t="shared" si="17"/>
        <v>0.5393939393939392</v>
      </c>
      <c r="S55" s="43">
        <f>COUNTIF(Vertices[Clustering Coefficient],"&gt;= "&amp;R55)-COUNTIF(Vertices[Clustering Coefficient],"&gt;="&amp;R56)</f>
        <v>0</v>
      </c>
      <c r="T55" s="38" t="e">
        <f ca="1" t="shared" si="18"/>
        <v>#REF!</v>
      </c>
      <c r="U55" s="39" t="e">
        <f ca="1" t="shared" si="0"/>
        <v>#REF!</v>
      </c>
    </row>
    <row r="56" spans="1:21" ht="15">
      <c r="A56" s="33" t="s">
        <v>82</v>
      </c>
      <c r="B56" s="45">
        <f>IF(COUNT(Vertices[Degree])&gt;0,D57,NoMetricMessage)</f>
        <v>4</v>
      </c>
      <c r="D56" s="32">
        <f t="shared" si="10"/>
        <v>3.5272727272727185</v>
      </c>
      <c r="E56" s="3">
        <f>COUNTIF(Vertices[Degree],"&gt;= "&amp;D56)-COUNTIF(Vertices[Degree],"&gt;="&amp;D57)</f>
        <v>0</v>
      </c>
      <c r="F56" s="36">
        <f t="shared" si="11"/>
        <v>3.054545454545455</v>
      </c>
      <c r="G56" s="37">
        <f>COUNTIF(Vertices[In-Degree],"&gt;= "&amp;F56)-COUNTIF(Vertices[In-Degree],"&gt;="&amp;F57)</f>
        <v>0</v>
      </c>
      <c r="H56" s="36">
        <f t="shared" si="12"/>
        <v>3.054545454545455</v>
      </c>
      <c r="I56" s="37">
        <f>COUNTIF(Vertices[Out-Degree],"&gt;= "&amp;H56)-COUNTIF(Vertices[Out-Degree],"&gt;="&amp;H57)</f>
        <v>0</v>
      </c>
      <c r="J56" s="36">
        <f t="shared" si="13"/>
        <v>24.43636363636364</v>
      </c>
      <c r="K56" s="37">
        <f>COUNTIF(Vertices[Betweenness Centrality],"&gt;= "&amp;J56)-COUNTIF(Vertices[Betweenness Centrality],"&gt;="&amp;J57)</f>
        <v>1</v>
      </c>
      <c r="L56" s="36">
        <f t="shared" si="14"/>
        <v>0.0699966</v>
      </c>
      <c r="M56" s="37">
        <f>COUNTIF(Vertices[Closeness Centrality],"&gt;= "&amp;L56)-COUNTIF(Vertices[Closeness Centrality],"&gt;="&amp;L57)</f>
        <v>1</v>
      </c>
      <c r="N56" s="36">
        <f t="shared" si="15"/>
        <v>0.14471016363636358</v>
      </c>
      <c r="O56" s="37">
        <f>COUNTIF(Vertices[Eigenvector Centrality],"&gt;= "&amp;N56)-COUNTIF(Vertices[Eigenvector Centrality],"&gt;="&amp;N57)</f>
        <v>1</v>
      </c>
      <c r="P56" s="36">
        <f t="shared" si="16"/>
        <v>1.2198192181818162</v>
      </c>
      <c r="Q56" s="37">
        <f>COUNTIF(Vertices[PageRank],"&gt;= "&amp;P56)-COUNTIF(Vertices[PageRank],"&gt;="&amp;P57)</f>
        <v>1</v>
      </c>
      <c r="R56" s="36">
        <f t="shared" si="17"/>
        <v>0.5484848484848482</v>
      </c>
      <c r="S56" s="42">
        <f>COUNTIF(Vertices[Clustering Coefficient],"&gt;= "&amp;R56)-COUNTIF(Vertices[Clustering Coefficient],"&gt;="&amp;R57)</f>
        <v>0</v>
      </c>
      <c r="T56" s="36" t="e">
        <f ca="1" t="shared" si="18"/>
        <v>#REF!</v>
      </c>
      <c r="U56" s="37" t="e">
        <f ca="1" t="shared" si="0"/>
        <v>#REF!</v>
      </c>
    </row>
    <row r="57" spans="1:21" ht="15">
      <c r="A57" s="33" t="s">
        <v>83</v>
      </c>
      <c r="B57" s="46">
        <f>_xlfn.IFERROR(AVERAGE(Vertices[Degree]),NoMetricMessage)</f>
        <v>2.5555555555555554</v>
      </c>
      <c r="D57" s="32">
        <f>MAX(Vertices[Degree])</f>
        <v>4</v>
      </c>
      <c r="E57" s="3">
        <f>COUNTIF(Vertices[Degree],"&gt;= "&amp;D57)-COUNTIF(Vertices[Degree],"&gt;="&amp;D58)</f>
        <v>1</v>
      </c>
      <c r="F57" s="40">
        <f>MAX(Vertices[In-Degree])</f>
        <v>4</v>
      </c>
      <c r="G57" s="41">
        <f>COUNTIF(Vertices[In-Degree],"&gt;= "&amp;F57)-COUNTIF(Vertices[In-Degree],"&gt;="&amp;F58)</f>
        <v>1</v>
      </c>
      <c r="H57" s="40">
        <f>MAX(Vertices[Out-Degree])</f>
        <v>4</v>
      </c>
      <c r="I57" s="41">
        <f>COUNTIF(Vertices[Out-Degree],"&gt;= "&amp;H57)-COUNTIF(Vertices[Out-Degree],"&gt;="&amp;H58)</f>
        <v>1</v>
      </c>
      <c r="J57" s="40">
        <f>MAX(Vertices[Betweenness Centrality])</f>
        <v>32</v>
      </c>
      <c r="K57" s="41">
        <f>COUNTIF(Vertices[Betweenness Centrality],"&gt;= "&amp;J57)-COUNTIF(Vertices[Betweenness Centrality],"&gt;="&amp;J58)</f>
        <v>1</v>
      </c>
      <c r="L57" s="40">
        <f>MAX(Vertices[Closeness Centrality])</f>
        <v>0.076923</v>
      </c>
      <c r="M57" s="41">
        <f>COUNTIF(Vertices[Closeness Centrality],"&gt;= "&amp;L57)-COUNTIF(Vertices[Closeness Centrality],"&gt;="&amp;L58)</f>
        <v>1</v>
      </c>
      <c r="N57" s="40">
        <f>MAX(Vertices[Eigenvector Centrality])</f>
        <v>0.170713</v>
      </c>
      <c r="O57" s="41">
        <f>COUNTIF(Vertices[Eigenvector Centrality],"&gt;= "&amp;N57)-COUNTIF(Vertices[Eigenvector Centrality],"&gt;="&amp;N58)</f>
        <v>1</v>
      </c>
      <c r="P57" s="40">
        <f>MAX(Vertices[PageRank])</f>
        <v>1.375537</v>
      </c>
      <c r="Q57" s="41">
        <f>COUNTIF(Vertices[PageRank],"&gt;= "&amp;P57)-COUNTIF(Vertices[PageRank],"&gt;="&amp;P58)</f>
        <v>1</v>
      </c>
      <c r="R57" s="40">
        <f>MAX(Vertices[Clustering Coefficient])</f>
        <v>0.6666666666666666</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2</v>
      </c>
    </row>
    <row r="69" spans="1:2" ht="15">
      <c r="A69" s="33" t="s">
        <v>88</v>
      </c>
      <c r="B69" s="45">
        <f>IF(COUNT(Vertices[In-Degree])&gt;0,F2,NoMetricMessage)</f>
        <v>0</v>
      </c>
    </row>
    <row r="70" spans="1:2" ht="15">
      <c r="A70" s="33" t="s">
        <v>89</v>
      </c>
      <c r="B70" s="45">
        <f>IF(COUNT(Vertices[In-Degree])&gt;0,F57,NoMetricMessage)</f>
        <v>4</v>
      </c>
    </row>
    <row r="71" spans="1:2" ht="15">
      <c r="A71" s="33" t="s">
        <v>90</v>
      </c>
      <c r="B71" s="46">
        <f>_xlfn.IFERROR(AVERAGE(Vertices[In-Degree]),NoMetricMessage)</f>
        <v>1.6666666666666667</v>
      </c>
    </row>
    <row r="72" spans="1:2" ht="15">
      <c r="A72" s="33" t="s">
        <v>91</v>
      </c>
      <c r="B72" s="46">
        <f>_xlfn.IFERROR(MEDIAN(Vertices[In-Degree]),NoMetricMessage)</f>
        <v>2</v>
      </c>
    </row>
    <row r="83" spans="1:2" ht="15">
      <c r="A83" s="33" t="s">
        <v>94</v>
      </c>
      <c r="B83" s="45">
        <f>IF(COUNT(Vertices[Out-Degree])&gt;0,H2,NoMetricMessage)</f>
        <v>0</v>
      </c>
    </row>
    <row r="84" spans="1:2" ht="15">
      <c r="A84" s="33" t="s">
        <v>95</v>
      </c>
      <c r="B84" s="45">
        <f>IF(COUNT(Vertices[Out-Degree])&gt;0,H57,NoMetricMessage)</f>
        <v>4</v>
      </c>
    </row>
    <row r="85" spans="1:2" ht="15">
      <c r="A85" s="33" t="s">
        <v>96</v>
      </c>
      <c r="B85" s="46">
        <f>_xlfn.IFERROR(AVERAGE(Vertices[Out-Degree]),NoMetricMessage)</f>
        <v>1.6666666666666667</v>
      </c>
    </row>
    <row r="86" spans="1:2" ht="15">
      <c r="A86" s="33" t="s">
        <v>97</v>
      </c>
      <c r="B86" s="46">
        <f>_xlfn.IFERROR(MEDIAN(Vertices[Out-Degree]),NoMetricMessage)</f>
        <v>1</v>
      </c>
    </row>
    <row r="97" spans="1:2" ht="15">
      <c r="A97" s="33" t="s">
        <v>100</v>
      </c>
      <c r="B97" s="46">
        <f>IF(COUNT(Vertices[Betweenness Centrality])&gt;0,J2,NoMetricMessage)</f>
        <v>0</v>
      </c>
    </row>
    <row r="98" spans="1:2" ht="15">
      <c r="A98" s="33" t="s">
        <v>101</v>
      </c>
      <c r="B98" s="46">
        <f>IF(COUNT(Vertices[Betweenness Centrality])&gt;0,J57,NoMetricMessage)</f>
        <v>32</v>
      </c>
    </row>
    <row r="99" spans="1:2" ht="15">
      <c r="A99" s="33" t="s">
        <v>102</v>
      </c>
      <c r="B99" s="46">
        <f>_xlfn.IFERROR(AVERAGE(Vertices[Betweenness Centrality]),NoMetricMessage)</f>
        <v>9.555555555555555</v>
      </c>
    </row>
    <row r="100" spans="1:2" ht="15">
      <c r="A100" s="33" t="s">
        <v>103</v>
      </c>
      <c r="B100" s="46">
        <f>_xlfn.IFERROR(MEDIAN(Vertices[Betweenness Centrality]),NoMetricMessage)</f>
        <v>1</v>
      </c>
    </row>
    <row r="111" spans="1:2" ht="15">
      <c r="A111" s="33" t="s">
        <v>106</v>
      </c>
      <c r="B111" s="46">
        <f>IF(COUNT(Vertices[Closeness Centrality])&gt;0,L2,NoMetricMessage)</f>
        <v>0.047619</v>
      </c>
    </row>
    <row r="112" spans="1:2" ht="15">
      <c r="A112" s="33" t="s">
        <v>107</v>
      </c>
      <c r="B112" s="46">
        <f>IF(COUNT(Vertices[Closeness Centrality])&gt;0,L57,NoMetricMessage)</f>
        <v>0.076923</v>
      </c>
    </row>
    <row r="113" spans="1:2" ht="15">
      <c r="A113" s="33" t="s">
        <v>108</v>
      </c>
      <c r="B113" s="46">
        <f>_xlfn.IFERROR(AVERAGE(Vertices[Closeness Centrality]),NoMetricMessage)</f>
        <v>0.058641111111111116</v>
      </c>
    </row>
    <row r="114" spans="1:2" ht="15">
      <c r="A114" s="33" t="s">
        <v>109</v>
      </c>
      <c r="B114" s="46">
        <f>_xlfn.IFERROR(MEDIAN(Vertices[Closeness Centrality]),NoMetricMessage)</f>
        <v>0.052632</v>
      </c>
    </row>
    <row r="125" spans="1:2" ht="15">
      <c r="A125" s="33" t="s">
        <v>112</v>
      </c>
      <c r="B125" s="46">
        <f>IF(COUNT(Vertices[Eigenvector Centrality])&gt;0,N2,NoMetricMessage)</f>
        <v>0.060701</v>
      </c>
    </row>
    <row r="126" spans="1:2" ht="15">
      <c r="A126" s="33" t="s">
        <v>113</v>
      </c>
      <c r="B126" s="46">
        <f>IF(COUNT(Vertices[Eigenvector Centrality])&gt;0,N57,NoMetricMessage)</f>
        <v>0.170713</v>
      </c>
    </row>
    <row r="127" spans="1:2" ht="15">
      <c r="A127" s="33" t="s">
        <v>114</v>
      </c>
      <c r="B127" s="46">
        <f>_xlfn.IFERROR(AVERAGE(Vertices[Eigenvector Centrality]),NoMetricMessage)</f>
        <v>0.11111100000000002</v>
      </c>
    </row>
    <row r="128" spans="1:2" ht="15">
      <c r="A128" s="33" t="s">
        <v>115</v>
      </c>
      <c r="B128" s="46">
        <f>_xlfn.IFERROR(MEDIAN(Vertices[Eigenvector Centrality]),NoMetricMessage)</f>
        <v>0.110024</v>
      </c>
    </row>
    <row r="139" spans="1:2" ht="15">
      <c r="A139" s="33" t="s">
        <v>140</v>
      </c>
      <c r="B139" s="46">
        <f>IF(COUNT(Vertices[PageRank])&gt;0,P2,NoMetricMessage)</f>
        <v>0.716731</v>
      </c>
    </row>
    <row r="140" spans="1:2" ht="15">
      <c r="A140" s="33" t="s">
        <v>141</v>
      </c>
      <c r="B140" s="46">
        <f>IF(COUNT(Vertices[PageRank])&gt;0,P57,NoMetricMessage)</f>
        <v>1.375537</v>
      </c>
    </row>
    <row r="141" spans="1:2" ht="15">
      <c r="A141" s="33" t="s">
        <v>142</v>
      </c>
      <c r="B141" s="46">
        <f>_xlfn.IFERROR(AVERAGE(Vertices[PageRank]),NoMetricMessage)</f>
        <v>0.9999391111111111</v>
      </c>
    </row>
    <row r="142" spans="1:2" ht="15">
      <c r="A142" s="33" t="s">
        <v>143</v>
      </c>
      <c r="B142" s="46">
        <f>_xlfn.IFERROR(MEDIAN(Vertices[PageRank]),NoMetricMessage)</f>
        <v>1.004621</v>
      </c>
    </row>
    <row r="153" spans="1:2" ht="15">
      <c r="A153" s="33" t="s">
        <v>118</v>
      </c>
      <c r="B153" s="46">
        <f>IF(COUNT(Vertices[Clustering Coefficient])&gt;0,R2,NoMetricMessage)</f>
        <v>0.16666666666666666</v>
      </c>
    </row>
    <row r="154" spans="1:2" ht="15">
      <c r="A154" s="33" t="s">
        <v>119</v>
      </c>
      <c r="B154" s="46">
        <f>IF(COUNT(Vertices[Clustering Coefficient])&gt;0,R57,NoMetricMessage)</f>
        <v>0.6666666666666666</v>
      </c>
    </row>
    <row r="155" spans="1:2" ht="15">
      <c r="A155" s="33" t="s">
        <v>120</v>
      </c>
      <c r="B155" s="46">
        <f>_xlfn.IFERROR(AVERAGE(Vertices[Clustering Coefficient]),NoMetricMessage)</f>
        <v>0.3796296296296296</v>
      </c>
    </row>
    <row r="156" spans="1:2" ht="15">
      <c r="A156" s="33" t="s">
        <v>121</v>
      </c>
      <c r="B156" s="46">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269</v>
      </c>
    </row>
    <row r="8" spans="1:11" ht="15">
      <c r="A8"/>
      <c r="B8">
        <v>2</v>
      </c>
      <c r="C8">
        <v>2</v>
      </c>
      <c r="D8" t="s">
        <v>61</v>
      </c>
      <c r="E8" t="s">
        <v>61</v>
      </c>
      <c r="H8" t="s">
        <v>73</v>
      </c>
      <c r="J8" t="s">
        <v>235</v>
      </c>
      <c r="K8" t="s">
        <v>282</v>
      </c>
    </row>
    <row r="9" spans="1:11" ht="409.5">
      <c r="A9"/>
      <c r="B9">
        <v>3</v>
      </c>
      <c r="C9">
        <v>4</v>
      </c>
      <c r="D9" t="s">
        <v>62</v>
      </c>
      <c r="E9" t="s">
        <v>62</v>
      </c>
      <c r="H9" t="s">
        <v>74</v>
      </c>
      <c r="J9" t="s">
        <v>236</v>
      </c>
      <c r="K9" s="150" t="s">
        <v>284</v>
      </c>
    </row>
    <row r="10" spans="1:11" ht="409.5">
      <c r="A10"/>
      <c r="B10">
        <v>4</v>
      </c>
      <c r="D10" t="s">
        <v>63</v>
      </c>
      <c r="E10" t="s">
        <v>63</v>
      </c>
      <c r="H10" t="s">
        <v>75</v>
      </c>
      <c r="J10" t="s">
        <v>275</v>
      </c>
      <c r="K10" s="84" t="s">
        <v>285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6" ht="15" customHeight="1">
      <c r="A1" s="134" t="s">
        <v>202</v>
      </c>
      <c r="B1" s="134" t="s">
        <v>203</v>
      </c>
      <c r="C1" s="134" t="s">
        <v>248</v>
      </c>
      <c r="D1" s="134" t="s">
        <v>250</v>
      </c>
      <c r="E1" s="134" t="s">
        <v>249</v>
      </c>
      <c r="F1" s="134" t="s">
        <v>251</v>
      </c>
    </row>
    <row r="2" spans="1:6" ht="15">
      <c r="A2" s="134"/>
      <c r="B2" s="134"/>
      <c r="C2" s="134"/>
      <c r="D2" s="134"/>
      <c r="E2" s="134"/>
      <c r="F2" s="134"/>
    </row>
    <row r="4" spans="1:6" ht="15" customHeight="1">
      <c r="A4" s="134" t="s">
        <v>205</v>
      </c>
      <c r="B4" s="134" t="s">
        <v>203</v>
      </c>
      <c r="C4" s="134" t="s">
        <v>252</v>
      </c>
      <c r="D4" s="134" t="s">
        <v>250</v>
      </c>
      <c r="E4" s="134" t="s">
        <v>253</v>
      </c>
      <c r="F4" s="134" t="s">
        <v>251</v>
      </c>
    </row>
    <row r="5" spans="1:6" ht="15">
      <c r="A5" s="134"/>
      <c r="B5" s="134"/>
      <c r="C5" s="134"/>
      <c r="D5" s="134"/>
      <c r="E5" s="134"/>
      <c r="F5" s="134"/>
    </row>
    <row r="7" spans="1:6" ht="15" customHeight="1">
      <c r="A7" s="134" t="s">
        <v>207</v>
      </c>
      <c r="B7" s="134" t="s">
        <v>203</v>
      </c>
      <c r="C7" s="134" t="s">
        <v>254</v>
      </c>
      <c r="D7" s="134" t="s">
        <v>250</v>
      </c>
      <c r="E7" s="134" t="s">
        <v>255</v>
      </c>
      <c r="F7" s="134" t="s">
        <v>251</v>
      </c>
    </row>
    <row r="8" spans="1:6" ht="15">
      <c r="A8" s="134"/>
      <c r="B8" s="134"/>
      <c r="C8" s="134"/>
      <c r="D8" s="134"/>
      <c r="E8" s="134"/>
      <c r="F8" s="134"/>
    </row>
    <row r="10" spans="1:6" ht="15" customHeight="1">
      <c r="A10" s="84" t="s">
        <v>209</v>
      </c>
      <c r="B10" s="84" t="s">
        <v>203</v>
      </c>
      <c r="C10" s="134" t="s">
        <v>256</v>
      </c>
      <c r="D10" s="134" t="s">
        <v>250</v>
      </c>
      <c r="E10" s="134" t="s">
        <v>257</v>
      </c>
      <c r="F10" s="134" t="s">
        <v>251</v>
      </c>
    </row>
    <row r="11" spans="1:6" ht="15">
      <c r="A11" s="136" t="s">
        <v>210</v>
      </c>
      <c r="B11" s="136">
        <v>0</v>
      </c>
      <c r="C11" s="136"/>
      <c r="D11" s="136"/>
      <c r="E11" s="136"/>
      <c r="F11" s="136"/>
    </row>
    <row r="12" spans="1:6" ht="15">
      <c r="A12" s="136" t="s">
        <v>211</v>
      </c>
      <c r="B12" s="136">
        <v>0</v>
      </c>
      <c r="C12" s="136"/>
      <c r="D12" s="136"/>
      <c r="E12" s="136"/>
      <c r="F12" s="136"/>
    </row>
    <row r="13" spans="1:6" ht="15">
      <c r="A13" s="136" t="s">
        <v>212</v>
      </c>
      <c r="B13" s="136">
        <v>0</v>
      </c>
      <c r="C13" s="136"/>
      <c r="D13" s="136"/>
      <c r="E13" s="136"/>
      <c r="F13" s="136"/>
    </row>
    <row r="14" spans="1:6" ht="15">
      <c r="A14" s="136" t="s">
        <v>213</v>
      </c>
      <c r="B14" s="136">
        <v>0</v>
      </c>
      <c r="C14" s="136"/>
      <c r="D14" s="136"/>
      <c r="E14" s="136"/>
      <c r="F14" s="136"/>
    </row>
    <row r="15" spans="1:6" ht="15">
      <c r="A15" s="136" t="s">
        <v>214</v>
      </c>
      <c r="B15" s="136">
        <v>0</v>
      </c>
      <c r="C15" s="136"/>
      <c r="D15" s="136"/>
      <c r="E15" s="136"/>
      <c r="F15" s="136"/>
    </row>
    <row r="18" spans="1:6" ht="15" customHeight="1">
      <c r="A18" s="134" t="s">
        <v>216</v>
      </c>
      <c r="B18" s="134" t="s">
        <v>203</v>
      </c>
      <c r="C18" s="134" t="s">
        <v>258</v>
      </c>
      <c r="D18" s="134" t="s">
        <v>250</v>
      </c>
      <c r="E18" s="134" t="s">
        <v>259</v>
      </c>
      <c r="F18" s="134" t="s">
        <v>251</v>
      </c>
    </row>
    <row r="19" spans="1:6" ht="15">
      <c r="A19" s="134"/>
      <c r="B19" s="134"/>
      <c r="C19" s="134"/>
      <c r="D19" s="134"/>
      <c r="E19" s="134"/>
      <c r="F19" s="134"/>
    </row>
    <row r="21" spans="1:6" ht="15" customHeight="1">
      <c r="A21" s="134" t="s">
        <v>218</v>
      </c>
      <c r="B21" s="134" t="s">
        <v>203</v>
      </c>
      <c r="C21" s="134" t="s">
        <v>260</v>
      </c>
      <c r="D21" s="134" t="s">
        <v>250</v>
      </c>
      <c r="E21" s="134" t="s">
        <v>261</v>
      </c>
      <c r="F21" s="134" t="s">
        <v>251</v>
      </c>
    </row>
    <row r="22" spans="1:6" ht="15">
      <c r="A22" s="134"/>
      <c r="B22" s="134"/>
      <c r="C22" s="134"/>
      <c r="D22" s="134"/>
      <c r="E22" s="134"/>
      <c r="F22" s="134"/>
    </row>
    <row r="24" spans="1:6" ht="15" customHeight="1">
      <c r="A24" s="134" t="s">
        <v>219</v>
      </c>
      <c r="B24" s="134" t="s">
        <v>203</v>
      </c>
      <c r="C24" s="134" t="s">
        <v>262</v>
      </c>
      <c r="D24" s="134" t="s">
        <v>250</v>
      </c>
      <c r="E24" s="134" t="s">
        <v>263</v>
      </c>
      <c r="F24" s="134" t="s">
        <v>251</v>
      </c>
    </row>
    <row r="25" spans="1:6" ht="15">
      <c r="A25" s="134"/>
      <c r="B25" s="134"/>
      <c r="C25" s="134"/>
      <c r="D25" s="134"/>
      <c r="E25" s="134"/>
      <c r="F25" s="134"/>
    </row>
    <row r="27" spans="1:6" ht="15" customHeight="1">
      <c r="A27" s="134" t="s">
        <v>222</v>
      </c>
      <c r="B27" s="134" t="s">
        <v>203</v>
      </c>
      <c r="C27" s="134" t="s">
        <v>264</v>
      </c>
      <c r="D27" s="134" t="s">
        <v>250</v>
      </c>
      <c r="E27" s="134" t="s">
        <v>265</v>
      </c>
      <c r="F27" s="134" t="s">
        <v>251</v>
      </c>
    </row>
    <row r="28" spans="1:6" ht="15">
      <c r="A28" s="137"/>
      <c r="B28" s="134"/>
      <c r="C28" s="137"/>
      <c r="D28" s="134"/>
      <c r="E28" s="137"/>
      <c r="F28" s="134"/>
    </row>
  </sheetData>
  <printOptions/>
  <pageMargins left="0.7" right="0.7" top="0.75" bottom="0.75" header="0.3" footer="0.3"/>
  <pageSetup orientation="portrait" paperSize="9"/>
  <tableParts>
    <tablePart r:id="rId4"/>
    <tablePart r:id="rId1"/>
    <tablePart r:id="rId5"/>
    <tablePart r:id="rId6"/>
    <tablePart r:id="rId2"/>
    <tablePart r:id="rId7"/>
    <tablePart r:id="rId8"/>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88" t="s">
        <v>42</v>
      </c>
    </row>
    <row r="2" spans="1:3" ht="15" customHeight="1">
      <c r="A2" s="84" t="s">
        <v>245</v>
      </c>
      <c r="B2" s="156" t="s">
        <v>246</v>
      </c>
      <c r="C2" s="56" t="s">
        <v>247</v>
      </c>
    </row>
    <row r="3" spans="1:3" ht="15">
      <c r="A3" s="155"/>
      <c r="B3" s="155"/>
      <c r="C3" s="8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6BA489-401D-4A6B-AC96-4C43D99041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2019-07-10T18:44:40Z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