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25200" windowHeight="11850" firstSheet="1" activeTab="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<sst xmlns="http://schemas.openxmlformats.org/spreadsheetml/2006/main" count="404" uniqueCount="264">
  <si>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</si>
  <si>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</si>
  <si>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</si>
  <si>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</si>
  <si>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</si>
  <si>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</si>
  <si>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</si>
  <si>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</si>
  <si>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</si>
  <si>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</si>
  <si>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</si>
  <si>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</si>
  <si>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</si>
  <si>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</si>
  <si>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</si>
  <si>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</si>
  <si>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</si>
  <si>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</si>
  <si>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</si>
  <si>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Vertex Shape</t>
  </si>
  <si>
    <t>Vertex Color</t>
  </si>
  <si>
    <t>Table Name</t>
  </si>
  <si>
    <t>Column Name</t>
  </si>
  <si>
    <t>Selected Minimum</t>
  </si>
  <si>
    <t>Selected Maximum</t>
  </si>
  <si>
    <t>Add Your Own Columns Here</t>
  </si>
  <si>
    <t>Layout Order</t>
  </si>
  <si>
    <t>Polar R</t>
  </si>
  <si>
    <t>Polar Angle</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</si>
  <si>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</si>
  <si>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</si>
  <si>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</si>
  <si>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</si>
  <si>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</si>
  <si>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</si>
  <si>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</si>
  <si>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</si>
  <si>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</si>
  <si>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</si>
  <si>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</si>
  <si>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</si>
  <si>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</si>
  <si>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</si>
  <si>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</si>
  <si>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</si>
  <si>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</si>
  <si>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</si>
  <si>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</si>
  <si>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</si>
  <si>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</si>
  <si>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</si>
  <si>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</si>
  <si>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</si>
  <si>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</si>
  <si>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</si>
  <si>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</si>
  <si>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</si>
  <si>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</si>
  <si>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</si>
  <si>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</si>
  <si>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</si>
  <si>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</si>
  <si>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</si>
  <si>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</si>
  <si>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</si>
  <si>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</si>
  <si>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</si>
  <si>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</si>
  <si>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</si>
  <si>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</si>
  <si>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</si>
  <si>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</si>
  <si>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</si>
  <si>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</si>
  <si>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</si>
  <si>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</si>
  <si>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</si>
  <si>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</si>
  <si>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</si>
  <si>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</si>
  <si>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</si>
  <si>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</si>
  <si>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</si>
  <si>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</si>
  <si>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</si>
  <si>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</si>
  <si>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</si>
  <si>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</si>
  <si>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</si>
  <si>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</si>
  <si>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</si>
  <si>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</si>
  <si>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</si>
  <si>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</si>
  <si>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</si>
  <si>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</si>
  <si>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</si>
  <si>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</si>
  <si>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</si>
  <si>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</si>
  <si>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</si>
  <si>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</si>
  <si>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</si>
  <si>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</si>
  <si>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</si>
  <si>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</si>
  <si>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</si>
  <si>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</si>
  <si>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</si>
  <si>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</si>
  <si>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</si>
  <si>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</si>
  <si>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</si>
  <si>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</si>
  <si>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</si>
  <si>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</si>
  <si>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</si>
  <si>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</si>
  <si>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</si>
  <si>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</si>
  <si>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</si>
  <si>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</si>
  <si>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</si>
  <si>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</si>
  <si>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</si>
  <si>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</si>
  <si>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</si>
  <si>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</si>
  <si>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</si>
  <si>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</si>
  <si>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</si>
  <si>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</si>
  <si>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</si>
  <si>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</si>
  <si>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</si>
  <si>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</si>
  <si>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</si>
  <si>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</si>
  <si>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</si>
  <si>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</si>
  <si>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</si>
  <si>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</si>
  <si>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</si>
  <si>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</si>
  <si>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</si>
  <si>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</si>
  <si>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</si>
  <si>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</si>
  <si>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</si>
  <si>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</si>
  <si>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</si>
  <si>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</si>
  <si>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</si>
  <si>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</si>
  <si>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</si>
  <si>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</si>
  <si>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</si>
  <si>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</si>
  <si>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</si>
  <si>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</si>
  <si>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</si>
  <si>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</si>
  <si>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</si>
  <si>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</si>
  <si>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</si>
  <si>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</si>
  <si>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</si>
  <si>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</si>
  <si>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</si>
  <si>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Shinchan</t>
  </si>
  <si>
    <t>Shinchan</t>
  </si>
  <si>
    <t>Georgie</t>
  </si>
  <si>
    <t>Georgie</t>
  </si>
  <si>
    <t>Masao Sato</t>
  </si>
  <si>
    <t>Masao Sato</t>
  </si>
  <si>
    <t>Teacher</t>
  </si>
  <si>
    <t>Teacher</t>
  </si>
  <si>
    <t>Mr. Cheetah</t>
  </si>
  <si>
    <t>Mr. Cheetah</t>
  </si>
  <si>
    <t>Hiroshi</t>
  </si>
  <si>
    <t>Hiroshi</t>
  </si>
  <si>
    <t>Shiro</t>
  </si>
  <si>
    <t>Shiro</t>
  </si>
  <si>
    <t>Directed</t>
  </si>
  <si>
    <t>Talk</t>
  </si>
  <si>
    <t>Teach</t>
  </si>
  <si>
    <t>Encourage</t>
  </si>
  <si>
    <t>High-Five</t>
  </si>
  <si>
    <t>Hug</t>
  </si>
  <si>
    <t>Taunt</t>
  </si>
  <si>
    <t>Frequency</t>
  </si>
  <si>
    <t>Types of interaction</t>
  </si>
  <si>
    <t>列1</t>
  </si>
  <si>
    <t>Graph Type</t>
  </si>
  <si>
    <t>Modularity</t>
  </si>
  <si>
    <t>NodeXL Version</t>
  </si>
  <si>
    <t>Not Applicable</t>
  </si>
  <si>
    <t>1.0.1.413</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</si>
  <si>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</si>
  <si>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</si>
  <si>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</si>
  <si>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</si>
  <si>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</si>
  <si>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</si>
  <si>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</si>
  <si>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</si>
  <si>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</si>
  <si>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</si>
  <si>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(Add your own word list)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</si>
  <si>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</si>
  <si>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</si>
  <si>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</si>
  <si>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</si>
  <si>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</si>
  <si>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</si>
  <si>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</si>
  <si>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</si>
  <si>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</si>
  <si>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</si>
  <si>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</si>
  <si>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</si>
  <si>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</si>
  <si>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</si>
  <si>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</si>
  <si>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</si>
  <si>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</si>
  <si>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</si>
  <si>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
  </si>
  <si>
    <t>Top Words in Tweet by Salience</t>
  </si>
  <si>
    <t>Top Word Pairs in Tweet by Count</t>
  </si>
  <si>
    <t>Top Word Pairs in Tweet by Salience</t>
  </si>
  <si>
    <t>G1</t>
  </si>
  <si>
    <t>G2</t>
  </si>
  <si>
    <t>G3</t>
  </si>
  <si>
    <t>0, 12, 96</t>
  </si>
  <si>
    <t>0, 136, 227</t>
  </si>
  <si>
    <t>0, 100, 50</t>
  </si>
  <si>
    <t>Vertex Group</t>
  </si>
  <si>
    <t>Vertex 1 Group</t>
  </si>
  <si>
    <t>Vertex 2 Group</t>
  </si>
  <si>
    <t>Template Version</t>
  </si>
  <si>
    <t>Graph Directedness</t>
  </si>
  <si>
    <t>Auto Layout on Open</t>
  </si>
  <si>
    <t>Workbook Settings 1</t>
  </si>
  <si>
    <t>Workbook Settings Cell Count</t>
  </si>
  <si>
    <t>Graph History</t>
  </si>
  <si>
    <t>Autofill Workbook Results</t>
  </si>
  <si>
    <t>Workbook Settings 2</t>
  </si>
  <si>
    <t>Workbook Settings 3</t>
  </si>
  <si>
    <t>LayoutAlgorithm░The graph was laid out using the Sugiyama layout algorithm.▓GraphDirectedness░The graph is directed.▓GroupingDescription░The graph's vertices were grouped by cluster using the Clauset-Newman-Moore cluster algorithm.</t>
  </si>
  <si>
    <t>Shinchan's Team</t>
  </si>
  <si>
    <t>Georgie's Team</t>
  </si>
  <si>
    <t>Hiroshi's Team</t>
  </si>
  <si>
    <t>0.125</t>
  </si>
  <si>
    <t>0.091</t>
  </si>
  <si>
    <t>0.063</t>
  </si>
  <si>
    <t>0.077</t>
  </si>
  <si>
    <t>0, 176, 22</t>
  </si>
  <si>
    <t>191, 0, 0</t>
  </si>
  <si>
    <t>230, 120, 0</t>
  </si>
  <si>
    <t>Types of interaction▓0▓1▓0▓False▓241, 137, 4▓46, 7, 195▓Talk░Teach░Encourage░High-Five░Hug░Taunt▓Frequency▓1▓3▓0▓1▓3▓False▓▓0▓0▓0▓0▓0▓False▓▓0▓0▓0▓True▓Black▓Black▓▓Betweenness Centrality▓0▓26▓3▓1▓26▓False▓In-Degree▓0▓3▓0▓50▓100▓False▓▓0▓0▓0▓0▓0▓False▓▓0▓0▓0▓0▓0▓False</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</si>
  <si>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&lt;GraphZoomAndScaleUserSettings&gt;
      &lt;setting name="GraphScale" serializeAs="String"&gt;
        &lt;value&gt;1&lt;/value&gt;
      &lt;/setting&gt;
    &lt;/GraphZoomAndScaleUserSettings&gt;
    &lt;GroupUserSettings&gt;
      &lt;setting name="ReadGroups" serializeAs="String"&gt;
        &lt;value&gt;True&lt;/value&gt;
      &lt;/setting&gt;
      &lt;setting name="ReadVertexShapeFromGroups" serializeAs="String"&gt;
        &lt;value&gt;True&lt;/value&gt;
      &lt;/setting&gt;
      &lt;setting name="ReadVertexColorFromGroups" serializeAs="String"&gt;
        &lt;value&gt;False&lt;/value&gt;
      &lt;/setting&gt;
    &lt;/GroupUserSettings&gt;
    &lt;ClusterUserSettings&gt;
      &lt;setting name="ClusterAlgorithm" serializeAs="String"&gt;
        &lt;value&gt;ClausetNewmanMoore&lt;/value&gt;
      &lt;/setting&gt;
      &lt;setting name="PutNeighborlessVerticesInOneCluster" serializeAs="String"&gt;
        &lt;value&gt;True&lt;/value&gt;
      &lt;/setting&gt;
    &lt;/ClusterUserSettings&gt;
    &lt;AutoFillUserSettings3&gt;
      &lt;setting name="VertexLabelSourceColumnName" serializeAs="String"&gt;
        &lt;value /&gt;
      &lt;/setting&gt;
      &lt;setting name="VertexPolarRSourceColumnName" serializeAs="String"&gt;
        &lt;value /&gt;
      &lt;/setting&gt;
      &lt;setting name="VertexLabelPositionSourceColumnName" serializeAs="String"&gt;
        &lt;value /&gt;
      &lt;/setting&gt;
      &lt;setting name="VertexShapeSourceColumnName" serializeAs="String"&gt;
        &lt;value /&gt;
      &lt;/setting&gt;
      &lt;setting name="VertexXSourceColumnName" serializeAs="String"&gt;
        &lt;value /&gt;
      &lt;/setting&gt;
      &lt;setting name="VertexColorSourceColumnName" serializeAs="String"&gt;
        &lt;value /&gt;
      &lt;/setting&gt;
      &lt;setting name="EdgeColorSourceColumnName" serializeAs="String"&gt;
        &lt;value&gt;Types of interaction&lt;/value&gt;
      &lt;/setting&gt;
      &lt;setting name="VertexVisibilitySourceColumnName" serializeAs="String"&gt;
        &lt;value /&gt;
      &lt;/setting&gt;
      &lt;setting name="EdgeWidthSourceColumnName" serializeAs="String"&gt;
        &lt;value&gt;Frequency&lt;/value&gt;
      &lt;/setting&gt;
      &lt;setting name="EdgeLabelSourceColumnName" serializeAs="String"&gt;
        &lt;value /&gt;
      &lt;/setting&gt;
      &lt;setting name="GroupCollapsedSourceColumnName" serializeAs="String"&gt;
        &lt;value /&gt;
      &lt;/setting&gt;
      &lt;setting name="VertexLayoutOrderSourceColumnName" serializeAs="String"&gt;
        &lt;value /&gt;
      &lt;/setting&gt;
      &lt;setting name="EdgeVisibilitySourceColumnName" serializeAs="String"&gt;
        &lt;value /&gt;
      &lt;/setting&gt;
      &lt;setting name="EdgeStyleSourceColumnName" serializeAs="String"&gt;
        &lt;value /&gt;
      &lt;/setting&gt;
      &lt;setting name="VertexPolarAngleSourceColumnName" serializeAs="String"&gt;
        &lt;value /&gt;
      &lt;/setting&gt;
      &lt;setting name="GroupLabelSourceColumnName" serializeAs="String"&gt;
        &lt;value&gt;Group&lt;/value&gt;
      &lt;/setting&gt;
      &lt;setting name="EdgeAlphaSourceColumnName" serializeAs="String"&gt;
        &lt;value /&gt;
      &lt;/setting&gt;
      &lt;setting name="VertexAlphaSourceColumnName" serializeAs="String"&gt;
        &lt;value&gt;In-Degree&lt;/value&gt;
      &lt;/setting&gt;
      &lt;setting name="VertexRadiusSourceColumnName" serializeAs="String"&gt;
        &lt;value&gt;Betweenness Centrality&lt;/value&gt;
      &lt;/setting&gt;
      &lt;setting name="VertexToolTipSourceColumnName" serializeAs="String"&gt;
        &lt;value&gt;Closeness Centrality&lt;/value&gt;
      &lt;/setting&gt;
      &lt;setting name="VertexYSourceColumnName" serializeAs="String"&gt;
        &lt;value /&gt;
      &lt;/setting&gt;
      &lt;setting name="VertexLabelFillColo</t>
  </si>
  <si>
    <t>rSourceColumnName" serializeAs="String"&gt;
        &lt;value /&gt;
      &lt;/setting&gt;
      &lt;setting name="VertexLabelPositionDetails" serializeAs="String"&gt;
        &lt;value&gt;GreaterThan 0 Bottom Center Nowhere&lt;/value&gt;
      &lt;/setting&gt;
      &lt;setting name="VertexYDetails" serializeAs="String"&gt;
        &lt;value&gt;False False 0 0 0 9999 False False&lt;/value&gt;
      &lt;/setting&gt;
      &lt;setting name="VertexRadiusDetails" serializeAs="String"&gt;
        &lt;value&gt;False False 0 0 1 26 False False&lt;/value&gt;
      &lt;/setting&gt;
      &lt;setting name="GroupCollapsedDetails" serializeAs="String"&gt;
        &lt;value&gt;GreaterThan 0 Yes No&lt;/value&gt;
      &lt;/setting&gt;
      &lt;setting name="VertexXDetails" serializeAs="String"&gt;
        &lt;value&gt;False False 0 0 0 9999 False False&lt;/value&gt;
      &lt;/setting&gt;
      &lt;setting name="VertexPolarAngleDetails" serializeAs="String"&gt;
        &lt;value&gt;False False 0 0 0 359 False False&lt;/value&gt;
      &lt;/setting&gt;
      &lt;setting name="VertexLayoutOrderDetails" serializeAs="String"&gt;
        &lt;value&gt;False False 0 0 1 9999 False False&lt;/value&gt;
      &lt;/setting&gt;
      &lt;setting name="EdgeStyleDetails" serializeAs="String"&gt;
        &lt;value&gt;GreaterThan 0 Solid Dash&lt;/value&gt;
      &lt;/setting&gt;
      &lt;setting name="EdgeVisibilityDetails" serializeAs="String"&gt;
        &lt;value&gt;GreaterThan 0 Show Skip&lt;/value&gt;
      &lt;/setting&gt;
      &lt;setting name="VertexColorDetails" serializeAs="String"&gt;
        &lt;value&gt;False False 0 0 Black Black False False True&lt;/value&gt;
      &lt;/setting&gt;
      &lt;setting name="VertexPolarRDetails" serializeAs="String"&gt;
        &lt;value&gt;False False 0 0 0 1 False False&lt;/value&gt;
      &lt;/setting&gt;
      &lt;setting name="VertexShapeDetails" serializeAs="String"&gt;
        &lt;value&gt;GreaterThan 0 Solid Square Disk&lt;/value&gt;
      &lt;/setting&gt;
      &lt;setting name="VertexLabelFillColorDetails" serializeAs="String"&gt;
        &lt;value&gt;False False 0 10 241, 137, 4 46, 7, 195 False False True&lt;/value&gt;
      &lt;/setting&gt;
      &lt;setting name="VertexAlphaDetails" serializeAs="String"&gt;
        &lt;value&gt;False False 0 0 50 100 False False&lt;/value&gt;
      &lt;/setting&gt;
      &lt;setting name="EdgeAlphaDetails" serializeAs="String"&gt;
        &lt;value&gt;False False 0 100 10 100 False False&lt;/value&gt;
      &lt;/setting&gt;
      &lt;setting name="VertexVisibilityDetails" serializeAs="String"&gt;
        &lt;value&gt;GreaterThan 0 Show if in an Edge Skip&lt;/value&gt;
      &lt;/setting&gt;
      &lt;setting name="EdgeWidthDetails" serializeAs="String"&gt;
        &lt;value&gt;False False 0 0 1 3 False False&lt;/value&gt;
      &lt;/setting&gt;
      &lt;setting name="EdgeColorDetails" serializeAs="String"&gt;
        &lt;value&gt;False False 0 10 241, 137, 4 46, 7, 195 False False False&lt;/value&gt;
      &lt;/setting&gt;
      &lt;setting name="GroupLabelDetails" serializeAs="String"&gt;
        &lt;value&gt;False&lt;/value&gt;
      &lt;/setting&gt;
    &lt;/AutoFillUserSettings3&gt;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 Paths, NetworkTopItems&lt;/value&gt;
      &lt;/setting&gt;
    &lt;/GraphMetricUserSettings&gt;
    &lt;LayoutUserSettings&gt;
      &lt;setting name="Layout" serializeAs="String"&gt;
        &lt;value&gt;Null&lt;/value&gt;
      &lt;/setting&gt;
      &lt;setting name="Margin" serializeAs="String"&gt;
        &lt;value&gt;6&lt;/value&gt;
      &lt;/setting&gt;
      &lt;setting name="FruchtermanReingoldIterations" serializeAs="String"&gt;
        &lt;value&gt;10&lt;/value&gt;
      &lt;/setting&gt;
      &lt;setting name="GroupRectanglePenWidth" serializeAs="String"&gt;
        &lt;value&gt;1&lt;/value&gt;
      &lt;/setting&gt;
      &lt;setting name="BoxLayoutAlgorithm" serializeAs="String"&gt;
        &lt;value&gt;Treemap&lt;/value&gt;
      &lt;/setting&gt;
      &lt;setting name="FruchtermanReingoldC" serializeAs="String"&gt;
        &lt;value&gt;3&lt;/value&gt;
      &lt;/setting&gt;
      &lt;setting name="ImproveLayoutOfGroups" serializeAs="String"&gt;
        &lt;value&gt;False&lt;/value&gt;
      &lt;/setting&gt;
      &lt;setting name="LayoutStyle" serializeAs="String"&gt;
        &lt;value&gt;UseGroups&lt;/value&gt;
      &lt;/setting&gt;
      &lt;setting name="IntergroupEdgeStyle" serializeAs="String"&gt;
        &lt;value&gt;Show&lt;/value&gt;
      &lt;/setting&gt;
    &lt;/LayoutUserSettings&gt;
    &lt;GeneralUserSettings4&gt;
      &lt;setting name="NewWorkbookGraphDirectedness" serializeAs="String"&gt;
        &lt;value&gt;Directed&lt;/value&gt;
      &lt;/setting&gt;
      &lt;setting name="VertexRadius" serializeAs="String"&gt;
        &lt;value&gt;1.5&lt;/value&gt;
      &lt;/setting&gt;
      &lt;setting name="SelectedEdgeColor" serializeAs="String"&gt;
        &lt;value&gt;Red&lt;/value&gt;
      &lt;/setting&gt;
      &lt;setting name="VertexRelativeOuterGlowSize" serializeAs="String"&gt;
        &lt;value&gt;3&lt;/value&gt;
      &lt;/setting&gt;
      &lt;setting name="LabelUserSettings" serializeAs="String"&gt;
        &lt;value&gt;Microsoft Sans Serif, 8.25pt White BottomCenter 2147483647 2147483647 Black True 200 Black 86 BottomLeft Microsoft Sans Serif, 8.25pt Microsoft Sans Serif, 12pt&lt;/value&gt;
      &lt;/setting&gt;
      &lt;setting name="VertexAlpha" serializeAs="String"&gt;
        &lt;value&gt;100&lt;/value&gt;
      &lt;/setting&gt;
      &lt;setting name="RelativeArrowSize" serializeAs="String"&gt;
        &lt;value&gt;3&lt;/value&gt;
      &lt;/setting&gt;
      &lt;setting name="VertexShape" serializeAs="String"&gt;
        &lt;value&gt;Disk&lt;/value&gt;
      &lt;/setting&gt;
      &lt;setting name="EdgeWidth" serializeAs="String"&gt;
        &lt;value&gt;1&lt;/value&gt;
      &lt;/setting&gt;
      &lt;setting name="VertexColor" serializeAs="String"&gt;
        &lt;value&gt;Black&lt;/valu</t>
  </si>
  <si>
    <t>e&gt;
      &lt;/setting&gt;
      &lt;setting name="EdgeAlpha" serializeAs="String"&gt;
        &lt;value&gt;100&lt;/value&gt;
      &lt;/setting&gt;
      &lt;setting name="EdgeCurveStyle" serializeAs="String"&gt;
        &lt;value&gt;Straight&lt;/value&gt;
      &lt;/setting&gt;
      &lt;setting name="BackColor" serializeAs="String"&gt;
        &lt;value&gt;White&lt;/value&gt;
      &lt;/setting&gt;
      &lt;setting name="BackgroundImageUri" serializeAs="String"&gt;
        &lt;value /&gt;
      &lt;/setting&gt;
      &lt;setting name="SelectedVertexColor" serializeAs="String"&gt;
        &lt;value&gt;Red&lt;/value&gt;
      &lt;/setting&gt;
      &lt;setting name="EdgeBezierDisplacementFactor" serializeAs="String"&gt;
        &lt;value&gt;0.2&lt;/value&gt;
      &lt;/setting&gt;
      &lt;setting name="AutoSelect" serializeAs="String"&gt;
        &lt;value&gt;True&lt;/value&gt;
      &lt;/setting&gt;
      &lt;setting name="AutoReadWorkbook" serializeAs="String"&gt;
        &lt;value&gt;True&lt;/value&gt;
      &lt;/setting&gt;
      &lt;setting name="VertexEffect" serializeAs="String"&gt;
        &lt;value&gt;None&lt;/value&gt;
      &lt;/setting&gt;
      &lt;setting name="VertexImageSize" serializeAs="String"&gt;
        &lt;value&gt;100&lt;/value&gt;
      &lt;/setting&gt;
      &lt;setting name="AxisFont" serializeAs="String"&gt;
        &lt;value&gt;Microsoft Sans Serif, 8.25pt&lt;/value&gt;
      &lt;/setting&gt;
      &lt;setting name="EdgeBundlerStraightening" serializeAs="String"&gt;
        &lt;value&gt;0.15&lt;/value&gt;
      &lt;/setting&gt;
      &lt;setting name="EdgeColor" serializeAs="String"&gt;
        &lt;value&gt;Gray&lt;/value&gt;
      &lt;/setting&gt;
      &lt;setting name="ShowGraphLegend" serializeAs="String"&gt;
        &lt;value&gt;True&lt;/value&gt;
      &lt;/setting&gt;
      &lt;setting name="ReadVertexLabels" serializeAs="String"&gt;
        &lt;value&gt;True&lt;/value&gt;
      &lt;/setting&gt;
      &lt;setting name="ReadEdgeLabels" serializeAs="String"&gt;
        &lt;value&gt;True&lt;/value&gt;
      &lt;/setting&gt;
      &lt;setting name="ReadGroupLabels" serializeAs="String"&gt;
        &lt;value&gt;True&lt;/value&gt;
      &lt;/setting&gt;
      &lt;setting name="ShowGraphAxes" serializeAs="String"&gt;
        &lt;value&gt;False&lt;/value&gt;
      &lt;/setting&gt;
    &lt;/GeneralUserSettings4&gt;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</si>
</sst>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
    <numFmt numFmtId="178" formatCode="General"/>
    <numFmt numFmtId="179" formatCode="#,##0.00"/>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9"/>
      <name val="Calibri"/>
      <family val="3"/>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4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49" fontId="0" fillId="0" borderId="0" xfId="22" applyNumberFormat="1" applyFont="1" applyBorder="1" applyAlignment="1">
      <alignment wrapText="1"/>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49" fontId="6" fillId="5" borderId="11" xfId="25" applyNumberForma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alignment/>
    </xf>
    <xf numFmtId="0" fontId="0" fillId="3" borderId="1" xfId="27" applyNumberFormat="1" applyAlignment="1">
      <alignment/>
    </xf>
    <xf numFmtId="0" fontId="0" fillId="0" borderId="0" xfId="0" applyAlignment="1" quotePrefix="1">
      <alignment/>
    </xf>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 xfId="23" applyNumberFormat="1" applyFont="1"/>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1" fontId="0" fillId="4" borderId="12" xfId="24" applyNumberFormat="1" applyBorder="1"/>
    <xf numFmtId="167" fontId="0" fillId="4" borderId="12" xfId="24" applyNumberFormat="1" applyBorder="1"/>
    <xf numFmtId="0" fontId="0" fillId="0" borderId="0" xfId="0" applyFill="1" applyBorder="1" applyAlignment="1">
      <alignment/>
    </xf>
    <xf numFmtId="0" fontId="0" fillId="3" borderId="11" xfId="23" applyNumberFormat="1" applyFont="1" applyBorder="1"/>
    <xf numFmtId="0" fontId="0" fillId="2" borderId="11" xfId="20" applyNumberFormat="1" applyFont="1" applyBorder="1"/>
    <xf numFmtId="1" fontId="0" fillId="4" borderId="11" xfId="24" applyNumberFormat="1" applyBorder="1"/>
    <xf numFmtId="167" fontId="0" fillId="4" borderId="11" xfId="24" applyNumberFormat="1" applyBorder="1"/>
    <xf numFmtId="49" fontId="0" fillId="0" borderId="0" xfId="22" applyNumberFormat="1" applyFont="1" applyBorder="1" applyAlignment="1">
      <alignment/>
    </xf>
    <xf numFmtId="0" fontId="0" fillId="3" borderId="1" xfId="23" applyNumberFormat="1" applyFont="1" applyAlignment="1">
      <alignment/>
    </xf>
    <xf numFmtId="49" fontId="0" fillId="0" borderId="7" xfId="22" applyNumberFormat="1" applyFont="1" applyBorder="1" applyAlignment="1">
      <alignment/>
    </xf>
    <xf numFmtId="0" fontId="0" fillId="3" borderId="1" xfId="23" applyNumberFormat="1" applyFont="1" applyBorder="1"/>
    <xf numFmtId="164" fontId="0" fillId="3" borderId="1" xfId="23" applyNumberFormat="1" applyFont="1" applyBorder="1"/>
    <xf numFmtId="1" fontId="0" fillId="3" borderId="1" xfId="23" applyNumberFormat="1" applyFont="1" applyBorder="1"/>
    <xf numFmtId="49" fontId="6" fillId="5" borderId="1" xfId="25" applyNumberFormat="1" applyBorder="1"/>
    <xf numFmtId="0" fontId="6" fillId="5" borderId="1" xfId="25" applyNumberFormat="1" applyBorder="1"/>
    <xf numFmtId="164" fontId="0" fillId="6" borderId="1" xfId="26" applyNumberFormat="1" applyFont="1" applyBorder="1"/>
    <xf numFmtId="165" fontId="0" fillId="6" borderId="1" xfId="26" applyNumberFormat="1" applyFont="1" applyBorder="1"/>
    <xf numFmtId="0" fontId="0" fillId="6" borderId="1" xfId="26" applyNumberFormat="1" applyFont="1" applyBorder="1"/>
    <xf numFmtId="166" fontId="0" fillId="6" borderId="1" xfId="26" applyNumberFormat="1" applyFont="1" applyBorder="1"/>
    <xf numFmtId="1" fontId="0" fillId="4" borderId="1" xfId="24" applyNumberFormat="1" applyFont="1" applyBorder="1" applyAlignment="1">
      <alignment/>
    </xf>
    <xf numFmtId="0" fontId="0" fillId="2" borderId="1" xfId="20" applyNumberFormat="1" applyFont="1" applyBorder="1"/>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55">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79"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8" formatCode="General"/>
    </dxf>
    <dxf>
      <font>
        <b val="0"/>
        <i val="0"/>
        <u val="none"/>
        <strike val="0"/>
        <sz val="11"/>
        <name val="Calibri"/>
        <color theme="1"/>
        <condense val="0"/>
        <extend val="0"/>
      </font>
      <numFmt numFmtId="178" formatCode="General"/>
    </dxf>
    <dxf>
      <numFmt numFmtId="177" formatCode="@"/>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80" formatCode="0"/>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77" formatCode="@"/>
      <border>
        <right style="thin">
          <color theme="0"/>
        </right>
      </border>
    </dxf>
    <dxf>
      <numFmt numFmtId="178" formatCode="General"/>
    </dxf>
    <dxf>
      <numFmt numFmtId="178" formatCode="General"/>
    </dxf>
    <dxf>
      <numFmt numFmtId="178" formatCode="General"/>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80" formatCode="0"/>
      <alignment horizontal="general" vertical="bottom" textRotation="0" wrapText="1" shrinkToFit="1" readingOrder="0"/>
      <border>
        <right style="thin">
          <color theme="0"/>
        </right>
      </border>
    </dxf>
    <dxf>
      <numFmt numFmtId="166" formatCode="#,##0.000"/>
    </dxf>
    <dxf>
      <numFmt numFmtId="166" formatCode="#,##0.000"/>
    </dxf>
    <dxf>
      <numFmt numFmtId="178" formatCode="General"/>
    </dxf>
    <dxf>
      <numFmt numFmtId="165" formatCode="#,##0.0"/>
    </dxf>
    <dxf>
      <numFmt numFmtId="165" formatCode="#,##0.0"/>
    </dxf>
    <dxf>
      <numFmt numFmtId="164" formatCode="0.0"/>
    </dxf>
    <dxf>
      <numFmt numFmtId="177" formatCode="@"/>
    </dxf>
    <dxf>
      <numFmt numFmtId="178" formatCode="General"/>
    </dxf>
    <dxf>
      <numFmt numFmtId="178" formatCode="General"/>
    </dxf>
    <dxf>
      <numFmt numFmtId="177" formatCode="@"/>
    </dxf>
    <dxf>
      <numFmt numFmtId="178" formatCode="General"/>
    </dxf>
    <dxf>
      <numFmt numFmtId="178" formatCode="General"/>
    </dxf>
    <dxf>
      <numFmt numFmtId="180" formatCode="0"/>
    </dxf>
    <dxf>
      <numFmt numFmtId="164" formatCode="0.0"/>
    </dxf>
    <dxf>
      <numFmt numFmtId="178" formatCode="General"/>
    </dxf>
    <dxf>
      <numFmt numFmtId="178"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54"/>
      <tableStyleElement type="headerRow" dxfId="153"/>
    </tableStyle>
    <tableStyle name="NodeXL Table" pivot="0" count="1">
      <tableStyleElement type="headerRow" dxfId="15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9072158"/>
        <c:axId val="38996239"/>
      </c:barChart>
      <c:catAx>
        <c:axId val="490721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996239"/>
        <c:crosses val="autoZero"/>
        <c:auto val="1"/>
        <c:lblOffset val="100"/>
        <c:noMultiLvlLbl val="0"/>
      </c:catAx>
      <c:valAx>
        <c:axId val="38996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721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5421832"/>
        <c:axId val="4578761"/>
      </c:barChart>
      <c:catAx>
        <c:axId val="154218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78761"/>
        <c:crosses val="autoZero"/>
        <c:auto val="1"/>
        <c:lblOffset val="100"/>
        <c:noMultiLvlLbl val="0"/>
      </c:catAx>
      <c:valAx>
        <c:axId val="45787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218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1208850"/>
        <c:axId val="35335331"/>
      </c:barChart>
      <c:catAx>
        <c:axId val="412088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335331"/>
        <c:crosses val="autoZero"/>
        <c:auto val="1"/>
        <c:lblOffset val="100"/>
        <c:noMultiLvlLbl val="0"/>
      </c:catAx>
      <c:valAx>
        <c:axId val="35335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088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9582524"/>
        <c:axId val="43589533"/>
      </c:barChart>
      <c:catAx>
        <c:axId val="495825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589533"/>
        <c:crosses val="autoZero"/>
        <c:auto val="1"/>
        <c:lblOffset val="100"/>
        <c:noMultiLvlLbl val="0"/>
      </c:catAx>
      <c:valAx>
        <c:axId val="43589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825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6761478"/>
        <c:axId val="41091255"/>
      </c:barChart>
      <c:catAx>
        <c:axId val="567614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091255"/>
        <c:crosses val="autoZero"/>
        <c:auto val="1"/>
        <c:lblOffset val="100"/>
        <c:noMultiLvlLbl val="0"/>
      </c:catAx>
      <c:valAx>
        <c:axId val="41091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61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4276976"/>
        <c:axId val="40057329"/>
      </c:barChart>
      <c:catAx>
        <c:axId val="342769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057329"/>
        <c:crosses val="autoZero"/>
        <c:auto val="1"/>
        <c:lblOffset val="100"/>
        <c:noMultiLvlLbl val="0"/>
      </c:catAx>
      <c:valAx>
        <c:axId val="40057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76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4971642"/>
        <c:axId val="23418187"/>
      </c:barChart>
      <c:catAx>
        <c:axId val="249716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418187"/>
        <c:crosses val="autoZero"/>
        <c:auto val="1"/>
        <c:lblOffset val="100"/>
        <c:noMultiLvlLbl val="0"/>
      </c:catAx>
      <c:valAx>
        <c:axId val="234181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71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9437092"/>
        <c:axId val="17824965"/>
      </c:barChart>
      <c:catAx>
        <c:axId val="94370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824965"/>
        <c:crosses val="autoZero"/>
        <c:auto val="1"/>
        <c:lblOffset val="100"/>
        <c:noMultiLvlLbl val="0"/>
      </c:catAx>
      <c:valAx>
        <c:axId val="17824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37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6206958"/>
        <c:axId val="34536031"/>
      </c:barChart>
      <c:catAx>
        <c:axId val="26206958"/>
        <c:scaling>
          <c:orientation val="minMax"/>
        </c:scaling>
        <c:axPos val="b"/>
        <c:delete val="1"/>
        <c:majorTickMark val="out"/>
        <c:minorTickMark val="none"/>
        <c:tickLblPos val="none"/>
        <c:crossAx val="34536031"/>
        <c:crosses val="autoZero"/>
        <c:auto val="1"/>
        <c:lblOffset val="100"/>
        <c:noMultiLvlLbl val="0"/>
      </c:catAx>
      <c:valAx>
        <c:axId val="34536031"/>
        <c:scaling>
          <c:orientation val="minMax"/>
        </c:scaling>
        <c:axPos val="l"/>
        <c:delete val="1"/>
        <c:majorTickMark val="out"/>
        <c:minorTickMark val="none"/>
        <c:tickLblPos val="none"/>
        <c:crossAx val="262069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R9" totalsRowShown="0" headerRowDxfId="151" dataDxfId="150">
  <autoFilter ref="A2:R9"/>
  <tableColumns count="18">
    <tableColumn id="1" name="Vertex 1" dataDxfId="149"/>
    <tableColumn id="2" name="Vertex 2" dataDxfId="148"/>
    <tableColumn id="3" name="Color" dataDxfId="147"/>
    <tableColumn id="4" name="Width" dataDxfId="146"/>
    <tableColumn id="11" name="Style" dataDxfId="145"/>
    <tableColumn id="5" name="Opacity" dataDxfId="144"/>
    <tableColumn id="6" name="Visibility" dataDxfId="143"/>
    <tableColumn id="10" name="Label" dataDxfId="142"/>
    <tableColumn id="12" name="Label Text Color" dataDxfId="141"/>
    <tableColumn id="13" name="Label Font Size" dataDxfId="140"/>
    <tableColumn id="14" name="Reciprocated?" dataDxfId="139"/>
    <tableColumn id="7" name="ID" dataDxfId="138"/>
    <tableColumn id="9" name="Dynamic Filter" dataDxfId="137"/>
    <tableColumn id="8" name="Add Your Own Columns Here" dataDxfId="136"/>
    <tableColumn id="15" name="Types of interaction" dataDxfId="135"/>
    <tableColumn id="16" name="Frequency" dataDxfId="134"/>
    <tableColumn id="17" name="Vertex 1 Group" dataDxfId="133">
      <calculatedColumnFormula>REPLACE(INDEX(GroupVertices[Group], MATCH(Edges[[#This Row],[Vertex 1]],GroupVertices[Vertex],0)),1,1,"")</calculatedColumnFormula>
    </tableColumn>
    <tableColumn id="18" name="Vertex 2 Group" dataDxfId="132">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31" dataDxfId="30">
  <autoFilter ref="A1:B2"/>
  <tableColumns count="2">
    <tableColumn id="1" name="Top URLs in Tweet in Entire Graph" dataDxfId="29"/>
    <tableColumn id="2" name="Entire Graph Count" dataDxfId="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27" dataDxfId="26">
  <autoFilter ref="A4:B5"/>
  <tableColumns count="2">
    <tableColumn id="1" name="Top Domains in Tweet in Entire Graph" dataDxfId="25"/>
    <tableColumn id="2" name="Entire Graph Count" dataDxfId="24"/>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23" dataDxfId="22">
  <autoFilter ref="A7:B8"/>
  <tableColumns count="2">
    <tableColumn id="1" name="Top Hashtags in Tweet in Entire Graph" dataDxfId="21"/>
    <tableColumn id="2" name="Entire Graph Count" dataDxfId="20"/>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9" dataDxfId="18">
  <autoFilter ref="A10:B15"/>
  <tableColumns count="2">
    <tableColumn id="1" name="Top Words in Tweet in Entire Graph" dataDxfId="17"/>
    <tableColumn id="2" name="Entire Graph Count" dataDxfId="16"/>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5" dataDxfId="14">
  <autoFilter ref="A18:B19"/>
  <tableColumns count="2">
    <tableColumn id="1" name="Top Word Pairs in Tweet in Entire Graph" dataDxfId="13"/>
    <tableColumn id="2" name="Entire Graph Count" dataDxfId="12"/>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1" dataDxfId="10">
  <autoFilter ref="A21:B22"/>
  <tableColumns count="2">
    <tableColumn id="1" name="Top Replied-To in Entire Graph" dataDxfId="9"/>
    <tableColumn id="2" name="Entire Graph Count" dataDxfId="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7" dataDxfId="6">
  <autoFilter ref="A24:B25"/>
  <tableColumns count="2">
    <tableColumn id="1" name="Top Mentioned in Entire Graph" dataDxfId="5"/>
    <tableColumn id="2" name="Entire Graph Count" dataDxfId="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3" dataDxfId="2">
  <autoFilter ref="A27:B28"/>
  <tableColumns count="2">
    <tableColumn id="1" name="Top Tweeters in Entire Graph" dataDxfId="1"/>
    <tableColumn id="2" name="Entire Graph Count" dataDxfId="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O9" totalsRowShown="0" headerRowDxfId="131" dataDxfId="130">
  <autoFilter ref="A2:AO9"/>
  <sortState ref="A3:AO9">
    <sortCondition descending="1" sortBy="value" ref="X3:X9"/>
  </sortState>
  <tableColumns count="41">
    <tableColumn id="1" name="Vertex" dataDxfId="129"/>
    <tableColumn id="2" name="Color" dataDxfId="128"/>
    <tableColumn id="5" name="Shape" dataDxfId="127"/>
    <tableColumn id="6" name="Size" dataDxfId="126"/>
    <tableColumn id="4" name="Opacity" dataDxfId="125"/>
    <tableColumn id="7" name="Image File" dataDxfId="124"/>
    <tableColumn id="3" name="Visibility" dataDxfId="123"/>
    <tableColumn id="10" name="Label" dataDxfId="122"/>
    <tableColumn id="16" name="Label Fill Color" dataDxfId="121"/>
    <tableColumn id="9" name="Label Position" dataDxfId="120"/>
    <tableColumn id="8" name="Tooltip" dataDxfId="119"/>
    <tableColumn id="18" name="Layout Order" dataDxfId="118"/>
    <tableColumn id="13" name="X" dataDxfId="117"/>
    <tableColumn id="14" name="Y" dataDxfId="116"/>
    <tableColumn id="12" name="Locked?" dataDxfId="115"/>
    <tableColumn id="19" name="Polar R" dataDxfId="114"/>
    <tableColumn id="20" name="Polar Angle" dataDxfId="113"/>
    <tableColumn id="21" name="Degree" dataDxfId="112"/>
    <tableColumn id="22" name="In-Degree" dataDxfId="111"/>
    <tableColumn id="23" name="Out-Degree" dataDxfId="110"/>
    <tableColumn id="24" name="Betweenness Centrality" dataDxfId="109"/>
    <tableColumn id="25" name="Closeness Centrality" dataDxfId="108"/>
    <tableColumn id="26" name="Eigenvector Centrality" dataDxfId="107"/>
    <tableColumn id="15" name="PageRank" dataDxfId="106"/>
    <tableColumn id="27" name="Clustering Coefficient" dataDxfId="105"/>
    <tableColumn id="29" name="Reciprocated Vertex Pair Ratio" dataDxfId="104"/>
    <tableColumn id="11" name="ID" dataDxfId="103"/>
    <tableColumn id="28" name="Dynamic Filter" dataDxfId="102"/>
    <tableColumn id="17" name="Add Your Own Columns Here" dataDxfId="101"/>
    <tableColumn id="30" name="列1" dataDxfId="100"/>
    <tableColumn id="31" name="Top URLs in Tweet by Count" dataDxfId="99"/>
    <tableColumn id="32" name="Top URLs in Tweet by Salience" dataDxfId="98"/>
    <tableColumn id="33" name="Top Domains in Tweet by Count" dataDxfId="97"/>
    <tableColumn id="34" name="Top Domains in Tweet by Salience" dataDxfId="96"/>
    <tableColumn id="35" name="Top Hashtags in Tweet by Count" dataDxfId="95"/>
    <tableColumn id="36" name="Top Hashtags in Tweet by Salience" dataDxfId="94"/>
    <tableColumn id="37" name="Top Words in Tweet by Count" dataDxfId="93"/>
    <tableColumn id="38" name="Top Words in Tweet by Salience" dataDxfId="92"/>
    <tableColumn id="39" name="Top Word Pairs in Tweet by Count" dataDxfId="91"/>
    <tableColumn id="40" name="Top Word Pairs in Tweet by Salience" dataDxfId="90"/>
    <tableColumn id="41" name="Vertex Group" dataDxfId="89">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AF5" totalsRowShown="0" headerRowDxfId="88">
  <autoFilter ref="A2:AF5"/>
  <tableColumns count="32">
    <tableColumn id="1" name="Group" dataDxfId="87"/>
    <tableColumn id="2" name="Vertex Color" dataDxfId="86"/>
    <tableColumn id="3" name="Vertex Shape" dataDxfId="85"/>
    <tableColumn id="22" name="Visibility" dataDxfId="84"/>
    <tableColumn id="4" name="Collapsed?"/>
    <tableColumn id="18" name="Label" dataDxfId="83"/>
    <tableColumn id="20" name="Collapsed X"/>
    <tableColumn id="21" name="Collapsed Y"/>
    <tableColumn id="6" name="ID" dataDxfId="82"/>
    <tableColumn id="19" name="Collapsed Properties" dataDxfId="81"/>
    <tableColumn id="5" name="Vertices" dataDxfId="80"/>
    <tableColumn id="7" name="Unique Edges" dataDxfId="79"/>
    <tableColumn id="8" name="Edges With Duplicates" dataDxfId="78"/>
    <tableColumn id="9" name="Total Edges" dataDxfId="77"/>
    <tableColumn id="10" name="Self-Loops" dataDxfId="76"/>
    <tableColumn id="24" name="Reciprocated Vertex Pair Ratio" dataDxfId="75"/>
    <tableColumn id="25" name="Reciprocated Edge Ratio" dataDxfId="74"/>
    <tableColumn id="11" name="Connected Components" dataDxfId="73"/>
    <tableColumn id="12" name="Single-Vertex Connected Components" dataDxfId="72"/>
    <tableColumn id="13" name="Maximum Vertices in a Connected Component" dataDxfId="71"/>
    <tableColumn id="14" name="Maximum Edges in a Connected Component" dataDxfId="70"/>
    <tableColumn id="15" name="Maximum Geodesic Distance (Diameter)" dataDxfId="69"/>
    <tableColumn id="16" name="Average Geodesic Distance" dataDxfId="68"/>
    <tableColumn id="17" name="Graph Density" dataDxfId="67"/>
    <tableColumn id="23" name="Top URLs in Tweet" dataDxfId="66"/>
    <tableColumn id="26" name="Top Domains in Tweet" dataDxfId="65"/>
    <tableColumn id="27" name="Top Hashtags in Tweet" dataDxfId="64"/>
    <tableColumn id="28" name="Top Words in Tweet" dataDxfId="63"/>
    <tableColumn id="29" name="Top Word Pairs in Tweet" dataDxfId="62"/>
    <tableColumn id="30" name="Top Replied-To in Tweet" dataDxfId="61"/>
    <tableColumn id="31" name="Top Mentioned in Tweet" dataDxfId="60"/>
    <tableColumn id="32" name="Top Tweeters" dataDxfId="5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58" dataDxfId="57">
  <autoFilter ref="A1:C8"/>
  <tableColumns count="3">
    <tableColumn id="1" name="Group" dataDxfId="56"/>
    <tableColumn id="2" name="Vertex" dataDxfId="55"/>
    <tableColumn id="3" name="Vertex ID" dataDxfId="5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53"/>
    <tableColumn id="2" name="Value" dataDxfId="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51"/>
    <tableColumn id="2" name="Degree Frequency" dataDxfId="50">
      <calculatedColumnFormula>COUNTIF(Vertices[Degree], "&gt;= " &amp; D2) - COUNTIF(Vertices[Degree], "&gt;=" &amp; D3)</calculatedColumnFormula>
    </tableColumn>
    <tableColumn id="3" name="In-Degree Bin" dataDxfId="49"/>
    <tableColumn id="4" name="In-Degree Frequency" dataDxfId="48">
      <calculatedColumnFormula>COUNTIF(Vertices[In-Degree], "&gt;= " &amp; F2) - COUNTIF(Vertices[In-Degree], "&gt;=" &amp; F3)</calculatedColumnFormula>
    </tableColumn>
    <tableColumn id="5" name="Out-Degree Bin" dataDxfId="47"/>
    <tableColumn id="6" name="Out-Degree Frequency" dataDxfId="46">
      <calculatedColumnFormula>COUNTIF(Vertices[Out-Degree], "&gt;= " &amp; H2) - COUNTIF(Vertices[Out-Degree], "&gt;=" &amp; H3)</calculatedColumnFormula>
    </tableColumn>
    <tableColumn id="7" name="Betweenness Centrality Bin" dataDxfId="45"/>
    <tableColumn id="8" name="Betweenness Centrality Frequency" dataDxfId="44">
      <calculatedColumnFormula>COUNTIF(Vertices[Betweenness Centrality], "&gt;= " &amp; J2) - COUNTIF(Vertices[Betweenness Centrality], "&gt;=" &amp; J3)</calculatedColumnFormula>
    </tableColumn>
    <tableColumn id="9" name="Closeness Centrality Bin" dataDxfId="43"/>
    <tableColumn id="10" name="Closeness Centrality Frequency" dataDxfId="42">
      <calculatedColumnFormula>COUNTIF(Vertices[Closeness Centrality], "&gt;= " &amp; L2) - COUNTIF(Vertices[Closeness Centrality], "&gt;=" &amp; L3)</calculatedColumnFormula>
    </tableColumn>
    <tableColumn id="11" name="Eigenvector Centrality Bin" dataDxfId="41"/>
    <tableColumn id="12" name="Eigenvector Centrality Frequency" dataDxfId="40">
      <calculatedColumnFormula>COUNTIF(Vertices[Eigenvector Centrality], "&gt;= " &amp; N2) - COUNTIF(Vertices[Eigenvector Centrality], "&gt;=" &amp; N3)</calculatedColumnFormula>
    </tableColumn>
    <tableColumn id="18" name="PageRank Bin" dataDxfId="39"/>
    <tableColumn id="17" name="PageRank Frequency" dataDxfId="38">
      <calculatedColumnFormula>COUNTIF(Vertices[Eigenvector Centrality], "&gt;= " &amp; P2) - COUNTIF(Vertices[Eigenvector Centrality], "&gt;=" &amp; P3)</calculatedColumnFormula>
    </tableColumn>
    <tableColumn id="13" name="Clustering Coefficient Bin" dataDxfId="37"/>
    <tableColumn id="14" name="Clustering Coefficient Frequency" dataDxfId="36">
      <calculatedColumnFormula>COUNTIF(Vertices[Clustering Coefficient], "&gt;= " &amp; R2) - COUNTIF(Vertices[Clustering Coefficient], "&gt;=" &amp; R3)</calculatedColumnFormula>
    </tableColumn>
    <tableColumn id="15" name="Dynamic Filter Bin" dataDxfId="35"/>
    <tableColumn id="16" name="Dynamic Filter Frequency" dataDxfId="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33">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3"/>
  <sheetViews>
    <sheetView workbookViewId="0" topLeftCell="A1">
      <pane xSplit="2" ySplit="2" topLeftCell="I3" activePane="bottomRight" state="frozen"/>
      <selection pane="topRight" activeCell="C1" sqref="C1"/>
      <selection pane="bottomLeft" activeCell="A3" sqref="A3"/>
      <selection pane="bottomRight" activeCell="P27" sqref="P27"/>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7" max="18" width="10.421875" style="0" bestFit="1" customWidth="1"/>
  </cols>
  <sheetData>
    <row r="1" spans="3:14" ht="15">
      <c r="C1" s="18" t="s">
        <v>37</v>
      </c>
      <c r="D1" s="19"/>
      <c r="E1" s="19"/>
      <c r="F1" s="19"/>
      <c r="G1" s="18"/>
      <c r="H1" s="16" t="s">
        <v>41</v>
      </c>
      <c r="I1" s="64"/>
      <c r="J1" s="64"/>
      <c r="K1" s="35" t="s">
        <v>40</v>
      </c>
      <c r="L1" s="20" t="s">
        <v>38</v>
      </c>
      <c r="M1" s="20"/>
      <c r="N1" s="17" t="s">
        <v>39</v>
      </c>
    </row>
    <row r="2" spans="1:18" ht="30" customHeight="1">
      <c r="A2" s="11" t="s">
        <v>0</v>
      </c>
      <c r="B2" s="11" t="s">
        <v>1</v>
      </c>
      <c r="C2" s="13" t="s">
        <v>2</v>
      </c>
      <c r="D2" s="13" t="s">
        <v>3</v>
      </c>
      <c r="E2" s="13" t="s">
        <v>127</v>
      </c>
      <c r="F2" s="13" t="s">
        <v>4</v>
      </c>
      <c r="G2" s="13" t="s">
        <v>11</v>
      </c>
      <c r="H2" s="11" t="s">
        <v>44</v>
      </c>
      <c r="I2" s="13" t="s">
        <v>157</v>
      </c>
      <c r="J2" s="13" t="s">
        <v>158</v>
      </c>
      <c r="K2" s="13" t="s">
        <v>162</v>
      </c>
      <c r="L2" s="13" t="s">
        <v>12</v>
      </c>
      <c r="M2" s="13" t="s">
        <v>36</v>
      </c>
      <c r="N2" s="13" t="s">
        <v>25</v>
      </c>
      <c r="O2" s="13" t="s">
        <v>191</v>
      </c>
      <c r="P2" s="13" t="s">
        <v>190</v>
      </c>
      <c r="Q2" s="13" t="s">
        <v>238</v>
      </c>
      <c r="R2" s="13" t="s">
        <v>239</v>
      </c>
    </row>
    <row r="3" spans="1:18" ht="15" customHeight="1">
      <c r="A3" s="50" t="s">
        <v>170</v>
      </c>
      <c r="B3" s="50" t="s">
        <v>172</v>
      </c>
      <c r="C3" s="53" t="s">
        <v>234</v>
      </c>
      <c r="D3" s="54">
        <v>2</v>
      </c>
      <c r="E3" s="65"/>
      <c r="F3" s="55">
        <v>75</v>
      </c>
      <c r="G3" s="53"/>
      <c r="H3" s="57" t="s">
        <v>184</v>
      </c>
      <c r="I3" s="56"/>
      <c r="J3" s="56"/>
      <c r="K3" s="36" t="s">
        <v>64</v>
      </c>
      <c r="L3" s="62">
        <v>3</v>
      </c>
      <c r="M3" s="62"/>
      <c r="N3" s="63"/>
      <c r="O3" s="13" t="s">
        <v>184</v>
      </c>
      <c r="P3" s="13">
        <v>2</v>
      </c>
      <c r="Q3" s="110" t="str">
        <f>REPLACE(INDEX(GroupVertices[Group],MATCH(Edges[[#This Row],[Vertex 1]],GroupVertices[Vertex],0)),1,1,"")</f>
        <v>1</v>
      </c>
      <c r="R3" s="110" t="str">
        <f>REPLACE(INDEX(GroupVertices[Group],MATCH(Edges[[#This Row],[Vertex 2]],GroupVertices[Vertex],0)),1,1,"")</f>
        <v>3</v>
      </c>
    </row>
    <row r="4" spans="1:18" ht="15" customHeight="1">
      <c r="A4" s="82" t="s">
        <v>172</v>
      </c>
      <c r="B4" s="82" t="s">
        <v>174</v>
      </c>
      <c r="C4" s="83" t="s">
        <v>234</v>
      </c>
      <c r="D4" s="84">
        <v>1</v>
      </c>
      <c r="E4" s="85"/>
      <c r="F4" s="86">
        <v>50</v>
      </c>
      <c r="G4" s="83"/>
      <c r="H4" s="87" t="s">
        <v>184</v>
      </c>
      <c r="I4" s="88"/>
      <c r="J4" s="88"/>
      <c r="K4" s="36" t="s">
        <v>63</v>
      </c>
      <c r="L4" s="89">
        <v>4</v>
      </c>
      <c r="M4" s="89"/>
      <c r="N4" s="90"/>
      <c r="O4" s="13" t="s">
        <v>184</v>
      </c>
      <c r="P4" s="13">
        <v>1</v>
      </c>
      <c r="Q4" s="110" t="str">
        <f>REPLACE(INDEX(GroupVertices[Group],MATCH(Edges[[#This Row],[Vertex 1]],GroupVertices[Vertex],0)),1,1,"")</f>
        <v>3</v>
      </c>
      <c r="R4" s="110" t="str">
        <f>REPLACE(INDEX(GroupVertices[Group],MATCH(Edges[[#This Row],[Vertex 2]],GroupVertices[Vertex],0)),1,1,"")</f>
        <v>3</v>
      </c>
    </row>
    <row r="5" spans="1:18" ht="30">
      <c r="A5" s="82" t="s">
        <v>172</v>
      </c>
      <c r="B5" s="82" t="s">
        <v>170</v>
      </c>
      <c r="C5" s="83" t="s">
        <v>235</v>
      </c>
      <c r="D5" s="84">
        <v>1</v>
      </c>
      <c r="E5" s="85"/>
      <c r="F5" s="86">
        <v>50</v>
      </c>
      <c r="G5" s="83" t="s">
        <v>49</v>
      </c>
      <c r="H5" s="87" t="s">
        <v>185</v>
      </c>
      <c r="I5" s="88"/>
      <c r="J5" s="88"/>
      <c r="K5" s="36" t="s">
        <v>64</v>
      </c>
      <c r="L5" s="89">
        <v>5</v>
      </c>
      <c r="M5" s="89"/>
      <c r="N5" s="90"/>
      <c r="O5" s="13" t="s">
        <v>185</v>
      </c>
      <c r="P5" s="13">
        <v>1</v>
      </c>
      <c r="Q5" s="110" t="str">
        <f>REPLACE(INDEX(GroupVertices[Group],MATCH(Edges[[#This Row],[Vertex 1]],GroupVertices[Vertex],0)),1,1,"")</f>
        <v>3</v>
      </c>
      <c r="R5" s="110" t="str">
        <f>REPLACE(INDEX(GroupVertices[Group],MATCH(Edges[[#This Row],[Vertex 2]],GroupVertices[Vertex],0)),1,1,"")</f>
        <v>1</v>
      </c>
    </row>
    <row r="6" spans="1:18" ht="30">
      <c r="A6" s="82" t="s">
        <v>176</v>
      </c>
      <c r="B6" s="82" t="s">
        <v>170</v>
      </c>
      <c r="C6" s="83" t="s">
        <v>236</v>
      </c>
      <c r="D6" s="84">
        <v>1</v>
      </c>
      <c r="E6" s="85"/>
      <c r="F6" s="86">
        <v>50</v>
      </c>
      <c r="G6" s="83"/>
      <c r="H6" s="87" t="s">
        <v>186</v>
      </c>
      <c r="I6" s="88"/>
      <c r="J6" s="88"/>
      <c r="K6" s="36" t="s">
        <v>63</v>
      </c>
      <c r="L6" s="89">
        <v>6</v>
      </c>
      <c r="M6" s="89"/>
      <c r="N6" s="90"/>
      <c r="O6" s="13" t="s">
        <v>186</v>
      </c>
      <c r="P6" s="13">
        <v>1</v>
      </c>
      <c r="Q6" s="110" t="str">
        <f>REPLACE(INDEX(GroupVertices[Group],MATCH(Edges[[#This Row],[Vertex 1]],GroupVertices[Vertex],0)),1,1,"")</f>
        <v>1</v>
      </c>
      <c r="R6" s="110" t="str">
        <f>REPLACE(INDEX(GroupVertices[Group],MATCH(Edges[[#This Row],[Vertex 2]],GroupVertices[Vertex],0)),1,1,"")</f>
        <v>1</v>
      </c>
    </row>
    <row r="7" spans="1:18" ht="30">
      <c r="A7" s="82" t="s">
        <v>178</v>
      </c>
      <c r="B7" s="82" t="s">
        <v>180</v>
      </c>
      <c r="C7" s="83" t="s">
        <v>257</v>
      </c>
      <c r="D7" s="84">
        <v>2</v>
      </c>
      <c r="E7" s="85"/>
      <c r="F7" s="86">
        <v>75</v>
      </c>
      <c r="G7" s="83"/>
      <c r="H7" s="87" t="s">
        <v>187</v>
      </c>
      <c r="I7" s="88"/>
      <c r="J7" s="88"/>
      <c r="K7" s="36" t="s">
        <v>63</v>
      </c>
      <c r="L7" s="89">
        <v>7</v>
      </c>
      <c r="M7" s="89"/>
      <c r="N7" s="90"/>
      <c r="O7" s="13" t="s">
        <v>187</v>
      </c>
      <c r="P7" s="13">
        <v>2</v>
      </c>
      <c r="Q7" s="110" t="str">
        <f>REPLACE(INDEX(GroupVertices[Group],MATCH(Edges[[#This Row],[Vertex 1]],GroupVertices[Vertex],0)),1,1,"")</f>
        <v>2</v>
      </c>
      <c r="R7" s="110" t="str">
        <f>REPLACE(INDEX(GroupVertices[Group],MATCH(Edges[[#This Row],[Vertex 2]],GroupVertices[Vertex],0)),1,1,"")</f>
        <v>2</v>
      </c>
    </row>
    <row r="8" spans="1:18" ht="30">
      <c r="A8" s="82" t="s">
        <v>170</v>
      </c>
      <c r="B8" s="82" t="s">
        <v>182</v>
      </c>
      <c r="C8" s="83" t="s">
        <v>258</v>
      </c>
      <c r="D8" s="84">
        <v>2</v>
      </c>
      <c r="E8" s="85"/>
      <c r="F8" s="86">
        <v>75</v>
      </c>
      <c r="G8" s="83"/>
      <c r="H8" s="87" t="s">
        <v>188</v>
      </c>
      <c r="I8" s="88"/>
      <c r="J8" s="88"/>
      <c r="K8" s="36" t="s">
        <v>63</v>
      </c>
      <c r="L8" s="89">
        <v>8</v>
      </c>
      <c r="M8" s="89"/>
      <c r="N8" s="90"/>
      <c r="O8" s="13" t="s">
        <v>188</v>
      </c>
      <c r="P8" s="13">
        <v>2</v>
      </c>
      <c r="Q8" s="110" t="str">
        <f>REPLACE(INDEX(GroupVertices[Group],MATCH(Edges[[#This Row],[Vertex 1]],GroupVertices[Vertex],0)),1,1,"")</f>
        <v>1</v>
      </c>
      <c r="R8" s="110" t="str">
        <f>REPLACE(INDEX(GroupVertices[Group],MATCH(Edges[[#This Row],[Vertex 2]],GroupVertices[Vertex],0)),1,1,"")</f>
        <v>1</v>
      </c>
    </row>
    <row r="9" spans="1:18" ht="30">
      <c r="A9" s="82" t="s">
        <v>178</v>
      </c>
      <c r="B9" s="82" t="s">
        <v>170</v>
      </c>
      <c r="C9" s="83" t="s">
        <v>259</v>
      </c>
      <c r="D9" s="84">
        <v>3</v>
      </c>
      <c r="E9" s="85"/>
      <c r="F9" s="86">
        <v>100</v>
      </c>
      <c r="G9" s="83"/>
      <c r="H9" s="87" t="s">
        <v>189</v>
      </c>
      <c r="I9" s="88"/>
      <c r="J9" s="88"/>
      <c r="K9" s="36" t="s">
        <v>63</v>
      </c>
      <c r="L9" s="89">
        <v>9</v>
      </c>
      <c r="M9" s="89"/>
      <c r="N9" s="90"/>
      <c r="O9" s="13" t="s">
        <v>189</v>
      </c>
      <c r="P9" s="13">
        <v>3</v>
      </c>
      <c r="Q9" s="110" t="str">
        <f>REPLACE(INDEX(GroupVertices[Group],MATCH(Edges[[#This Row],[Vertex 1]],GroupVertices[Vertex],0)),1,1,"")</f>
        <v>2</v>
      </c>
      <c r="R9" s="110" t="str">
        <f>REPLACE(INDEX(GroupVertices[Group],MATCH(Edges[[#This Row],[Vertex 2]],GroupVertices[Vertex],0)),1,1,"")</f>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ErrorMessage="1" sqref="N2:N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Color" prompt="To select an optional edge color, right-click and select Select Color on the right-click menu." sqref="C3:C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Opacity" prompt="Enter an optional edge opacity between 0 (transparent) and 100 (opaque)." errorTitle="Invalid Edge Opacity" error="The optional edge opacity must be a whole number between 0 and 10." sqref="F3:F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showErrorMessage="1" promptTitle="Vertex 1 Name" prompt="Enter the name of the edge's first vertex." sqref="A3:A9"/>
    <dataValidation allowBlank="1" showInputMessage="1" showErrorMessage="1" promptTitle="Vertex 2 Name" prompt="Enter the name of the edge's second vertex." sqref="B3:B9"/>
    <dataValidation allowBlank="1" showInputMessage="1" showErrorMessage="1" promptTitle="Edge Label" prompt="Enter an optional edge label." errorTitle="Invalid Edge Visibility" error="You have entered an unrecognized edge visibility.  Try selecting from the drop-down list instead." sqref="H3:H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9"/>
  <sheetViews>
    <sheetView workbookViewId="0" topLeftCell="A1">
      <pane xSplit="1" ySplit="2" topLeftCell="B3" activePane="bottomRight" state="frozen"/>
      <selection pane="topRight" activeCell="B1" sqref="B1"/>
      <selection pane="bottomLeft" activeCell="A3" sqref="A3"/>
      <selection pane="bottomRight" activeCell="A2" sqref="A2:AO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4.28125" style="2" customWidth="1"/>
    <col min="31" max="31" width="18.140625" style="3" bestFit="1" customWidth="1"/>
    <col min="32" max="32" width="21.421875" style="3" bestFit="1" customWidth="1"/>
    <col min="33" max="33" width="18.140625" style="3" bestFit="1" customWidth="1"/>
    <col min="34" max="34" width="21.421875" style="3" bestFit="1" customWidth="1"/>
    <col min="35" max="35" width="19.28125" style="0" bestFit="1" customWidth="1"/>
    <col min="36" max="36" width="21.421875" style="0" bestFit="1" customWidth="1"/>
    <col min="37" max="37" width="18.140625" style="0" bestFit="1" customWidth="1"/>
    <col min="38" max="40" width="21.421875" style="0" bestFit="1" customWidth="1"/>
    <col min="41" max="41" width="9.421875" style="0" bestFit="1" customWidth="1"/>
  </cols>
  <sheetData>
    <row r="1" spans="2:34" ht="15">
      <c r="B1" s="25" t="s">
        <v>37</v>
      </c>
      <c r="C1" s="18"/>
      <c r="D1" s="18"/>
      <c r="E1" s="18"/>
      <c r="F1" s="18"/>
      <c r="G1" s="18"/>
      <c r="H1" s="27" t="s">
        <v>41</v>
      </c>
      <c r="I1" s="26"/>
      <c r="J1" s="26"/>
      <c r="K1" s="26"/>
      <c r="L1" s="29" t="s">
        <v>42</v>
      </c>
      <c r="M1" s="28"/>
      <c r="N1" s="28"/>
      <c r="O1" s="28"/>
      <c r="P1" s="28"/>
      <c r="Q1" s="28"/>
      <c r="R1" s="24" t="s">
        <v>40</v>
      </c>
      <c r="S1" s="21"/>
      <c r="T1" s="22"/>
      <c r="U1" s="23"/>
      <c r="V1" s="21"/>
      <c r="W1" s="21"/>
      <c r="X1" s="21"/>
      <c r="Y1" s="21"/>
      <c r="Z1" s="21"/>
      <c r="AA1" s="30" t="s">
        <v>38</v>
      </c>
      <c r="AB1" s="20"/>
      <c r="AC1" s="31" t="s">
        <v>39</v>
      </c>
      <c r="AD1"/>
      <c r="AE1"/>
      <c r="AF1"/>
      <c r="AG1"/>
      <c r="AH1"/>
    </row>
    <row r="2" spans="1:42" ht="30" customHeight="1">
      <c r="A2" s="11" t="s">
        <v>5</v>
      </c>
      <c r="B2" s="8" t="s">
        <v>2</v>
      </c>
      <c r="C2" s="8" t="s">
        <v>8</v>
      </c>
      <c r="D2" s="9" t="s">
        <v>43</v>
      </c>
      <c r="E2" s="10" t="s">
        <v>4</v>
      </c>
      <c r="F2" s="8" t="s">
        <v>46</v>
      </c>
      <c r="G2" s="8" t="s">
        <v>11</v>
      </c>
      <c r="H2" s="8" t="s">
        <v>44</v>
      </c>
      <c r="I2" s="8" t="s">
        <v>45</v>
      </c>
      <c r="J2" s="8" t="s">
        <v>75</v>
      </c>
      <c r="K2" s="8" t="s">
        <v>10</v>
      </c>
      <c r="L2" s="8" t="s">
        <v>26</v>
      </c>
      <c r="M2" s="8" t="s">
        <v>15</v>
      </c>
      <c r="N2" s="8" t="s">
        <v>16</v>
      </c>
      <c r="O2" s="8" t="s">
        <v>13</v>
      </c>
      <c r="P2" s="8" t="s">
        <v>27</v>
      </c>
      <c r="Q2" s="8" t="s">
        <v>28</v>
      </c>
      <c r="R2" s="13" t="s">
        <v>29</v>
      </c>
      <c r="S2" s="13" t="s">
        <v>30</v>
      </c>
      <c r="T2" s="13" t="s">
        <v>31</v>
      </c>
      <c r="U2" s="13" t="s">
        <v>32</v>
      </c>
      <c r="V2" s="13" t="s">
        <v>33</v>
      </c>
      <c r="W2" s="13" t="s">
        <v>34</v>
      </c>
      <c r="X2" s="13" t="s">
        <v>134</v>
      </c>
      <c r="Y2" s="13" t="s">
        <v>35</v>
      </c>
      <c r="Z2" s="13" t="s">
        <v>167</v>
      </c>
      <c r="AA2" s="11" t="s">
        <v>12</v>
      </c>
      <c r="AB2" s="11" t="s">
        <v>36</v>
      </c>
      <c r="AC2" s="8" t="s">
        <v>25</v>
      </c>
      <c r="AD2" s="11" t="s">
        <v>192</v>
      </c>
      <c r="AE2" s="114" t="s">
        <v>220</v>
      </c>
      <c r="AF2" s="114" t="s">
        <v>221</v>
      </c>
      <c r="AG2" s="114" t="s">
        <v>222</v>
      </c>
      <c r="AH2" s="114" t="s">
        <v>223</v>
      </c>
      <c r="AI2" s="114" t="s">
        <v>224</v>
      </c>
      <c r="AJ2" s="114" t="s">
        <v>225</v>
      </c>
      <c r="AK2" s="114" t="s">
        <v>226</v>
      </c>
      <c r="AL2" s="114" t="s">
        <v>228</v>
      </c>
      <c r="AM2" s="114" t="s">
        <v>229</v>
      </c>
      <c r="AN2" s="114" t="s">
        <v>230</v>
      </c>
      <c r="AO2" s="13" t="s">
        <v>237</v>
      </c>
      <c r="AP2" s="3"/>
    </row>
    <row r="3" spans="1:42" ht="15" customHeight="1">
      <c r="A3" s="50" t="s">
        <v>169</v>
      </c>
      <c r="B3" s="53"/>
      <c r="C3" s="53"/>
      <c r="D3" s="54">
        <v>26</v>
      </c>
      <c r="E3" s="55">
        <v>100</v>
      </c>
      <c r="F3" s="53"/>
      <c r="G3" s="53"/>
      <c r="H3" s="57" t="s">
        <v>169</v>
      </c>
      <c r="I3" s="56"/>
      <c r="J3" s="56" t="s">
        <v>74</v>
      </c>
      <c r="K3" s="57" t="s">
        <v>253</v>
      </c>
      <c r="L3" s="59"/>
      <c r="M3" s="60">
        <v>2186.8515625</v>
      </c>
      <c r="N3" s="60">
        <v>4999.501953125</v>
      </c>
      <c r="O3" s="58"/>
      <c r="P3" s="61"/>
      <c r="Q3" s="61"/>
      <c r="R3" s="51"/>
      <c r="S3" s="51">
        <v>3</v>
      </c>
      <c r="T3" s="51">
        <v>2</v>
      </c>
      <c r="U3" s="52">
        <v>26</v>
      </c>
      <c r="V3" s="52">
        <v>0.125</v>
      </c>
      <c r="W3" s="52">
        <v>0.223079</v>
      </c>
      <c r="X3" s="52">
        <v>2.174946</v>
      </c>
      <c r="Y3" s="52">
        <v>0</v>
      </c>
      <c r="Z3" s="52">
        <v>0.25</v>
      </c>
      <c r="AA3" s="62">
        <v>3</v>
      </c>
      <c r="AB3" s="62"/>
      <c r="AC3" s="63"/>
      <c r="AD3" s="1"/>
      <c r="AE3" s="51"/>
      <c r="AF3" s="51"/>
      <c r="AG3" s="51"/>
      <c r="AH3" s="51"/>
      <c r="AI3" s="51"/>
      <c r="AJ3" s="51"/>
      <c r="AK3" s="115" t="s">
        <v>227</v>
      </c>
      <c r="AL3" s="115" t="s">
        <v>227</v>
      </c>
      <c r="AM3" s="115" t="s">
        <v>227</v>
      </c>
      <c r="AN3" s="115" t="s">
        <v>227</v>
      </c>
      <c r="AO3" s="112" t="str">
        <f>REPLACE(INDEX(GroupVertices[Group],MATCH(Vertices[[#This Row],[Vertex]],GroupVertices[Vertex],0)),1,1,"")</f>
        <v>1</v>
      </c>
      <c r="AP3" s="3"/>
    </row>
    <row r="4" spans="1:45" ht="30">
      <c r="A4" s="14" t="s">
        <v>171</v>
      </c>
      <c r="B4" s="15"/>
      <c r="C4" s="53"/>
      <c r="D4" s="91">
        <v>10.615384615384615</v>
      </c>
      <c r="E4" s="80">
        <v>66.66666666666667</v>
      </c>
      <c r="F4" s="15"/>
      <c r="G4" s="15"/>
      <c r="H4" s="16" t="s">
        <v>171</v>
      </c>
      <c r="I4" s="66"/>
      <c r="J4" s="56" t="s">
        <v>74</v>
      </c>
      <c r="K4" s="16" t="s">
        <v>254</v>
      </c>
      <c r="L4" s="92"/>
      <c r="M4" s="93">
        <v>5700.94287109375</v>
      </c>
      <c r="N4" s="93">
        <v>8695.20703125</v>
      </c>
      <c r="O4" s="76"/>
      <c r="P4" s="94"/>
      <c r="Q4" s="94"/>
      <c r="R4" s="95"/>
      <c r="S4" s="51">
        <v>1</v>
      </c>
      <c r="T4" s="51">
        <v>2</v>
      </c>
      <c r="U4" s="52">
        <v>10</v>
      </c>
      <c r="V4" s="52">
        <v>0.090909</v>
      </c>
      <c r="W4" s="52">
        <v>0.182968</v>
      </c>
      <c r="X4" s="52">
        <v>1.15798</v>
      </c>
      <c r="Y4" s="52">
        <v>0</v>
      </c>
      <c r="Z4" s="52">
        <v>0.5</v>
      </c>
      <c r="AA4" s="81">
        <v>4</v>
      </c>
      <c r="AB4" s="81"/>
      <c r="AC4" s="96"/>
      <c r="AD4" s="1"/>
      <c r="AE4" s="51"/>
      <c r="AF4" s="51"/>
      <c r="AG4" s="51"/>
      <c r="AH4" s="51"/>
      <c r="AI4" s="51"/>
      <c r="AJ4" s="51"/>
      <c r="AK4" s="115" t="s">
        <v>227</v>
      </c>
      <c r="AL4" s="115" t="s">
        <v>227</v>
      </c>
      <c r="AM4" s="115" t="s">
        <v>227</v>
      </c>
      <c r="AN4" s="115" t="s">
        <v>227</v>
      </c>
      <c r="AO4" s="112" t="str">
        <f>REPLACE(INDEX(GroupVertices[Group],MATCH(Vertices[[#This Row],[Vertex]],GroupVertices[Vertex],0)),1,1,"")</f>
        <v>3</v>
      </c>
      <c r="AP4" s="3"/>
      <c r="AQ4" s="3"/>
      <c r="AR4" s="3"/>
      <c r="AS4" s="3"/>
    </row>
    <row r="5" spans="1:45" ht="30">
      <c r="A5" s="14" t="s">
        <v>177</v>
      </c>
      <c r="B5" s="116"/>
      <c r="C5" s="53"/>
      <c r="D5" s="91">
        <v>10.615384615384615</v>
      </c>
      <c r="E5" s="80">
        <v>50</v>
      </c>
      <c r="F5" s="15"/>
      <c r="G5" s="15"/>
      <c r="H5" s="16" t="s">
        <v>177</v>
      </c>
      <c r="I5" s="66"/>
      <c r="J5" s="56" t="s">
        <v>74</v>
      </c>
      <c r="K5" s="16" t="s">
        <v>254</v>
      </c>
      <c r="L5" s="92"/>
      <c r="M5" s="93">
        <v>8513.591796875</v>
      </c>
      <c r="N5" s="93">
        <v>8695.20703125</v>
      </c>
      <c r="O5" s="76"/>
      <c r="P5" s="94"/>
      <c r="Q5" s="94"/>
      <c r="R5" s="95"/>
      <c r="S5" s="51">
        <v>0</v>
      </c>
      <c r="T5" s="51">
        <v>2</v>
      </c>
      <c r="U5" s="52">
        <v>10</v>
      </c>
      <c r="V5" s="52">
        <v>0.090909</v>
      </c>
      <c r="W5" s="52">
        <v>0.182968</v>
      </c>
      <c r="X5" s="52">
        <v>1.15798</v>
      </c>
      <c r="Y5" s="52">
        <v>0</v>
      </c>
      <c r="Z5" s="52">
        <v>0</v>
      </c>
      <c r="AA5" s="81">
        <v>5</v>
      </c>
      <c r="AB5" s="81"/>
      <c r="AC5" s="96"/>
      <c r="AD5" s="1"/>
      <c r="AE5" s="51"/>
      <c r="AF5" s="51"/>
      <c r="AG5" s="51"/>
      <c r="AH5" s="51"/>
      <c r="AI5" s="51"/>
      <c r="AJ5" s="51"/>
      <c r="AK5" s="115" t="s">
        <v>227</v>
      </c>
      <c r="AL5" s="115" t="s">
        <v>227</v>
      </c>
      <c r="AM5" s="115" t="s">
        <v>227</v>
      </c>
      <c r="AN5" s="115" t="s">
        <v>227</v>
      </c>
      <c r="AO5" s="112" t="str">
        <f>REPLACE(INDEX(GroupVertices[Group],MATCH(Vertices[[#This Row],[Vertex]],GroupVertices[Vertex],0)),1,1,"")</f>
        <v>2</v>
      </c>
      <c r="AP5" s="3"/>
      <c r="AQ5" s="3"/>
      <c r="AR5" s="3"/>
      <c r="AS5" s="3"/>
    </row>
    <row r="6" spans="1:45" ht="30">
      <c r="A6" s="14" t="s">
        <v>173</v>
      </c>
      <c r="B6" s="15"/>
      <c r="C6" s="53"/>
      <c r="D6" s="91">
        <v>1</v>
      </c>
      <c r="E6" s="80">
        <v>66.66666666666667</v>
      </c>
      <c r="F6" s="15"/>
      <c r="G6" s="15"/>
      <c r="H6" s="16" t="s">
        <v>173</v>
      </c>
      <c r="I6" s="66"/>
      <c r="J6" s="56" t="s">
        <v>74</v>
      </c>
      <c r="K6" s="16" t="s">
        <v>255</v>
      </c>
      <c r="L6" s="92"/>
      <c r="M6" s="93">
        <v>5700.94287109375</v>
      </c>
      <c r="N6" s="93">
        <v>1303.7918701171875</v>
      </c>
      <c r="O6" s="76"/>
      <c r="P6" s="94"/>
      <c r="Q6" s="94"/>
      <c r="R6" s="95"/>
      <c r="S6" s="51">
        <v>1</v>
      </c>
      <c r="T6" s="51">
        <v>0</v>
      </c>
      <c r="U6" s="52">
        <v>0</v>
      </c>
      <c r="V6" s="52">
        <v>0.0625</v>
      </c>
      <c r="W6" s="52">
        <v>0.062635</v>
      </c>
      <c r="X6" s="52">
        <v>0.642135</v>
      </c>
      <c r="Y6" s="52">
        <v>0</v>
      </c>
      <c r="Z6" s="52">
        <v>0</v>
      </c>
      <c r="AA6" s="81">
        <v>6</v>
      </c>
      <c r="AB6" s="81"/>
      <c r="AC6" s="96"/>
      <c r="AD6" s="1"/>
      <c r="AE6" s="51"/>
      <c r="AF6" s="51"/>
      <c r="AG6" s="51"/>
      <c r="AH6" s="51"/>
      <c r="AI6" s="51"/>
      <c r="AJ6" s="51"/>
      <c r="AK6" s="51"/>
      <c r="AL6" s="51"/>
      <c r="AM6" s="51"/>
      <c r="AN6" s="51"/>
      <c r="AO6" s="110" t="str">
        <f>REPLACE(INDEX(GroupVertices[Group],MATCH(Vertices[[#This Row],[Vertex]],GroupVertices[Vertex],0)),1,1,"")</f>
        <v>3</v>
      </c>
      <c r="AP6" s="3"/>
      <c r="AQ6" s="3"/>
      <c r="AR6" s="3"/>
      <c r="AS6" s="3"/>
    </row>
    <row r="7" spans="1:45" ht="30">
      <c r="A7" s="14" t="s">
        <v>179</v>
      </c>
      <c r="B7" s="133"/>
      <c r="C7" s="53"/>
      <c r="D7" s="134">
        <v>1</v>
      </c>
      <c r="E7" s="135">
        <v>66.66666666666667</v>
      </c>
      <c r="F7" s="133"/>
      <c r="G7" s="133"/>
      <c r="H7" s="136" t="s">
        <v>179</v>
      </c>
      <c r="I7" s="137"/>
      <c r="J7" s="56" t="s">
        <v>74</v>
      </c>
      <c r="K7" s="136" t="s">
        <v>255</v>
      </c>
      <c r="L7" s="138"/>
      <c r="M7" s="139">
        <v>8513.591796875</v>
      </c>
      <c r="N7" s="139">
        <v>1303.7918701171875</v>
      </c>
      <c r="O7" s="140"/>
      <c r="P7" s="141"/>
      <c r="Q7" s="141"/>
      <c r="R7" s="142"/>
      <c r="S7" s="51">
        <v>1</v>
      </c>
      <c r="T7" s="51">
        <v>0</v>
      </c>
      <c r="U7" s="52">
        <v>0</v>
      </c>
      <c r="V7" s="52">
        <v>0.0625</v>
      </c>
      <c r="W7" s="52">
        <v>0.062635</v>
      </c>
      <c r="X7" s="52">
        <v>0.642135</v>
      </c>
      <c r="Y7" s="52">
        <v>0</v>
      </c>
      <c r="Z7" s="52">
        <v>0</v>
      </c>
      <c r="AA7" s="143">
        <v>7</v>
      </c>
      <c r="AB7" s="143"/>
      <c r="AC7" s="96"/>
      <c r="AD7" s="1"/>
      <c r="AE7" s="51"/>
      <c r="AF7" s="51"/>
      <c r="AG7" s="51"/>
      <c r="AH7" s="51"/>
      <c r="AI7" s="51"/>
      <c r="AJ7" s="51"/>
      <c r="AK7" s="51"/>
      <c r="AL7" s="51"/>
      <c r="AM7" s="51"/>
      <c r="AN7" s="51"/>
      <c r="AO7" s="110" t="str">
        <f>REPLACE(INDEX(GroupVertices[Group],MATCH(Vertices[[#This Row],[Vertex]],GroupVertices[Vertex],0)),1,1,"")</f>
        <v>2</v>
      </c>
      <c r="AP7" s="3"/>
      <c r="AQ7" s="3"/>
      <c r="AR7" s="3"/>
      <c r="AS7" s="3"/>
    </row>
    <row r="8" spans="1:45" ht="30">
      <c r="A8" s="14" t="s">
        <v>175</v>
      </c>
      <c r="B8" s="15"/>
      <c r="C8" s="53"/>
      <c r="D8" s="91">
        <v>1</v>
      </c>
      <c r="E8" s="80">
        <v>50</v>
      </c>
      <c r="F8" s="15"/>
      <c r="G8" s="15"/>
      <c r="H8" s="16" t="s">
        <v>175</v>
      </c>
      <c r="I8" s="66"/>
      <c r="J8" s="56" t="s">
        <v>74</v>
      </c>
      <c r="K8" s="16" t="s">
        <v>256</v>
      </c>
      <c r="L8" s="92"/>
      <c r="M8" s="93">
        <v>2186.8515625</v>
      </c>
      <c r="N8" s="93">
        <v>9129.998046875</v>
      </c>
      <c r="O8" s="76"/>
      <c r="P8" s="94"/>
      <c r="Q8" s="94"/>
      <c r="R8" s="95"/>
      <c r="S8" s="51">
        <v>0</v>
      </c>
      <c r="T8" s="51">
        <v>1</v>
      </c>
      <c r="U8" s="52">
        <v>0</v>
      </c>
      <c r="V8" s="52">
        <v>0.076923</v>
      </c>
      <c r="W8" s="52">
        <v>0.142857</v>
      </c>
      <c r="X8" s="52">
        <v>0.612171</v>
      </c>
      <c r="Y8" s="52">
        <v>0</v>
      </c>
      <c r="Z8" s="52">
        <v>0</v>
      </c>
      <c r="AA8" s="81">
        <v>8</v>
      </c>
      <c r="AB8" s="81"/>
      <c r="AC8" s="96"/>
      <c r="AD8" s="1"/>
      <c r="AE8" s="51"/>
      <c r="AF8" s="51"/>
      <c r="AG8" s="51"/>
      <c r="AH8" s="51"/>
      <c r="AI8" s="51"/>
      <c r="AJ8" s="51"/>
      <c r="AK8" s="115" t="s">
        <v>227</v>
      </c>
      <c r="AL8" s="115" t="s">
        <v>227</v>
      </c>
      <c r="AM8" s="115" t="s">
        <v>227</v>
      </c>
      <c r="AN8" s="115" t="s">
        <v>227</v>
      </c>
      <c r="AO8" s="112" t="str">
        <f>REPLACE(INDEX(GroupVertices[Group],MATCH(Vertices[[#This Row],[Vertex]],GroupVertices[Vertex],0)),1,1,"")</f>
        <v>1</v>
      </c>
      <c r="AP8" s="3"/>
      <c r="AQ8" s="3"/>
      <c r="AR8" s="3"/>
      <c r="AS8" s="3"/>
    </row>
    <row r="9" spans="1:45" ht="30">
      <c r="A9" s="97" t="s">
        <v>181</v>
      </c>
      <c r="B9" s="98"/>
      <c r="C9" s="53"/>
      <c r="D9" s="99">
        <v>1</v>
      </c>
      <c r="E9" s="100">
        <v>66.66666666666667</v>
      </c>
      <c r="F9" s="98"/>
      <c r="G9" s="98"/>
      <c r="H9" s="101" t="s">
        <v>181</v>
      </c>
      <c r="I9" s="102"/>
      <c r="J9" s="56" t="s">
        <v>74</v>
      </c>
      <c r="K9" s="101" t="s">
        <v>256</v>
      </c>
      <c r="L9" s="103"/>
      <c r="M9" s="104">
        <v>2186.8515625</v>
      </c>
      <c r="N9" s="104">
        <v>869.0059814453125</v>
      </c>
      <c r="O9" s="105"/>
      <c r="P9" s="106"/>
      <c r="Q9" s="106"/>
      <c r="R9" s="107"/>
      <c r="S9" s="51">
        <v>1</v>
      </c>
      <c r="T9" s="51">
        <v>0</v>
      </c>
      <c r="U9" s="52">
        <v>0</v>
      </c>
      <c r="V9" s="52">
        <v>0.076923</v>
      </c>
      <c r="W9" s="52">
        <v>0.142857</v>
      </c>
      <c r="X9" s="52">
        <v>0.612171</v>
      </c>
      <c r="Y9" s="52">
        <v>0</v>
      </c>
      <c r="Z9" s="52">
        <v>0</v>
      </c>
      <c r="AA9" s="108">
        <v>9</v>
      </c>
      <c r="AB9" s="108"/>
      <c r="AC9" s="109"/>
      <c r="AD9" s="1"/>
      <c r="AE9" s="51"/>
      <c r="AF9" s="51"/>
      <c r="AG9" s="51"/>
      <c r="AH9" s="51"/>
      <c r="AI9" s="51"/>
      <c r="AJ9" s="51"/>
      <c r="AK9" s="51"/>
      <c r="AL9" s="51"/>
      <c r="AM9" s="51"/>
      <c r="AN9" s="51"/>
      <c r="AO9" s="110" t="str">
        <f>REPLACE(INDEX(GroupVertices[Group],MATCH(Vertices[[#This Row],[Vertex]],GroupVertices[Vertex],0)),1,1,"")</f>
        <v>1</v>
      </c>
      <c r="AP9" s="3"/>
      <c r="AQ9" s="3"/>
      <c r="AR9" s="3"/>
      <c r="AS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AD3"/>
    <dataValidation allowBlank="1" showErrorMessage="1" sqref="AD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47</v>
      </c>
    </row>
    <row r="2" ht="15" customHeight="1"/>
    <row r="3" ht="15" customHeight="1">
      <c r="A3" s="32" t="s">
        <v>48</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5"/>
  <sheetViews>
    <sheetView tabSelected="1" workbookViewId="0" topLeftCell="A1">
      <pane ySplit="2" topLeftCell="A3" activePane="bottomLeft" state="frozen"/>
      <selection pane="bottomLeft" activeCell="N15" sqref="N15"/>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6" width="14.7109375" style="0" hidden="1" customWidth="1"/>
    <col min="27" max="27" width="15.8515625" style="0" hidden="1" customWidth="1"/>
    <col min="28" max="28" width="12.421875" style="0" hidden="1" customWidth="1"/>
    <col min="29" max="29" width="18.140625" style="0" hidden="1" customWidth="1"/>
    <col min="30" max="30" width="15.8515625" style="0" hidden="1" customWidth="1"/>
    <col min="31" max="31" width="17.00390625" style="0" hidden="1" customWidth="1"/>
    <col min="32" max="32" width="11.421875" style="0" hidden="1" customWidth="1"/>
  </cols>
  <sheetData>
    <row r="1" spans="2:24" ht="15">
      <c r="B1" s="67" t="s">
        <v>37</v>
      </c>
      <c r="C1" s="68"/>
      <c r="D1" s="68"/>
      <c r="E1" s="69"/>
      <c r="F1" s="66" t="s">
        <v>41</v>
      </c>
      <c r="G1" s="70" t="s">
        <v>42</v>
      </c>
      <c r="H1" s="71"/>
      <c r="I1" s="72" t="s">
        <v>38</v>
      </c>
      <c r="J1" s="73"/>
      <c r="K1" s="74" t="s">
        <v>40</v>
      </c>
      <c r="L1" s="75"/>
      <c r="M1" s="75"/>
      <c r="N1" s="75"/>
      <c r="O1" s="75"/>
      <c r="P1" s="75"/>
      <c r="Q1" s="75"/>
      <c r="R1" s="75"/>
      <c r="S1" s="75"/>
      <c r="T1" s="75"/>
      <c r="U1" s="75"/>
      <c r="V1" s="75"/>
      <c r="W1" s="75"/>
      <c r="X1" s="75"/>
    </row>
    <row r="2" spans="1:32" s="13" customFormat="1" ht="30" customHeight="1">
      <c r="A2" s="11" t="s">
        <v>141</v>
      </c>
      <c r="B2" s="13" t="s">
        <v>20</v>
      </c>
      <c r="C2" s="13" t="s">
        <v>19</v>
      </c>
      <c r="D2" s="13" t="s">
        <v>11</v>
      </c>
      <c r="E2" s="13" t="s">
        <v>142</v>
      </c>
      <c r="F2" s="13" t="s">
        <v>44</v>
      </c>
      <c r="G2" s="13" t="s">
        <v>164</v>
      </c>
      <c r="H2" s="13" t="s">
        <v>165</v>
      </c>
      <c r="I2" s="13" t="s">
        <v>12</v>
      </c>
      <c r="J2" s="13" t="s">
        <v>163</v>
      </c>
      <c r="K2" s="13" t="s">
        <v>143</v>
      </c>
      <c r="L2" s="13" t="s">
        <v>145</v>
      </c>
      <c r="M2" s="13" t="s">
        <v>146</v>
      </c>
      <c r="N2" s="13" t="s">
        <v>147</v>
      </c>
      <c r="O2" s="13" t="s">
        <v>148</v>
      </c>
      <c r="P2" s="13" t="s">
        <v>167</v>
      </c>
      <c r="Q2" s="13" t="s">
        <v>168</v>
      </c>
      <c r="R2" s="13" t="s">
        <v>149</v>
      </c>
      <c r="S2" s="13" t="s">
        <v>150</v>
      </c>
      <c r="T2" s="13" t="s">
        <v>151</v>
      </c>
      <c r="U2" s="13" t="s">
        <v>152</v>
      </c>
      <c r="V2" s="13" t="s">
        <v>153</v>
      </c>
      <c r="W2" s="13" t="s">
        <v>154</v>
      </c>
      <c r="X2" s="13" t="s">
        <v>155</v>
      </c>
      <c r="Y2" s="13" t="s">
        <v>200</v>
      </c>
      <c r="Z2" s="13" t="s">
        <v>202</v>
      </c>
      <c r="AA2" s="13" t="s">
        <v>204</v>
      </c>
      <c r="AB2" s="13" t="s">
        <v>211</v>
      </c>
      <c r="AC2" s="13" t="s">
        <v>213</v>
      </c>
      <c r="AD2" s="13" t="s">
        <v>216</v>
      </c>
      <c r="AE2" s="13" t="s">
        <v>217</v>
      </c>
      <c r="AF2" s="13" t="s">
        <v>219</v>
      </c>
    </row>
    <row r="3" spans="1:32" ht="15">
      <c r="A3" s="130" t="s">
        <v>231</v>
      </c>
      <c r="B3" s="131" t="s">
        <v>234</v>
      </c>
      <c r="C3" s="131" t="s">
        <v>54</v>
      </c>
      <c r="D3" s="118"/>
      <c r="E3" s="117"/>
      <c r="F3" s="119" t="s">
        <v>250</v>
      </c>
      <c r="G3" s="120"/>
      <c r="H3" s="120"/>
      <c r="I3" s="121">
        <v>3</v>
      </c>
      <c r="J3" s="122"/>
      <c r="K3" s="123"/>
      <c r="L3" s="123"/>
      <c r="M3" s="123"/>
      <c r="N3" s="123"/>
      <c r="O3" s="123"/>
      <c r="P3" s="123"/>
      <c r="Q3" s="123"/>
      <c r="R3" s="123"/>
      <c r="S3" s="123"/>
      <c r="T3" s="123"/>
      <c r="U3" s="123"/>
      <c r="V3" s="123"/>
      <c r="W3" s="124"/>
      <c r="X3" s="124"/>
      <c r="Y3" s="125"/>
      <c r="Z3" s="125"/>
      <c r="AA3" s="125"/>
      <c r="AB3" s="125"/>
      <c r="AC3" s="125"/>
      <c r="AD3" s="125"/>
      <c r="AE3" s="125"/>
      <c r="AF3" s="125"/>
    </row>
    <row r="4" spans="1:32" ht="15">
      <c r="A4" s="132" t="s">
        <v>232</v>
      </c>
      <c r="B4" s="131" t="s">
        <v>235</v>
      </c>
      <c r="C4" s="131" t="s">
        <v>54</v>
      </c>
      <c r="D4" s="126"/>
      <c r="E4" s="98"/>
      <c r="F4" s="101" t="s">
        <v>252</v>
      </c>
      <c r="G4" s="105"/>
      <c r="H4" s="105"/>
      <c r="I4" s="127">
        <v>4</v>
      </c>
      <c r="J4" s="108"/>
      <c r="K4" s="128"/>
      <c r="L4" s="128"/>
      <c r="M4" s="128"/>
      <c r="N4" s="128"/>
      <c r="O4" s="128"/>
      <c r="P4" s="128"/>
      <c r="Q4" s="128"/>
      <c r="R4" s="128"/>
      <c r="S4" s="128"/>
      <c r="T4" s="128"/>
      <c r="U4" s="128"/>
      <c r="V4" s="128"/>
      <c r="W4" s="129"/>
      <c r="X4" s="129"/>
      <c r="Y4" s="125"/>
      <c r="Z4" s="125"/>
      <c r="AA4" s="125"/>
      <c r="AB4" s="125"/>
      <c r="AC4" s="125"/>
      <c r="AD4" s="125"/>
      <c r="AE4" s="125"/>
      <c r="AF4" s="125"/>
    </row>
    <row r="5" spans="1:32" ht="15">
      <c r="A5" s="132" t="s">
        <v>233</v>
      </c>
      <c r="B5" s="131" t="s">
        <v>236</v>
      </c>
      <c r="C5" s="131" t="s">
        <v>54</v>
      </c>
      <c r="D5" s="126"/>
      <c r="E5" s="98"/>
      <c r="F5" s="101" t="s">
        <v>251</v>
      </c>
      <c r="G5" s="105"/>
      <c r="H5" s="105"/>
      <c r="I5" s="127">
        <v>5</v>
      </c>
      <c r="J5" s="108"/>
      <c r="K5" s="128"/>
      <c r="L5" s="128"/>
      <c r="M5" s="128"/>
      <c r="N5" s="128"/>
      <c r="O5" s="128"/>
      <c r="P5" s="128"/>
      <c r="Q5" s="128"/>
      <c r="R5" s="128"/>
      <c r="S5" s="128"/>
      <c r="T5" s="128"/>
      <c r="U5" s="128"/>
      <c r="V5" s="128"/>
      <c r="W5" s="129"/>
      <c r="X5" s="129"/>
      <c r="Y5" s="125"/>
      <c r="Z5" s="125"/>
      <c r="AA5" s="125"/>
      <c r="AB5" s="125"/>
      <c r="AC5" s="125"/>
      <c r="AD5" s="125"/>
      <c r="AE5" s="125"/>
      <c r="AF5" s="125"/>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D25" sqref="D25"/>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3.5" customHeight="1">
      <c r="A1" s="11" t="s">
        <v>141</v>
      </c>
      <c r="B1" s="11" t="s">
        <v>5</v>
      </c>
      <c r="C1" s="11" t="s">
        <v>144</v>
      </c>
    </row>
    <row r="2" spans="1:3" ht="15">
      <c r="A2" s="110" t="s">
        <v>231</v>
      </c>
      <c r="B2" s="112" t="s">
        <v>169</v>
      </c>
      <c r="C2" s="110">
        <f>VLOOKUP(GroupVertices[[#This Row],[Vertex]],Vertices[],MATCH("ID",Vertices[[#Headers],[Vertex]:[Vertex Group]],0),FALSE)</f>
        <v>3</v>
      </c>
    </row>
    <row r="3" spans="1:3" ht="15">
      <c r="A3" s="110" t="s">
        <v>231</v>
      </c>
      <c r="B3" s="112" t="s">
        <v>181</v>
      </c>
      <c r="C3" s="110">
        <f>VLOOKUP(GroupVertices[[#This Row],[Vertex]],Vertices[],MATCH("ID",Vertices[[#Headers],[Vertex]:[Vertex Group]],0),FALSE)</f>
        <v>9</v>
      </c>
    </row>
    <row r="4" spans="1:3" ht="15">
      <c r="A4" s="110" t="s">
        <v>231</v>
      </c>
      <c r="B4" s="112" t="s">
        <v>175</v>
      </c>
      <c r="C4" s="110">
        <f>VLOOKUP(GroupVertices[[#This Row],[Vertex]],Vertices[],MATCH("ID",Vertices[[#Headers],[Vertex]:[Vertex Group]],0),FALSE)</f>
        <v>8</v>
      </c>
    </row>
    <row r="5" spans="1:3" ht="15">
      <c r="A5" s="110" t="s">
        <v>232</v>
      </c>
      <c r="B5" s="112" t="s">
        <v>177</v>
      </c>
      <c r="C5" s="110">
        <f>VLOOKUP(GroupVertices[[#This Row],[Vertex]],Vertices[],MATCH("ID",Vertices[[#Headers],[Vertex]:[Vertex Group]],0),FALSE)</f>
        <v>5</v>
      </c>
    </row>
    <row r="6" spans="1:3" ht="15">
      <c r="A6" s="110" t="s">
        <v>232</v>
      </c>
      <c r="B6" s="112" t="s">
        <v>179</v>
      </c>
      <c r="C6" s="110">
        <f>VLOOKUP(GroupVertices[[#This Row],[Vertex]],Vertices[],MATCH("ID",Vertices[[#Headers],[Vertex]:[Vertex Group]],0),FALSE)</f>
        <v>7</v>
      </c>
    </row>
    <row r="7" spans="1:3" ht="15">
      <c r="A7" s="110" t="s">
        <v>233</v>
      </c>
      <c r="B7" s="112" t="s">
        <v>171</v>
      </c>
      <c r="C7" s="110">
        <f>VLOOKUP(GroupVertices[[#This Row],[Vertex]],Vertices[],MATCH("ID",Vertices[[#Headers],[Vertex]:[Vertex Group]],0),FALSE)</f>
        <v>4</v>
      </c>
    </row>
    <row r="8" spans="1:3" ht="15">
      <c r="A8" s="110" t="s">
        <v>233</v>
      </c>
      <c r="B8" s="112" t="s">
        <v>173</v>
      </c>
      <c r="C8" s="110">
        <f>VLOOKUP(GroupVertices[[#This Row],[Vertex]],Vertices[],MATCH("ID",Vertices[[#Headers],[Vertex]:[Vertex Group]],0),FALSE)</f>
        <v>6</v>
      </c>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36">
      <selection activeCell="AB165" sqref="AB165"/>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159</v>
      </c>
      <c r="B1" s="13" t="s">
        <v>17</v>
      </c>
      <c r="D1" t="s">
        <v>76</v>
      </c>
      <c r="E1" t="s">
        <v>77</v>
      </c>
      <c r="F1" s="37" t="s">
        <v>83</v>
      </c>
      <c r="G1" s="38" t="s">
        <v>84</v>
      </c>
      <c r="H1" s="37" t="s">
        <v>89</v>
      </c>
      <c r="I1" s="38" t="s">
        <v>90</v>
      </c>
      <c r="J1" s="37" t="s">
        <v>95</v>
      </c>
      <c r="K1" s="38" t="s">
        <v>96</v>
      </c>
      <c r="L1" s="37" t="s">
        <v>101</v>
      </c>
      <c r="M1" s="38" t="s">
        <v>102</v>
      </c>
      <c r="N1" s="37" t="s">
        <v>107</v>
      </c>
      <c r="O1" s="38" t="s">
        <v>108</v>
      </c>
      <c r="P1" s="38" t="s">
        <v>135</v>
      </c>
      <c r="Q1" s="38" t="s">
        <v>136</v>
      </c>
      <c r="R1" s="37" t="s">
        <v>113</v>
      </c>
      <c r="S1" s="37" t="s">
        <v>114</v>
      </c>
      <c r="T1" s="37" t="s">
        <v>119</v>
      </c>
      <c r="U1" s="38" t="s">
        <v>120</v>
      </c>
      <c r="W1" t="s">
        <v>124</v>
      </c>
      <c r="X1" t="s">
        <v>17</v>
      </c>
    </row>
    <row r="2" spans="1:24" ht="15.75" thickTop="1">
      <c r="A2" s="36" t="s">
        <v>193</v>
      </c>
      <c r="B2" s="36" t="s">
        <v>183</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4</v>
      </c>
      <c r="L2" s="39">
        <f>MIN(Vertices[Closeness Centrality])</f>
        <v>0.0625</v>
      </c>
      <c r="M2" s="40">
        <f>COUNTIF(Vertices[Closeness Centrality],"&gt;= "&amp;L2)-COUNTIF(Vertices[Closeness Centrality],"&gt;="&amp;L3)</f>
        <v>2</v>
      </c>
      <c r="N2" s="39">
        <f>MIN(Vertices[Eigenvector Centrality])</f>
        <v>0.062635</v>
      </c>
      <c r="O2" s="40">
        <f>COUNTIF(Vertices[Eigenvector Centrality],"&gt;= "&amp;N2)-COUNTIF(Vertices[Eigenvector Centrality],"&gt;="&amp;N3)</f>
        <v>2</v>
      </c>
      <c r="P2" s="39">
        <f>MIN(Vertices[PageRank])</f>
        <v>0.612171</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121</v>
      </c>
      <c r="X2">
        <f>ROWS(HistogramBins[Degree Bin])-1</f>
        <v>55</v>
      </c>
    </row>
    <row r="3" spans="1:24" ht="15">
      <c r="A3" s="111"/>
      <c r="B3" s="111"/>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0.4727272727272727</v>
      </c>
      <c r="K3" s="42">
        <f>COUNTIF(Vertices[Betweenness Centrality],"&gt;= "&amp;J3)-COUNTIF(Vertices[Betweenness Centrality],"&gt;="&amp;J4)</f>
        <v>0</v>
      </c>
      <c r="L3" s="41">
        <f aca="true" t="shared" si="5" ref="L3:L26">L2+($L$57-$L$2)/BinDivisor</f>
        <v>0.06363636363636363</v>
      </c>
      <c r="M3" s="42">
        <f>COUNTIF(Vertices[Closeness Centrality],"&gt;= "&amp;L3)-COUNTIF(Vertices[Closeness Centrality],"&gt;="&amp;L4)</f>
        <v>0</v>
      </c>
      <c r="N3" s="41">
        <f aca="true" t="shared" si="6" ref="N3:N26">N2+($N$57-$N$2)/BinDivisor</f>
        <v>0.06555216363636364</v>
      </c>
      <c r="O3" s="42">
        <f>COUNTIF(Vertices[Eigenvector Centrality],"&gt;= "&amp;N3)-COUNTIF(Vertices[Eigenvector Centrality],"&gt;="&amp;N4)</f>
        <v>0</v>
      </c>
      <c r="P3" s="41">
        <f aca="true" t="shared" si="7" ref="P3:P26">P2+($P$57-$P$2)/BinDivisor</f>
        <v>0.6405850909090909</v>
      </c>
      <c r="Q3" s="42">
        <f>COUNTIF(Vertices[PageRank],"&gt;= "&amp;P3)-COUNTIF(Vertices[PageRank],"&gt;="&amp;P4)</f>
        <v>2</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122</v>
      </c>
      <c r="X3" t="s">
        <v>82</v>
      </c>
    </row>
    <row r="4" spans="1:24" ht="15">
      <c r="A4" s="36" t="s">
        <v>143</v>
      </c>
      <c r="B4" s="36">
        <v>7</v>
      </c>
      <c r="D4" s="34">
        <f t="shared" si="1"/>
        <v>0</v>
      </c>
      <c r="E4" s="3">
        <f>COUNTIF(Vertices[Degree],"&gt;= "&amp;D4)-COUNTIF(Vertices[Degree],"&gt;="&amp;D5)</f>
        <v>0</v>
      </c>
      <c r="F4" s="39">
        <f t="shared" si="2"/>
        <v>0.10909090909090909</v>
      </c>
      <c r="G4" s="40">
        <f>COUNTIF(Vertices[In-Degree],"&gt;= "&amp;F4)-COUNTIF(Vertices[In-Degree],"&gt;="&amp;F5)</f>
        <v>0</v>
      </c>
      <c r="H4" s="39">
        <f t="shared" si="3"/>
        <v>0.07272727272727272</v>
      </c>
      <c r="I4" s="40">
        <f>COUNTIF(Vertices[Out-Degree],"&gt;= "&amp;H4)-COUNTIF(Vertices[Out-Degree],"&gt;="&amp;H5)</f>
        <v>0</v>
      </c>
      <c r="J4" s="39">
        <f t="shared" si="4"/>
        <v>0.9454545454545454</v>
      </c>
      <c r="K4" s="40">
        <f>COUNTIF(Vertices[Betweenness Centrality],"&gt;= "&amp;J4)-COUNTIF(Vertices[Betweenness Centrality],"&gt;="&amp;J5)</f>
        <v>0</v>
      </c>
      <c r="L4" s="39">
        <f t="shared" si="5"/>
        <v>0.06477272727272726</v>
      </c>
      <c r="M4" s="40">
        <f>COUNTIF(Vertices[Closeness Centrality],"&gt;= "&amp;L4)-COUNTIF(Vertices[Closeness Centrality],"&gt;="&amp;L5)</f>
        <v>0</v>
      </c>
      <c r="N4" s="39">
        <f t="shared" si="6"/>
        <v>0.06846932727272728</v>
      </c>
      <c r="O4" s="40">
        <f>COUNTIF(Vertices[Eigenvector Centrality],"&gt;= "&amp;N4)-COUNTIF(Vertices[Eigenvector Centrality],"&gt;="&amp;N5)</f>
        <v>0</v>
      </c>
      <c r="P4" s="39">
        <f t="shared" si="7"/>
        <v>0.6689991818181817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123</v>
      </c>
      <c r="X4" s="12" t="s">
        <v>125</v>
      </c>
    </row>
    <row r="5" spans="1:21" ht="15">
      <c r="A5" s="111"/>
      <c r="B5" s="111"/>
      <c r="D5" s="34">
        <f t="shared" si="1"/>
        <v>0</v>
      </c>
      <c r="E5" s="3">
        <f>COUNTIF(Vertices[Degree],"&gt;= "&amp;D5)-COUNTIF(Vertices[Degree],"&gt;="&amp;D6)</f>
        <v>0</v>
      </c>
      <c r="F5" s="41">
        <f t="shared" si="2"/>
        <v>0.16363636363636364</v>
      </c>
      <c r="G5" s="42">
        <f>COUNTIF(Vertices[In-Degree],"&gt;= "&amp;F5)-COUNTIF(Vertices[In-Degree],"&gt;="&amp;F6)</f>
        <v>0</v>
      </c>
      <c r="H5" s="41">
        <f t="shared" si="3"/>
        <v>0.10909090909090909</v>
      </c>
      <c r="I5" s="42">
        <f>COUNTIF(Vertices[Out-Degree],"&gt;= "&amp;H5)-COUNTIF(Vertices[Out-Degree],"&gt;="&amp;H6)</f>
        <v>0</v>
      </c>
      <c r="J5" s="41">
        <f t="shared" si="4"/>
        <v>1.4181818181818182</v>
      </c>
      <c r="K5" s="42">
        <f>COUNTIF(Vertices[Betweenness Centrality],"&gt;= "&amp;J5)-COUNTIF(Vertices[Betweenness Centrality],"&gt;="&amp;J6)</f>
        <v>0</v>
      </c>
      <c r="L5" s="41">
        <f t="shared" si="5"/>
        <v>0.06590909090909089</v>
      </c>
      <c r="M5" s="42">
        <f>COUNTIF(Vertices[Closeness Centrality],"&gt;= "&amp;L5)-COUNTIF(Vertices[Closeness Centrality],"&gt;="&amp;L6)</f>
        <v>0</v>
      </c>
      <c r="N5" s="41">
        <f t="shared" si="6"/>
        <v>0.07138649090909092</v>
      </c>
      <c r="O5" s="42">
        <f>COUNTIF(Vertices[Eigenvector Centrality],"&gt;= "&amp;N5)-COUNTIF(Vertices[Eigenvector Centrality],"&gt;="&amp;N6)</f>
        <v>0</v>
      </c>
      <c r="P5" s="41">
        <f t="shared" si="7"/>
        <v>0.6974132727272726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145</v>
      </c>
      <c r="B6" s="36">
        <v>7</v>
      </c>
      <c r="D6" s="34">
        <f t="shared" si="1"/>
        <v>0</v>
      </c>
      <c r="E6" s="3">
        <f>COUNTIF(Vertices[Degree],"&gt;= "&amp;D6)-COUNTIF(Vertices[Degree],"&gt;="&amp;D7)</f>
        <v>0</v>
      </c>
      <c r="F6" s="39">
        <f t="shared" si="2"/>
        <v>0.21818181818181817</v>
      </c>
      <c r="G6" s="40">
        <f>COUNTIF(Vertices[In-Degree],"&gt;= "&amp;F6)-COUNTIF(Vertices[In-Degree],"&gt;="&amp;F7)</f>
        <v>0</v>
      </c>
      <c r="H6" s="39">
        <f t="shared" si="3"/>
        <v>0.14545454545454545</v>
      </c>
      <c r="I6" s="40">
        <f>COUNTIF(Vertices[Out-Degree],"&gt;= "&amp;H6)-COUNTIF(Vertices[Out-Degree],"&gt;="&amp;H7)</f>
        <v>0</v>
      </c>
      <c r="J6" s="39">
        <f t="shared" si="4"/>
        <v>1.8909090909090909</v>
      </c>
      <c r="K6" s="40">
        <f>COUNTIF(Vertices[Betweenness Centrality],"&gt;= "&amp;J6)-COUNTIF(Vertices[Betweenness Centrality],"&gt;="&amp;J7)</f>
        <v>0</v>
      </c>
      <c r="L6" s="39">
        <f t="shared" si="5"/>
        <v>0.06704545454545452</v>
      </c>
      <c r="M6" s="40">
        <f>COUNTIF(Vertices[Closeness Centrality],"&gt;= "&amp;L6)-COUNTIF(Vertices[Closeness Centrality],"&gt;="&amp;L7)</f>
        <v>0</v>
      </c>
      <c r="N6" s="39">
        <f t="shared" si="6"/>
        <v>0.07430365454545457</v>
      </c>
      <c r="O6" s="40">
        <f>COUNTIF(Vertices[Eigenvector Centrality],"&gt;= "&amp;N6)-COUNTIF(Vertices[Eigenvector Centrality],"&gt;="&amp;N7)</f>
        <v>0</v>
      </c>
      <c r="P6" s="39">
        <f t="shared" si="7"/>
        <v>0.7258273636363635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146</v>
      </c>
      <c r="B7" s="36">
        <v>0</v>
      </c>
      <c r="D7" s="34">
        <f t="shared" si="1"/>
        <v>0</v>
      </c>
      <c r="E7" s="3">
        <f>COUNTIF(Vertices[Degree],"&gt;= "&amp;D7)-COUNTIF(Vertices[Degree],"&gt;="&amp;D8)</f>
        <v>0</v>
      </c>
      <c r="F7" s="41">
        <f t="shared" si="2"/>
        <v>0.2727272727272727</v>
      </c>
      <c r="G7" s="42">
        <f>COUNTIF(Vertices[In-Degree],"&gt;= "&amp;F7)-COUNTIF(Vertices[In-Degree],"&gt;="&amp;F8)</f>
        <v>0</v>
      </c>
      <c r="H7" s="41">
        <f t="shared" si="3"/>
        <v>0.18181818181818182</v>
      </c>
      <c r="I7" s="42">
        <f>COUNTIF(Vertices[Out-Degree],"&gt;= "&amp;H7)-COUNTIF(Vertices[Out-Degree],"&gt;="&amp;H8)</f>
        <v>0</v>
      </c>
      <c r="J7" s="41">
        <f t="shared" si="4"/>
        <v>2.3636363636363638</v>
      </c>
      <c r="K7" s="42">
        <f>COUNTIF(Vertices[Betweenness Centrality],"&gt;= "&amp;J7)-COUNTIF(Vertices[Betweenness Centrality],"&gt;="&amp;J8)</f>
        <v>0</v>
      </c>
      <c r="L7" s="41">
        <f t="shared" si="5"/>
        <v>0.06818181818181815</v>
      </c>
      <c r="M7" s="42">
        <f>COUNTIF(Vertices[Closeness Centrality],"&gt;= "&amp;L7)-COUNTIF(Vertices[Closeness Centrality],"&gt;="&amp;L8)</f>
        <v>0</v>
      </c>
      <c r="N7" s="41">
        <f t="shared" si="6"/>
        <v>0.07722081818181821</v>
      </c>
      <c r="O7" s="42">
        <f>COUNTIF(Vertices[Eigenvector Centrality],"&gt;= "&amp;N7)-COUNTIF(Vertices[Eigenvector Centrality],"&gt;="&amp;N8)</f>
        <v>0</v>
      </c>
      <c r="P7" s="41">
        <f t="shared" si="7"/>
        <v>0.7542414545454543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147</v>
      </c>
      <c r="B8" s="36">
        <v>7</v>
      </c>
      <c r="D8" s="34">
        <f t="shared" si="1"/>
        <v>0</v>
      </c>
      <c r="E8" s="3">
        <f>COUNTIF(Vertices[Degree],"&gt;= "&amp;D8)-COUNTIF(Vertices[Degree],"&gt;="&amp;D9)</f>
        <v>0</v>
      </c>
      <c r="F8" s="39">
        <f t="shared" si="2"/>
        <v>0.32727272727272727</v>
      </c>
      <c r="G8" s="40">
        <f>COUNTIF(Vertices[In-Degree],"&gt;= "&amp;F8)-COUNTIF(Vertices[In-Degree],"&gt;="&amp;F9)</f>
        <v>0</v>
      </c>
      <c r="H8" s="39">
        <f t="shared" si="3"/>
        <v>0.2181818181818182</v>
      </c>
      <c r="I8" s="40">
        <f>COUNTIF(Vertices[Out-Degree],"&gt;= "&amp;H8)-COUNTIF(Vertices[Out-Degree],"&gt;="&amp;H9)</f>
        <v>0</v>
      </c>
      <c r="J8" s="39">
        <f t="shared" si="4"/>
        <v>2.8363636363636364</v>
      </c>
      <c r="K8" s="40">
        <f>COUNTIF(Vertices[Betweenness Centrality],"&gt;= "&amp;J8)-COUNTIF(Vertices[Betweenness Centrality],"&gt;="&amp;J9)</f>
        <v>0</v>
      </c>
      <c r="L8" s="39">
        <f t="shared" si="5"/>
        <v>0.06931818181818178</v>
      </c>
      <c r="M8" s="40">
        <f>COUNTIF(Vertices[Closeness Centrality],"&gt;= "&amp;L8)-COUNTIF(Vertices[Closeness Centrality],"&gt;="&amp;L9)</f>
        <v>0</v>
      </c>
      <c r="N8" s="39">
        <f t="shared" si="6"/>
        <v>0.08013798181818185</v>
      </c>
      <c r="O8" s="40">
        <f>COUNTIF(Vertices[Eigenvector Centrality],"&gt;= "&amp;N8)-COUNTIF(Vertices[Eigenvector Centrality],"&gt;="&amp;N9)</f>
        <v>0</v>
      </c>
      <c r="P8" s="39">
        <f t="shared" si="7"/>
        <v>0.7826555454545452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11"/>
      <c r="B9" s="111"/>
      <c r="D9" s="34">
        <f t="shared" si="1"/>
        <v>0</v>
      </c>
      <c r="E9" s="3">
        <f>COUNTIF(Vertices[Degree],"&gt;= "&amp;D9)-COUNTIF(Vertices[Degree],"&gt;="&amp;D10)</f>
        <v>0</v>
      </c>
      <c r="F9" s="41">
        <f t="shared" si="2"/>
        <v>0.38181818181818183</v>
      </c>
      <c r="G9" s="42">
        <f>COUNTIF(Vertices[In-Degree],"&gt;= "&amp;F9)-COUNTIF(Vertices[In-Degree],"&gt;="&amp;F10)</f>
        <v>0</v>
      </c>
      <c r="H9" s="41">
        <f t="shared" si="3"/>
        <v>0.2545454545454546</v>
      </c>
      <c r="I9" s="42">
        <f>COUNTIF(Vertices[Out-Degree],"&gt;= "&amp;H9)-COUNTIF(Vertices[Out-Degree],"&gt;="&amp;H10)</f>
        <v>0</v>
      </c>
      <c r="J9" s="41">
        <f t="shared" si="4"/>
        <v>3.309090909090909</v>
      </c>
      <c r="K9" s="42">
        <f>COUNTIF(Vertices[Betweenness Centrality],"&gt;= "&amp;J9)-COUNTIF(Vertices[Betweenness Centrality],"&gt;="&amp;J10)</f>
        <v>0</v>
      </c>
      <c r="L9" s="41">
        <f t="shared" si="5"/>
        <v>0.07045454545454541</v>
      </c>
      <c r="M9" s="42">
        <f>COUNTIF(Vertices[Closeness Centrality],"&gt;= "&amp;L9)-COUNTIF(Vertices[Closeness Centrality],"&gt;="&amp;L10)</f>
        <v>0</v>
      </c>
      <c r="N9" s="41">
        <f t="shared" si="6"/>
        <v>0.0830551454545455</v>
      </c>
      <c r="O9" s="42">
        <f>COUNTIF(Vertices[Eigenvector Centrality],"&gt;= "&amp;N9)-COUNTIF(Vertices[Eigenvector Centrality],"&gt;="&amp;N10)</f>
        <v>0</v>
      </c>
      <c r="P9" s="41">
        <f t="shared" si="7"/>
        <v>0.811069636363636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148</v>
      </c>
      <c r="B10" s="36">
        <v>0</v>
      </c>
      <c r="D10" s="34">
        <f t="shared" si="1"/>
        <v>0</v>
      </c>
      <c r="E10" s="3">
        <f>COUNTIF(Vertices[Degree],"&gt;= "&amp;D10)-COUNTIF(Vertices[Degree],"&gt;="&amp;D11)</f>
        <v>0</v>
      </c>
      <c r="F10" s="39">
        <f t="shared" si="2"/>
        <v>0.4363636363636364</v>
      </c>
      <c r="G10" s="40">
        <f>COUNTIF(Vertices[In-Degree],"&gt;= "&amp;F10)-COUNTIF(Vertices[In-Degree],"&gt;="&amp;F11)</f>
        <v>0</v>
      </c>
      <c r="H10" s="39">
        <f t="shared" si="3"/>
        <v>0.29090909090909095</v>
      </c>
      <c r="I10" s="40">
        <f>COUNTIF(Vertices[Out-Degree],"&gt;= "&amp;H10)-COUNTIF(Vertices[Out-Degree],"&gt;="&amp;H11)</f>
        <v>0</v>
      </c>
      <c r="J10" s="39">
        <f t="shared" si="4"/>
        <v>3.7818181818181817</v>
      </c>
      <c r="K10" s="40">
        <f>COUNTIF(Vertices[Betweenness Centrality],"&gt;= "&amp;J10)-COUNTIF(Vertices[Betweenness Centrality],"&gt;="&amp;J11)</f>
        <v>0</v>
      </c>
      <c r="L10" s="39">
        <f t="shared" si="5"/>
        <v>0.07159090909090904</v>
      </c>
      <c r="M10" s="40">
        <f>COUNTIF(Vertices[Closeness Centrality],"&gt;= "&amp;L10)-COUNTIF(Vertices[Closeness Centrality],"&gt;="&amp;L11)</f>
        <v>0</v>
      </c>
      <c r="N10" s="39">
        <f t="shared" si="6"/>
        <v>0.08597230909090914</v>
      </c>
      <c r="O10" s="40">
        <f>COUNTIF(Vertices[Eigenvector Centrality],"&gt;= "&amp;N10)-COUNTIF(Vertices[Eigenvector Centrality],"&gt;="&amp;N11)</f>
        <v>0</v>
      </c>
      <c r="P10" s="39">
        <f t="shared" si="7"/>
        <v>0.8394837272727269</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11"/>
      <c r="B11" s="111"/>
      <c r="D11" s="34">
        <f t="shared" si="1"/>
        <v>0</v>
      </c>
      <c r="E11" s="3">
        <f>COUNTIF(Vertices[Degree],"&gt;= "&amp;D11)-COUNTIF(Vertices[Degree],"&gt;="&amp;D12)</f>
        <v>0</v>
      </c>
      <c r="F11" s="41">
        <f t="shared" si="2"/>
        <v>0.49090909090909096</v>
      </c>
      <c r="G11" s="42">
        <f>COUNTIF(Vertices[In-Degree],"&gt;= "&amp;F11)-COUNTIF(Vertices[In-Degree],"&gt;="&amp;F12)</f>
        <v>0</v>
      </c>
      <c r="H11" s="41">
        <f t="shared" si="3"/>
        <v>0.3272727272727273</v>
      </c>
      <c r="I11" s="42">
        <f>COUNTIF(Vertices[Out-Degree],"&gt;= "&amp;H11)-COUNTIF(Vertices[Out-Degree],"&gt;="&amp;H12)</f>
        <v>0</v>
      </c>
      <c r="J11" s="41">
        <f t="shared" si="4"/>
        <v>4.254545454545455</v>
      </c>
      <c r="K11" s="42">
        <f>COUNTIF(Vertices[Betweenness Centrality],"&gt;= "&amp;J11)-COUNTIF(Vertices[Betweenness Centrality],"&gt;="&amp;J12)</f>
        <v>0</v>
      </c>
      <c r="L11" s="41">
        <f t="shared" si="5"/>
        <v>0.07272727272727267</v>
      </c>
      <c r="M11" s="42">
        <f>COUNTIF(Vertices[Closeness Centrality],"&gt;= "&amp;L11)-COUNTIF(Vertices[Closeness Centrality],"&gt;="&amp;L12)</f>
        <v>0</v>
      </c>
      <c r="N11" s="41">
        <f t="shared" si="6"/>
        <v>0.08888947272727278</v>
      </c>
      <c r="O11" s="42">
        <f>COUNTIF(Vertices[Eigenvector Centrality],"&gt;= "&amp;N11)-COUNTIF(Vertices[Eigenvector Centrality],"&gt;="&amp;N12)</f>
        <v>0</v>
      </c>
      <c r="P11" s="41">
        <f t="shared" si="7"/>
        <v>0.8678978181818178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167</v>
      </c>
      <c r="B12" s="36">
        <v>0.16666666666666666</v>
      </c>
      <c r="D12" s="34">
        <f t="shared" si="1"/>
        <v>0</v>
      </c>
      <c r="E12" s="3">
        <f>COUNTIF(Vertices[Degree],"&gt;= "&amp;D12)-COUNTIF(Vertices[Degree],"&gt;="&amp;D13)</f>
        <v>0</v>
      </c>
      <c r="F12" s="39">
        <f t="shared" si="2"/>
        <v>0.5454545454545455</v>
      </c>
      <c r="G12" s="40">
        <f>COUNTIF(Vertices[In-Degree],"&gt;= "&amp;F12)-COUNTIF(Vertices[In-Degree],"&gt;="&amp;F13)</f>
        <v>0</v>
      </c>
      <c r="H12" s="39">
        <f t="shared" si="3"/>
        <v>0.3636363636363637</v>
      </c>
      <c r="I12" s="40">
        <f>COUNTIF(Vertices[Out-Degree],"&gt;= "&amp;H12)-COUNTIF(Vertices[Out-Degree],"&gt;="&amp;H13)</f>
        <v>0</v>
      </c>
      <c r="J12" s="39">
        <f t="shared" si="4"/>
        <v>4.7272727272727275</v>
      </c>
      <c r="K12" s="40">
        <f>COUNTIF(Vertices[Betweenness Centrality],"&gt;= "&amp;J12)-COUNTIF(Vertices[Betweenness Centrality],"&gt;="&amp;J13)</f>
        <v>0</v>
      </c>
      <c r="L12" s="39">
        <f t="shared" si="5"/>
        <v>0.0738636363636363</v>
      </c>
      <c r="M12" s="40">
        <f>COUNTIF(Vertices[Closeness Centrality],"&gt;= "&amp;L12)-COUNTIF(Vertices[Closeness Centrality],"&gt;="&amp;L13)</f>
        <v>0</v>
      </c>
      <c r="N12" s="39">
        <f t="shared" si="6"/>
        <v>0.09180663636363642</v>
      </c>
      <c r="O12" s="40">
        <f>COUNTIF(Vertices[Eigenvector Centrality],"&gt;= "&amp;N12)-COUNTIF(Vertices[Eigenvector Centrality],"&gt;="&amp;N13)</f>
        <v>0</v>
      </c>
      <c r="P12" s="39">
        <f t="shared" si="7"/>
        <v>0.8963119090909086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168</v>
      </c>
      <c r="B13" s="36">
        <v>0.2857142857142857</v>
      </c>
      <c r="D13" s="34">
        <f t="shared" si="1"/>
        <v>0</v>
      </c>
      <c r="E13" s="3">
        <f>COUNTIF(Vertices[Degree],"&gt;= "&amp;D13)-COUNTIF(Vertices[Degree],"&gt;="&amp;D14)</f>
        <v>0</v>
      </c>
      <c r="F13" s="41">
        <f t="shared" si="2"/>
        <v>0.6000000000000001</v>
      </c>
      <c r="G13" s="42">
        <f>COUNTIF(Vertices[In-Degree],"&gt;= "&amp;F13)-COUNTIF(Vertices[In-Degree],"&gt;="&amp;F14)</f>
        <v>0</v>
      </c>
      <c r="H13" s="41">
        <f t="shared" si="3"/>
        <v>0.4000000000000001</v>
      </c>
      <c r="I13" s="42">
        <f>COUNTIF(Vertices[Out-Degree],"&gt;= "&amp;H13)-COUNTIF(Vertices[Out-Degree],"&gt;="&amp;H14)</f>
        <v>0</v>
      </c>
      <c r="J13" s="41">
        <f t="shared" si="4"/>
        <v>5.2</v>
      </c>
      <c r="K13" s="42">
        <f>COUNTIF(Vertices[Betweenness Centrality],"&gt;= "&amp;J13)-COUNTIF(Vertices[Betweenness Centrality],"&gt;="&amp;J14)</f>
        <v>0</v>
      </c>
      <c r="L13" s="41">
        <f t="shared" si="5"/>
        <v>0.07499999999999993</v>
      </c>
      <c r="M13" s="42">
        <f>COUNTIF(Vertices[Closeness Centrality],"&gt;= "&amp;L13)-COUNTIF(Vertices[Closeness Centrality],"&gt;="&amp;L14)</f>
        <v>0</v>
      </c>
      <c r="N13" s="41">
        <f t="shared" si="6"/>
        <v>0.09472380000000007</v>
      </c>
      <c r="O13" s="42">
        <f>COUNTIF(Vertices[Eigenvector Centrality],"&gt;= "&amp;N13)-COUNTIF(Vertices[Eigenvector Centrality],"&gt;="&amp;N14)</f>
        <v>0</v>
      </c>
      <c r="P13" s="41">
        <f t="shared" si="7"/>
        <v>0.9247259999999995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11"/>
      <c r="B14" s="111"/>
      <c r="D14" s="34">
        <f t="shared" si="1"/>
        <v>0</v>
      </c>
      <c r="E14" s="3">
        <f>COUNTIF(Vertices[Degree],"&gt;= "&amp;D14)-COUNTIF(Vertices[Degree],"&gt;="&amp;D15)</f>
        <v>0</v>
      </c>
      <c r="F14" s="39">
        <f t="shared" si="2"/>
        <v>0.6545454545454547</v>
      </c>
      <c r="G14" s="40">
        <f>COUNTIF(Vertices[In-Degree],"&gt;= "&amp;F14)-COUNTIF(Vertices[In-Degree],"&gt;="&amp;F15)</f>
        <v>0</v>
      </c>
      <c r="H14" s="39">
        <f t="shared" si="3"/>
        <v>0.43636363636363645</v>
      </c>
      <c r="I14" s="40">
        <f>COUNTIF(Vertices[Out-Degree],"&gt;= "&amp;H14)-COUNTIF(Vertices[Out-Degree],"&gt;="&amp;H15)</f>
        <v>0</v>
      </c>
      <c r="J14" s="39">
        <f t="shared" si="4"/>
        <v>5.672727272727273</v>
      </c>
      <c r="K14" s="40">
        <f>COUNTIF(Vertices[Betweenness Centrality],"&gt;= "&amp;J14)-COUNTIF(Vertices[Betweenness Centrality],"&gt;="&amp;J15)</f>
        <v>0</v>
      </c>
      <c r="L14" s="39">
        <f t="shared" si="5"/>
        <v>0.07613636363636356</v>
      </c>
      <c r="M14" s="40">
        <f>COUNTIF(Vertices[Closeness Centrality],"&gt;= "&amp;L14)-COUNTIF(Vertices[Closeness Centrality],"&gt;="&amp;L15)</f>
        <v>2</v>
      </c>
      <c r="N14" s="39">
        <f t="shared" si="6"/>
        <v>0.09764096363636371</v>
      </c>
      <c r="O14" s="40">
        <f>COUNTIF(Vertices[Eigenvector Centrality],"&gt;= "&amp;N14)-COUNTIF(Vertices[Eigenvector Centrality],"&gt;="&amp;N15)</f>
        <v>0</v>
      </c>
      <c r="P14" s="39">
        <f t="shared" si="7"/>
        <v>0.9531400909090904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149</v>
      </c>
      <c r="B15" s="36">
        <v>1</v>
      </c>
      <c r="D15" s="34">
        <f t="shared" si="1"/>
        <v>0</v>
      </c>
      <c r="E15" s="3">
        <f>COUNTIF(Vertices[Degree],"&gt;= "&amp;D15)-COUNTIF(Vertices[Degree],"&gt;="&amp;D16)</f>
        <v>0</v>
      </c>
      <c r="F15" s="41">
        <f t="shared" si="2"/>
        <v>0.7090909090909092</v>
      </c>
      <c r="G15" s="42">
        <f>COUNTIF(Vertices[In-Degree],"&gt;= "&amp;F15)-COUNTIF(Vertices[In-Degree],"&gt;="&amp;F16)</f>
        <v>0</v>
      </c>
      <c r="H15" s="41">
        <f t="shared" si="3"/>
        <v>0.47272727272727283</v>
      </c>
      <c r="I15" s="42">
        <f>COUNTIF(Vertices[Out-Degree],"&gt;= "&amp;H15)-COUNTIF(Vertices[Out-Degree],"&gt;="&amp;H16)</f>
        <v>0</v>
      </c>
      <c r="J15" s="41">
        <f t="shared" si="4"/>
        <v>6.1454545454545455</v>
      </c>
      <c r="K15" s="42">
        <f>COUNTIF(Vertices[Betweenness Centrality],"&gt;= "&amp;J15)-COUNTIF(Vertices[Betweenness Centrality],"&gt;="&amp;J16)</f>
        <v>0</v>
      </c>
      <c r="L15" s="41">
        <f t="shared" si="5"/>
        <v>0.07727272727272719</v>
      </c>
      <c r="M15" s="42">
        <f>COUNTIF(Vertices[Closeness Centrality],"&gt;= "&amp;L15)-COUNTIF(Vertices[Closeness Centrality],"&gt;="&amp;L16)</f>
        <v>0</v>
      </c>
      <c r="N15" s="41">
        <f t="shared" si="6"/>
        <v>0.10055812727272735</v>
      </c>
      <c r="O15" s="42">
        <f>COUNTIF(Vertices[Eigenvector Centrality],"&gt;= "&amp;N15)-COUNTIF(Vertices[Eigenvector Centrality],"&gt;="&amp;N16)</f>
        <v>0</v>
      </c>
      <c r="P15" s="41">
        <f t="shared" si="7"/>
        <v>0.9815541818181812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150</v>
      </c>
      <c r="B16" s="36">
        <v>0</v>
      </c>
      <c r="D16" s="34">
        <f t="shared" si="1"/>
        <v>0</v>
      </c>
      <c r="E16" s="3">
        <f>COUNTIF(Vertices[Degree],"&gt;= "&amp;D16)-COUNTIF(Vertices[Degree],"&gt;="&amp;D17)</f>
        <v>0</v>
      </c>
      <c r="F16" s="39">
        <f t="shared" si="2"/>
        <v>0.7636363636363638</v>
      </c>
      <c r="G16" s="40">
        <f>COUNTIF(Vertices[In-Degree],"&gt;= "&amp;F16)-COUNTIF(Vertices[In-Degree],"&gt;="&amp;F17)</f>
        <v>0</v>
      </c>
      <c r="H16" s="39">
        <f t="shared" si="3"/>
        <v>0.5090909090909091</v>
      </c>
      <c r="I16" s="40">
        <f>COUNTIF(Vertices[Out-Degree],"&gt;= "&amp;H16)-COUNTIF(Vertices[Out-Degree],"&gt;="&amp;H17)</f>
        <v>0</v>
      </c>
      <c r="J16" s="39">
        <f t="shared" si="4"/>
        <v>6.618181818181818</v>
      </c>
      <c r="K16" s="40">
        <f>COUNTIF(Vertices[Betweenness Centrality],"&gt;= "&amp;J16)-COUNTIF(Vertices[Betweenness Centrality],"&gt;="&amp;J17)</f>
        <v>0</v>
      </c>
      <c r="L16" s="39">
        <f t="shared" si="5"/>
        <v>0.07840909090909082</v>
      </c>
      <c r="M16" s="40">
        <f>COUNTIF(Vertices[Closeness Centrality],"&gt;= "&amp;L16)-COUNTIF(Vertices[Closeness Centrality],"&gt;="&amp;L17)</f>
        <v>0</v>
      </c>
      <c r="N16" s="39">
        <f t="shared" si="6"/>
        <v>0.103475290909091</v>
      </c>
      <c r="O16" s="40">
        <f>COUNTIF(Vertices[Eigenvector Centrality],"&gt;= "&amp;N16)-COUNTIF(Vertices[Eigenvector Centrality],"&gt;="&amp;N17)</f>
        <v>0</v>
      </c>
      <c r="P16" s="39">
        <f t="shared" si="7"/>
        <v>1.009968272727272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7</v>
      </c>
      <c r="D17" s="34">
        <f t="shared" si="1"/>
        <v>0</v>
      </c>
      <c r="E17" s="3">
        <f>COUNTIF(Vertices[Degree],"&gt;= "&amp;D17)-COUNTIF(Vertices[Degree],"&gt;="&amp;D18)</f>
        <v>0</v>
      </c>
      <c r="F17" s="41">
        <f t="shared" si="2"/>
        <v>0.8181818181818183</v>
      </c>
      <c r="G17" s="42">
        <f>COUNTIF(Vertices[In-Degree],"&gt;= "&amp;F17)-COUNTIF(Vertices[In-Degree],"&gt;="&amp;F18)</f>
        <v>0</v>
      </c>
      <c r="H17" s="41">
        <f t="shared" si="3"/>
        <v>0.5454545454545455</v>
      </c>
      <c r="I17" s="42">
        <f>COUNTIF(Vertices[Out-Degree],"&gt;= "&amp;H17)-COUNTIF(Vertices[Out-Degree],"&gt;="&amp;H18)</f>
        <v>0</v>
      </c>
      <c r="J17" s="41">
        <f t="shared" si="4"/>
        <v>7.090909090909091</v>
      </c>
      <c r="K17" s="42">
        <f>COUNTIF(Vertices[Betweenness Centrality],"&gt;= "&amp;J17)-COUNTIF(Vertices[Betweenness Centrality],"&gt;="&amp;J18)</f>
        <v>0</v>
      </c>
      <c r="L17" s="41">
        <f t="shared" si="5"/>
        <v>0.07954545454545445</v>
      </c>
      <c r="M17" s="42">
        <f>COUNTIF(Vertices[Closeness Centrality],"&gt;= "&amp;L17)-COUNTIF(Vertices[Closeness Centrality],"&gt;="&amp;L18)</f>
        <v>0</v>
      </c>
      <c r="N17" s="41">
        <f t="shared" si="6"/>
        <v>0.10639245454545464</v>
      </c>
      <c r="O17" s="42">
        <f>COUNTIF(Vertices[Eigenvector Centrality],"&gt;= "&amp;N17)-COUNTIF(Vertices[Eigenvector Centrality],"&gt;="&amp;N18)</f>
        <v>0</v>
      </c>
      <c r="P17" s="41">
        <f t="shared" si="7"/>
        <v>1.038382363636363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152</v>
      </c>
      <c r="B18" s="36">
        <v>7</v>
      </c>
      <c r="D18" s="34">
        <f t="shared" si="1"/>
        <v>0</v>
      </c>
      <c r="E18" s="3">
        <f>COUNTIF(Vertices[Degree],"&gt;= "&amp;D18)-COUNTIF(Vertices[Degree],"&gt;="&amp;D19)</f>
        <v>0</v>
      </c>
      <c r="F18" s="39">
        <f t="shared" si="2"/>
        <v>0.8727272727272729</v>
      </c>
      <c r="G18" s="40">
        <f>COUNTIF(Vertices[In-Degree],"&gt;= "&amp;F18)-COUNTIF(Vertices[In-Degree],"&gt;="&amp;F19)</f>
        <v>0</v>
      </c>
      <c r="H18" s="39">
        <f t="shared" si="3"/>
        <v>0.5818181818181819</v>
      </c>
      <c r="I18" s="40">
        <f>COUNTIF(Vertices[Out-Degree],"&gt;= "&amp;H18)-COUNTIF(Vertices[Out-Degree],"&gt;="&amp;H19)</f>
        <v>0</v>
      </c>
      <c r="J18" s="39">
        <f t="shared" si="4"/>
        <v>7.5636363636363635</v>
      </c>
      <c r="K18" s="40">
        <f>COUNTIF(Vertices[Betweenness Centrality],"&gt;= "&amp;J18)-COUNTIF(Vertices[Betweenness Centrality],"&gt;="&amp;J19)</f>
        <v>0</v>
      </c>
      <c r="L18" s="39">
        <f t="shared" si="5"/>
        <v>0.08068181818181808</v>
      </c>
      <c r="M18" s="40">
        <f>COUNTIF(Vertices[Closeness Centrality],"&gt;= "&amp;L18)-COUNTIF(Vertices[Closeness Centrality],"&gt;="&amp;L19)</f>
        <v>0</v>
      </c>
      <c r="N18" s="39">
        <f t="shared" si="6"/>
        <v>0.10930961818181828</v>
      </c>
      <c r="O18" s="40">
        <f>COUNTIF(Vertices[Eigenvector Centrality],"&gt;= "&amp;N18)-COUNTIF(Vertices[Eigenvector Centrality],"&gt;="&amp;N19)</f>
        <v>0</v>
      </c>
      <c r="P18" s="39">
        <f t="shared" si="7"/>
        <v>1.0667964545454538</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11"/>
      <c r="B19" s="111"/>
      <c r="D19" s="34">
        <f t="shared" si="1"/>
        <v>0</v>
      </c>
      <c r="E19" s="3">
        <f>COUNTIF(Vertices[Degree],"&gt;= "&amp;D19)-COUNTIF(Vertices[Degree],"&gt;="&amp;D20)</f>
        <v>0</v>
      </c>
      <c r="F19" s="41">
        <f t="shared" si="2"/>
        <v>0.9272727272727275</v>
      </c>
      <c r="G19" s="42">
        <f>COUNTIF(Vertices[In-Degree],"&gt;= "&amp;F19)-COUNTIF(Vertices[In-Degree],"&gt;="&amp;F20)</f>
        <v>0</v>
      </c>
      <c r="H19" s="41">
        <f t="shared" si="3"/>
        <v>0.6181818181818183</v>
      </c>
      <c r="I19" s="42">
        <f>COUNTIF(Vertices[Out-Degree],"&gt;= "&amp;H19)-COUNTIF(Vertices[Out-Degree],"&gt;="&amp;H20)</f>
        <v>0</v>
      </c>
      <c r="J19" s="41">
        <f t="shared" si="4"/>
        <v>8.036363636363637</v>
      </c>
      <c r="K19" s="42">
        <f>COUNTIF(Vertices[Betweenness Centrality],"&gt;= "&amp;J19)-COUNTIF(Vertices[Betweenness Centrality],"&gt;="&amp;J20)</f>
        <v>0</v>
      </c>
      <c r="L19" s="41">
        <f t="shared" si="5"/>
        <v>0.0818181818181817</v>
      </c>
      <c r="M19" s="42">
        <f>COUNTIF(Vertices[Closeness Centrality],"&gt;= "&amp;L19)-COUNTIF(Vertices[Closeness Centrality],"&gt;="&amp;L20)</f>
        <v>0</v>
      </c>
      <c r="N19" s="41">
        <f t="shared" si="6"/>
        <v>0.11222678181818192</v>
      </c>
      <c r="O19" s="42">
        <f>COUNTIF(Vertices[Eigenvector Centrality],"&gt;= "&amp;N19)-COUNTIF(Vertices[Eigenvector Centrality],"&gt;="&amp;N20)</f>
        <v>0</v>
      </c>
      <c r="P19" s="41">
        <f t="shared" si="7"/>
        <v>1.0952105454545447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4</v>
      </c>
      <c r="D20" s="34">
        <f t="shared" si="1"/>
        <v>0</v>
      </c>
      <c r="E20" s="3">
        <f>COUNTIF(Vertices[Degree],"&gt;= "&amp;D20)-COUNTIF(Vertices[Degree],"&gt;="&amp;D21)</f>
        <v>0</v>
      </c>
      <c r="F20" s="39">
        <f t="shared" si="2"/>
        <v>0.981818181818182</v>
      </c>
      <c r="G20" s="40">
        <f>COUNTIF(Vertices[In-Degree],"&gt;= "&amp;F20)-COUNTIF(Vertices[In-Degree],"&gt;="&amp;F21)</f>
        <v>4</v>
      </c>
      <c r="H20" s="39">
        <f t="shared" si="3"/>
        <v>0.6545454545454547</v>
      </c>
      <c r="I20" s="40">
        <f>COUNTIF(Vertices[Out-Degree],"&gt;= "&amp;H20)-COUNTIF(Vertices[Out-Degree],"&gt;="&amp;H21)</f>
        <v>0</v>
      </c>
      <c r="J20" s="39">
        <f t="shared" si="4"/>
        <v>8.50909090909091</v>
      </c>
      <c r="K20" s="40">
        <f>COUNTIF(Vertices[Betweenness Centrality],"&gt;= "&amp;J20)-COUNTIF(Vertices[Betweenness Centrality],"&gt;="&amp;J21)</f>
        <v>0</v>
      </c>
      <c r="L20" s="39">
        <f t="shared" si="5"/>
        <v>0.08295454545454534</v>
      </c>
      <c r="M20" s="40">
        <f>COUNTIF(Vertices[Closeness Centrality],"&gt;= "&amp;L20)-COUNTIF(Vertices[Closeness Centrality],"&gt;="&amp;L21)</f>
        <v>0</v>
      </c>
      <c r="N20" s="39">
        <f t="shared" si="6"/>
        <v>0.11514394545454557</v>
      </c>
      <c r="O20" s="40">
        <f>COUNTIF(Vertices[Eigenvector Centrality],"&gt;= "&amp;N20)-COUNTIF(Vertices[Eigenvector Centrality],"&gt;="&amp;N21)</f>
        <v>0</v>
      </c>
      <c r="P20" s="39">
        <f t="shared" si="7"/>
        <v>1.1236246363636355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1.795918</v>
      </c>
      <c r="D21" s="34">
        <f t="shared" si="1"/>
        <v>0</v>
      </c>
      <c r="E21" s="3">
        <f>COUNTIF(Vertices[Degree],"&gt;= "&amp;D21)-COUNTIF(Vertices[Degree],"&gt;="&amp;D22)</f>
        <v>0</v>
      </c>
      <c r="F21" s="41">
        <f t="shared" si="2"/>
        <v>1.0363636363636366</v>
      </c>
      <c r="G21" s="42">
        <f>COUNTIF(Vertices[In-Degree],"&gt;= "&amp;F21)-COUNTIF(Vertices[In-Degree],"&gt;="&amp;F22)</f>
        <v>0</v>
      </c>
      <c r="H21" s="41">
        <f t="shared" si="3"/>
        <v>0.690909090909091</v>
      </c>
      <c r="I21" s="42">
        <f>COUNTIF(Vertices[Out-Degree],"&gt;= "&amp;H21)-COUNTIF(Vertices[Out-Degree],"&gt;="&amp;H22)</f>
        <v>0</v>
      </c>
      <c r="J21" s="41">
        <f t="shared" si="4"/>
        <v>8.981818181818182</v>
      </c>
      <c r="K21" s="42">
        <f>COUNTIF(Vertices[Betweenness Centrality],"&gt;= "&amp;J21)-COUNTIF(Vertices[Betweenness Centrality],"&gt;="&amp;J22)</f>
        <v>0</v>
      </c>
      <c r="L21" s="41">
        <f t="shared" si="5"/>
        <v>0.08409090909090897</v>
      </c>
      <c r="M21" s="42">
        <f>COUNTIF(Vertices[Closeness Centrality],"&gt;= "&amp;L21)-COUNTIF(Vertices[Closeness Centrality],"&gt;="&amp;L22)</f>
        <v>0</v>
      </c>
      <c r="N21" s="41">
        <f t="shared" si="6"/>
        <v>0.11806110909090921</v>
      </c>
      <c r="O21" s="42">
        <f>COUNTIF(Vertices[Eigenvector Centrality],"&gt;= "&amp;N21)-COUNTIF(Vertices[Eigenvector Centrality],"&gt;="&amp;N22)</f>
        <v>0</v>
      </c>
      <c r="P21" s="41">
        <f t="shared" si="7"/>
        <v>1.1520387272727264</v>
      </c>
      <c r="Q21" s="42">
        <f>COUNTIF(Vertices[PageRank],"&gt;= "&amp;P21)-COUNTIF(Vertices[PageRank],"&gt;="&amp;P22)</f>
        <v>2</v>
      </c>
      <c r="R21" s="41">
        <f t="shared" si="8"/>
        <v>0</v>
      </c>
      <c r="S21" s="46">
        <f>COUNTIF(Vertices[Clustering Coefficient],"&gt;= "&amp;R21)-COUNTIF(Vertices[Clustering Coefficient],"&gt;="&amp;R22)</f>
        <v>0</v>
      </c>
      <c r="T21" s="41" t="e">
        <f ca="1" t="shared" si="9"/>
        <v>#REF!</v>
      </c>
      <c r="U21" s="42" t="e">
        <f ca="1" t="shared" si="0"/>
        <v>#REF!</v>
      </c>
    </row>
    <row r="22" spans="1:21" ht="15">
      <c r="A22" s="111"/>
      <c r="B22" s="111"/>
      <c r="D22" s="34">
        <f t="shared" si="1"/>
        <v>0</v>
      </c>
      <c r="E22" s="3">
        <f>COUNTIF(Vertices[Degree],"&gt;= "&amp;D22)-COUNTIF(Vertices[Degree],"&gt;="&amp;D23)</f>
        <v>0</v>
      </c>
      <c r="F22" s="39">
        <f t="shared" si="2"/>
        <v>1.090909090909091</v>
      </c>
      <c r="G22" s="40">
        <f>COUNTIF(Vertices[In-Degree],"&gt;= "&amp;F22)-COUNTIF(Vertices[In-Degree],"&gt;="&amp;F23)</f>
        <v>0</v>
      </c>
      <c r="H22" s="39">
        <f t="shared" si="3"/>
        <v>0.7272727272727274</v>
      </c>
      <c r="I22" s="40">
        <f>COUNTIF(Vertices[Out-Degree],"&gt;= "&amp;H22)-COUNTIF(Vertices[Out-Degree],"&gt;="&amp;H23)</f>
        <v>0</v>
      </c>
      <c r="J22" s="39">
        <f t="shared" si="4"/>
        <v>9.454545454545455</v>
      </c>
      <c r="K22" s="40">
        <f>COUNTIF(Vertices[Betweenness Centrality],"&gt;= "&amp;J22)-COUNTIF(Vertices[Betweenness Centrality],"&gt;="&amp;J23)</f>
        <v>0</v>
      </c>
      <c r="L22" s="39">
        <f t="shared" si="5"/>
        <v>0.0852272727272726</v>
      </c>
      <c r="M22" s="40">
        <f>COUNTIF(Vertices[Closeness Centrality],"&gt;= "&amp;L22)-COUNTIF(Vertices[Closeness Centrality],"&gt;="&amp;L23)</f>
        <v>0</v>
      </c>
      <c r="N22" s="39">
        <f t="shared" si="6"/>
        <v>0.12097827272727285</v>
      </c>
      <c r="O22" s="40">
        <f>COUNTIF(Vertices[Eigenvector Centrality],"&gt;= "&amp;N22)-COUNTIF(Vertices[Eigenvector Centrality],"&gt;="&amp;N23)</f>
        <v>0</v>
      </c>
      <c r="P22" s="39">
        <f t="shared" si="7"/>
        <v>1.1804528181818172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0.16666666666666666</v>
      </c>
      <c r="D23" s="34">
        <f t="shared" si="1"/>
        <v>0</v>
      </c>
      <c r="E23" s="3">
        <f>COUNTIF(Vertices[Degree],"&gt;= "&amp;D23)-COUNTIF(Vertices[Degree],"&gt;="&amp;D24)</f>
        <v>0</v>
      </c>
      <c r="F23" s="41">
        <f t="shared" si="2"/>
        <v>1.1454545454545455</v>
      </c>
      <c r="G23" s="42">
        <f>COUNTIF(Vertices[In-Degree],"&gt;= "&amp;F23)-COUNTIF(Vertices[In-Degree],"&gt;="&amp;F24)</f>
        <v>0</v>
      </c>
      <c r="H23" s="41">
        <f t="shared" si="3"/>
        <v>0.7636363636363638</v>
      </c>
      <c r="I23" s="42">
        <f>COUNTIF(Vertices[Out-Degree],"&gt;= "&amp;H23)-COUNTIF(Vertices[Out-Degree],"&gt;="&amp;H24)</f>
        <v>0</v>
      </c>
      <c r="J23" s="41">
        <f t="shared" si="4"/>
        <v>9.927272727272728</v>
      </c>
      <c r="K23" s="42">
        <f>COUNTIF(Vertices[Betweenness Centrality],"&gt;= "&amp;J23)-COUNTIF(Vertices[Betweenness Centrality],"&gt;="&amp;J24)</f>
        <v>2</v>
      </c>
      <c r="L23" s="41">
        <f t="shared" si="5"/>
        <v>0.08636363636363623</v>
      </c>
      <c r="M23" s="42">
        <f>COUNTIF(Vertices[Closeness Centrality],"&gt;= "&amp;L23)-COUNTIF(Vertices[Closeness Centrality],"&gt;="&amp;L24)</f>
        <v>0</v>
      </c>
      <c r="N23" s="41">
        <f t="shared" si="6"/>
        <v>0.1238954363636365</v>
      </c>
      <c r="O23" s="42">
        <f>COUNTIF(Vertices[Eigenvector Centrality],"&gt;= "&amp;N23)-COUNTIF(Vertices[Eigenvector Centrality],"&gt;="&amp;N24)</f>
        <v>0</v>
      </c>
      <c r="P23" s="41">
        <f t="shared" si="7"/>
        <v>1.208866909090908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194</v>
      </c>
      <c r="B24" s="36" t="s">
        <v>196</v>
      </c>
      <c r="D24" s="34">
        <f t="shared" si="1"/>
        <v>0</v>
      </c>
      <c r="E24" s="3">
        <f>COUNTIF(Vertices[Degree],"&gt;= "&amp;D24)-COUNTIF(Vertices[Degree],"&gt;="&amp;D25)</f>
        <v>0</v>
      </c>
      <c r="F24" s="39">
        <f t="shared" si="2"/>
        <v>1.2</v>
      </c>
      <c r="G24" s="40">
        <f>COUNTIF(Vertices[In-Degree],"&gt;= "&amp;F24)-COUNTIF(Vertices[In-Degree],"&gt;="&amp;F25)</f>
        <v>0</v>
      </c>
      <c r="H24" s="39">
        <f t="shared" si="3"/>
        <v>0.8000000000000002</v>
      </c>
      <c r="I24" s="40">
        <f>COUNTIF(Vertices[Out-Degree],"&gt;= "&amp;H24)-COUNTIF(Vertices[Out-Degree],"&gt;="&amp;H25)</f>
        <v>0</v>
      </c>
      <c r="J24" s="39">
        <f t="shared" si="4"/>
        <v>10.4</v>
      </c>
      <c r="K24" s="40">
        <f>COUNTIF(Vertices[Betweenness Centrality],"&gt;= "&amp;J24)-COUNTIF(Vertices[Betweenness Centrality],"&gt;="&amp;J25)</f>
        <v>0</v>
      </c>
      <c r="L24" s="39">
        <f t="shared" si="5"/>
        <v>0.08749999999999986</v>
      </c>
      <c r="M24" s="40">
        <f>COUNTIF(Vertices[Closeness Centrality],"&gt;= "&amp;L24)-COUNTIF(Vertices[Closeness Centrality],"&gt;="&amp;L25)</f>
        <v>0</v>
      </c>
      <c r="N24" s="39">
        <f t="shared" si="6"/>
        <v>0.12681260000000014</v>
      </c>
      <c r="O24" s="40">
        <f>COUNTIF(Vertices[Eigenvector Centrality],"&gt;= "&amp;N24)-COUNTIF(Vertices[Eigenvector Centrality],"&gt;="&amp;N25)</f>
        <v>0</v>
      </c>
      <c r="P24" s="39">
        <f t="shared" si="7"/>
        <v>1.237280999999999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11"/>
      <c r="B25" s="111"/>
      <c r="D25" s="34">
        <f t="shared" si="1"/>
        <v>0</v>
      </c>
      <c r="E25" s="3">
        <f>COUNTIF(Vertices[Degree],"&gt;= "&amp;D25)-COUNTIF(Vertices[Degree],"&gt;="&amp;D26)</f>
        <v>0</v>
      </c>
      <c r="F25" s="41">
        <f t="shared" si="2"/>
        <v>1.2545454545454544</v>
      </c>
      <c r="G25" s="42">
        <f>COUNTIF(Vertices[In-Degree],"&gt;= "&amp;F25)-COUNTIF(Vertices[In-Degree],"&gt;="&amp;F26)</f>
        <v>0</v>
      </c>
      <c r="H25" s="41">
        <f t="shared" si="3"/>
        <v>0.8363636363636365</v>
      </c>
      <c r="I25" s="42">
        <f>COUNTIF(Vertices[Out-Degree],"&gt;= "&amp;H25)-COUNTIF(Vertices[Out-Degree],"&gt;="&amp;H26)</f>
        <v>0</v>
      </c>
      <c r="J25" s="41">
        <f t="shared" si="4"/>
        <v>10.872727272727273</v>
      </c>
      <c r="K25" s="42">
        <f>COUNTIF(Vertices[Betweenness Centrality],"&gt;= "&amp;J25)-COUNTIF(Vertices[Betweenness Centrality],"&gt;="&amp;J26)</f>
        <v>0</v>
      </c>
      <c r="L25" s="41">
        <f t="shared" si="5"/>
        <v>0.08863636363636349</v>
      </c>
      <c r="M25" s="42">
        <f>COUNTIF(Vertices[Closeness Centrality],"&gt;= "&amp;L25)-COUNTIF(Vertices[Closeness Centrality],"&gt;="&amp;L26)</f>
        <v>0</v>
      </c>
      <c r="N25" s="41">
        <f t="shared" si="6"/>
        <v>0.12972976363636377</v>
      </c>
      <c r="O25" s="42">
        <f>COUNTIF(Vertices[Eigenvector Centrality],"&gt;= "&amp;N25)-COUNTIF(Vertices[Eigenvector Centrality],"&gt;="&amp;N26)</f>
        <v>0</v>
      </c>
      <c r="P25" s="41">
        <f t="shared" si="7"/>
        <v>1.2656950909090898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195</v>
      </c>
      <c r="B26" s="36" t="s">
        <v>197</v>
      </c>
      <c r="D26" s="34">
        <f t="shared" si="1"/>
        <v>0</v>
      </c>
      <c r="E26" s="3">
        <f>COUNTIF(Vertices[Degree],"&gt;= "&amp;D26)-COUNTIF(Vertices[Degree],"&gt;="&amp;D28)</f>
        <v>0</v>
      </c>
      <c r="F26" s="39">
        <f t="shared" si="2"/>
        <v>1.3090909090909089</v>
      </c>
      <c r="G26" s="40">
        <f>COUNTIF(Vertices[In-Degree],"&gt;= "&amp;F26)-COUNTIF(Vertices[In-Degree],"&gt;="&amp;F28)</f>
        <v>0</v>
      </c>
      <c r="H26" s="39">
        <f t="shared" si="3"/>
        <v>0.8727272727272729</v>
      </c>
      <c r="I26" s="40">
        <f>COUNTIF(Vertices[Out-Degree],"&gt;= "&amp;H26)-COUNTIF(Vertices[Out-Degree],"&gt;="&amp;H28)</f>
        <v>0</v>
      </c>
      <c r="J26" s="39">
        <f t="shared" si="4"/>
        <v>11.345454545454546</v>
      </c>
      <c r="K26" s="40">
        <f>COUNTIF(Vertices[Betweenness Centrality],"&gt;= "&amp;J26)-COUNTIF(Vertices[Betweenness Centrality],"&gt;="&amp;J28)</f>
        <v>0</v>
      </c>
      <c r="L26" s="39">
        <f t="shared" si="5"/>
        <v>0.08977272727272712</v>
      </c>
      <c r="M26" s="40">
        <f>COUNTIF(Vertices[Closeness Centrality],"&gt;= "&amp;L26)-COUNTIF(Vertices[Closeness Centrality],"&gt;="&amp;L28)</f>
        <v>2</v>
      </c>
      <c r="N26" s="39">
        <f t="shared" si="6"/>
        <v>0.1326469272727274</v>
      </c>
      <c r="O26" s="40">
        <f>COUNTIF(Vertices[Eigenvector Centrality],"&gt;= "&amp;N26)-COUNTIF(Vertices[Eigenvector Centrality],"&gt;="&amp;N28)</f>
        <v>0</v>
      </c>
      <c r="P26" s="39">
        <f t="shared" si="7"/>
        <v>1.2941091818181807</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7"/>
      <c r="G27" s="78">
        <f>COUNTIF(Vertices[In-Degree],"&gt;= "&amp;F27)-COUNTIF(Vertices[In-Degree],"&gt;="&amp;F28)</f>
        <v>-1</v>
      </c>
      <c r="H27" s="77"/>
      <c r="I27" s="78">
        <f>COUNTIF(Vertices[Out-Degree],"&gt;= "&amp;H27)-COUNTIF(Vertices[Out-Degree],"&gt;="&amp;H28)</f>
        <v>-4</v>
      </c>
      <c r="J27" s="77"/>
      <c r="K27" s="78">
        <f>COUNTIF(Vertices[Betweenness Centrality],"&gt;= "&amp;J27)-COUNTIF(Vertices[Betweenness Centrality],"&gt;="&amp;J28)</f>
        <v>-1</v>
      </c>
      <c r="L27" s="77"/>
      <c r="M27" s="78">
        <f>COUNTIF(Vertices[Closeness Centrality],"&gt;= "&amp;L27)-COUNTIF(Vertices[Closeness Centrality],"&gt;="&amp;L28)</f>
        <v>-1</v>
      </c>
      <c r="N27" s="77"/>
      <c r="O27" s="78">
        <f>COUNTIF(Vertices[Eigenvector Centrality],"&gt;= "&amp;N27)-COUNTIF(Vertices[Eigenvector Centrality],"&gt;="&amp;N28)</f>
        <v>-5</v>
      </c>
      <c r="P27" s="77"/>
      <c r="Q27" s="78">
        <f>COUNTIF(Vertices[Eigenvector Centrality],"&gt;= "&amp;P27)-COUNTIF(Vertices[Eigenvector Centrality],"&gt;="&amp;P28)</f>
        <v>0</v>
      </c>
      <c r="R27" s="77"/>
      <c r="S27" s="79">
        <f>COUNTIF(Vertices[Clustering Coefficient],"&gt;= "&amp;R27)-COUNTIF(Vertices[Clustering Coefficient],"&gt;="&amp;R28)</f>
        <v>-7</v>
      </c>
      <c r="T27" s="77"/>
      <c r="U27" s="78">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0.9090909090909093</v>
      </c>
      <c r="I28" s="42">
        <f>COUNTIF(Vertices[Out-Degree],"&gt;= "&amp;H28)-COUNTIF(Vertices[Out-Degree],"&gt;="&amp;H40)</f>
        <v>0</v>
      </c>
      <c r="J28" s="41">
        <f>J26+($J$57-$J$2)/BinDivisor</f>
        <v>11.818181818181818</v>
      </c>
      <c r="K28" s="42">
        <f>COUNTIF(Vertices[Betweenness Centrality],"&gt;= "&amp;J28)-COUNTIF(Vertices[Betweenness Centrality],"&gt;="&amp;J40)</f>
        <v>0</v>
      </c>
      <c r="L28" s="41">
        <f>L26+($L$57-$L$2)/BinDivisor</f>
        <v>0.09090909090909075</v>
      </c>
      <c r="M28" s="42">
        <f>COUNTIF(Vertices[Closeness Centrality],"&gt;= "&amp;L28)-COUNTIF(Vertices[Closeness Centrality],"&gt;="&amp;L40)</f>
        <v>0</v>
      </c>
      <c r="N28" s="41">
        <f>N26+($N$57-$N$2)/BinDivisor</f>
        <v>0.13556409090909102</v>
      </c>
      <c r="O28" s="42">
        <f>COUNTIF(Vertices[Eigenvector Centrality],"&gt;= "&amp;N28)-COUNTIF(Vertices[Eigenvector Centrality],"&gt;="&amp;N40)</f>
        <v>0</v>
      </c>
      <c r="P28" s="41">
        <f>P26+($P$57-$P$2)/BinDivisor</f>
        <v>1.3225232727272715</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7"/>
      <c r="G29" s="78">
        <f>COUNTIF(Vertices[In-Degree],"&gt;= "&amp;F29)-COUNTIF(Vertices[In-Degree],"&gt;="&amp;F30)</f>
        <v>0</v>
      </c>
      <c r="H29" s="77"/>
      <c r="I29" s="78">
        <f>COUNTIF(Vertices[Out-Degree],"&gt;= "&amp;H29)-COUNTIF(Vertices[Out-Degree],"&gt;="&amp;H30)</f>
        <v>0</v>
      </c>
      <c r="J29" s="77"/>
      <c r="K29" s="78">
        <f>COUNTIF(Vertices[Betweenness Centrality],"&gt;= "&amp;J29)-COUNTIF(Vertices[Betweenness Centrality],"&gt;="&amp;J30)</f>
        <v>0</v>
      </c>
      <c r="L29" s="77"/>
      <c r="M29" s="78">
        <f>COUNTIF(Vertices[Closeness Centrality],"&gt;= "&amp;L29)-COUNTIF(Vertices[Closeness Centrality],"&gt;="&amp;L30)</f>
        <v>0</v>
      </c>
      <c r="N29" s="77"/>
      <c r="O29" s="78">
        <f>COUNTIF(Vertices[Eigenvector Centrality],"&gt;= "&amp;N29)-COUNTIF(Vertices[Eigenvector Centrality],"&gt;="&amp;N30)</f>
        <v>0</v>
      </c>
      <c r="P29" s="77"/>
      <c r="Q29" s="78">
        <f>COUNTIF(Vertices[Eigenvector Centrality],"&gt;= "&amp;P29)-COUNTIF(Vertices[Eigenvector Centrality],"&gt;="&amp;P30)</f>
        <v>0</v>
      </c>
      <c r="R29" s="77"/>
      <c r="S29" s="79">
        <f>COUNTIF(Vertices[Clustering Coefficient],"&gt;= "&amp;R29)-COUNTIF(Vertices[Clustering Coefficient],"&gt;="&amp;R30)</f>
        <v>0</v>
      </c>
      <c r="T29" s="77"/>
      <c r="U29" s="78">
        <f>COUNTIF(Vertices[Clustering Coefficient],"&gt;= "&amp;T29)-COUNTIF(Vertices[Clustering Coefficient],"&gt;="&amp;T30)</f>
        <v>0</v>
      </c>
    </row>
    <row r="30" spans="4:21" ht="15">
      <c r="D30" s="34"/>
      <c r="E30" s="3">
        <f>COUNTIF(Vertices[Degree],"&gt;= "&amp;D30)-COUNTIF(Vertices[Degree],"&gt;="&amp;D31)</f>
        <v>0</v>
      </c>
      <c r="F30" s="77"/>
      <c r="G30" s="78">
        <f>COUNTIF(Vertices[In-Degree],"&gt;= "&amp;F30)-COUNTIF(Vertices[In-Degree],"&gt;="&amp;F31)</f>
        <v>0</v>
      </c>
      <c r="H30" s="77"/>
      <c r="I30" s="78">
        <f>COUNTIF(Vertices[Out-Degree],"&gt;= "&amp;H30)-COUNTIF(Vertices[Out-Degree],"&gt;="&amp;H31)</f>
        <v>0</v>
      </c>
      <c r="J30" s="77"/>
      <c r="K30" s="78">
        <f>COUNTIF(Vertices[Betweenness Centrality],"&gt;= "&amp;J30)-COUNTIF(Vertices[Betweenness Centrality],"&gt;="&amp;J31)</f>
        <v>0</v>
      </c>
      <c r="L30" s="77"/>
      <c r="M30" s="78">
        <f>COUNTIF(Vertices[Closeness Centrality],"&gt;= "&amp;L30)-COUNTIF(Vertices[Closeness Centrality],"&gt;="&amp;L31)</f>
        <v>0</v>
      </c>
      <c r="N30" s="77"/>
      <c r="O30" s="78">
        <f>COUNTIF(Vertices[Eigenvector Centrality],"&gt;= "&amp;N30)-COUNTIF(Vertices[Eigenvector Centrality],"&gt;="&amp;N31)</f>
        <v>0</v>
      </c>
      <c r="P30" s="77"/>
      <c r="Q30" s="78">
        <f>COUNTIF(Vertices[Eigenvector Centrality],"&gt;= "&amp;P30)-COUNTIF(Vertices[Eigenvector Centrality],"&gt;="&amp;P31)</f>
        <v>0</v>
      </c>
      <c r="R30" s="77"/>
      <c r="S30" s="79">
        <f>COUNTIF(Vertices[Clustering Coefficient],"&gt;= "&amp;R30)-COUNTIF(Vertices[Clustering Coefficient],"&gt;="&amp;R31)</f>
        <v>0</v>
      </c>
      <c r="T30" s="77"/>
      <c r="U30" s="78">
        <f>COUNTIF(Vertices[Clustering Coefficient],"&gt;= "&amp;T30)-COUNTIF(Vertices[Clustering Coefficient],"&gt;="&amp;T31)</f>
        <v>0</v>
      </c>
    </row>
    <row r="31" spans="4:21" ht="15">
      <c r="D31" s="34"/>
      <c r="E31" s="3">
        <f>COUNTIF(Vertices[Degree],"&gt;= "&amp;D31)-COUNTIF(Vertices[Degree],"&gt;="&amp;D32)</f>
        <v>0</v>
      </c>
      <c r="F31" s="77"/>
      <c r="G31" s="78">
        <f>COUNTIF(Vertices[In-Degree],"&gt;= "&amp;F31)-COUNTIF(Vertices[In-Degree],"&gt;="&amp;F32)</f>
        <v>0</v>
      </c>
      <c r="H31" s="77"/>
      <c r="I31" s="78">
        <f>COUNTIF(Vertices[Out-Degree],"&gt;= "&amp;H31)-COUNTIF(Vertices[Out-Degree],"&gt;="&amp;H32)</f>
        <v>0</v>
      </c>
      <c r="J31" s="77"/>
      <c r="K31" s="78">
        <f>COUNTIF(Vertices[Betweenness Centrality],"&gt;= "&amp;J31)-COUNTIF(Vertices[Betweenness Centrality],"&gt;="&amp;J32)</f>
        <v>0</v>
      </c>
      <c r="L31" s="77"/>
      <c r="M31" s="78">
        <f>COUNTIF(Vertices[Closeness Centrality],"&gt;= "&amp;L31)-COUNTIF(Vertices[Closeness Centrality],"&gt;="&amp;L32)</f>
        <v>0</v>
      </c>
      <c r="N31" s="77"/>
      <c r="O31" s="78">
        <f>COUNTIF(Vertices[Eigenvector Centrality],"&gt;= "&amp;N31)-COUNTIF(Vertices[Eigenvector Centrality],"&gt;="&amp;N32)</f>
        <v>0</v>
      </c>
      <c r="P31" s="77"/>
      <c r="Q31" s="78">
        <f>COUNTIF(Vertices[Eigenvector Centrality],"&gt;= "&amp;P31)-COUNTIF(Vertices[Eigenvector Centrality],"&gt;="&amp;P32)</f>
        <v>0</v>
      </c>
      <c r="R31" s="77"/>
      <c r="S31" s="79">
        <f>COUNTIF(Vertices[Clustering Coefficient],"&gt;= "&amp;R31)-COUNTIF(Vertices[Clustering Coefficient],"&gt;="&amp;R32)</f>
        <v>0</v>
      </c>
      <c r="T31" s="77"/>
      <c r="U31" s="78">
        <f>COUNTIF(Vertices[Clustering Coefficient],"&gt;= "&amp;T31)-COUNTIF(Vertices[Clustering Coefficient],"&gt;="&amp;T32)</f>
        <v>0</v>
      </c>
    </row>
    <row r="32" spans="4:21" ht="15">
      <c r="D32" s="34"/>
      <c r="E32" s="3">
        <f>COUNTIF(Vertices[Degree],"&gt;= "&amp;D32)-COUNTIF(Vertices[Degree],"&gt;="&amp;D33)</f>
        <v>0</v>
      </c>
      <c r="F32" s="77"/>
      <c r="G32" s="78">
        <f>COUNTIF(Vertices[In-Degree],"&gt;= "&amp;F32)-COUNTIF(Vertices[In-Degree],"&gt;="&amp;F33)</f>
        <v>0</v>
      </c>
      <c r="H32" s="77"/>
      <c r="I32" s="78">
        <f>COUNTIF(Vertices[Out-Degree],"&gt;= "&amp;H32)-COUNTIF(Vertices[Out-Degree],"&gt;="&amp;H33)</f>
        <v>0</v>
      </c>
      <c r="J32" s="77"/>
      <c r="K32" s="78">
        <f>COUNTIF(Vertices[Betweenness Centrality],"&gt;= "&amp;J32)-COUNTIF(Vertices[Betweenness Centrality],"&gt;="&amp;J33)</f>
        <v>0</v>
      </c>
      <c r="L32" s="77"/>
      <c r="M32" s="78">
        <f>COUNTIF(Vertices[Closeness Centrality],"&gt;= "&amp;L32)-COUNTIF(Vertices[Closeness Centrality],"&gt;="&amp;L33)</f>
        <v>0</v>
      </c>
      <c r="N32" s="77"/>
      <c r="O32" s="78">
        <f>COUNTIF(Vertices[Eigenvector Centrality],"&gt;= "&amp;N32)-COUNTIF(Vertices[Eigenvector Centrality],"&gt;="&amp;N33)</f>
        <v>0</v>
      </c>
      <c r="P32" s="77"/>
      <c r="Q32" s="78">
        <f>COUNTIF(Vertices[Eigenvector Centrality],"&gt;= "&amp;P32)-COUNTIF(Vertices[Eigenvector Centrality],"&gt;="&amp;P33)</f>
        <v>0</v>
      </c>
      <c r="R32" s="77"/>
      <c r="S32" s="79">
        <f>COUNTIF(Vertices[Clustering Coefficient],"&gt;= "&amp;R32)-COUNTIF(Vertices[Clustering Coefficient],"&gt;="&amp;R33)</f>
        <v>0</v>
      </c>
      <c r="T32" s="77"/>
      <c r="U32" s="78">
        <f>COUNTIF(Vertices[Clustering Coefficient],"&gt;= "&amp;T32)-COUNTIF(Vertices[Clustering Coefficient],"&gt;="&amp;T33)</f>
        <v>0</v>
      </c>
    </row>
    <row r="33" spans="4:21" ht="15">
      <c r="D33" s="34"/>
      <c r="E33" s="3">
        <f>COUNTIF(Vertices[Degree],"&gt;= "&amp;D33)-COUNTIF(Vertices[Degree],"&gt;="&amp;D38)</f>
        <v>0</v>
      </c>
      <c r="F33" s="77"/>
      <c r="G33" s="78">
        <f>COUNTIF(Vertices[In-Degree],"&gt;= "&amp;F33)-COUNTIF(Vertices[In-Degree],"&gt;="&amp;F38)</f>
        <v>0</v>
      </c>
      <c r="H33" s="77"/>
      <c r="I33" s="78">
        <f>COUNTIF(Vertices[Out-Degree],"&gt;= "&amp;H33)-COUNTIF(Vertices[Out-Degree],"&gt;="&amp;H38)</f>
        <v>0</v>
      </c>
      <c r="J33" s="77"/>
      <c r="K33" s="78">
        <f>COUNTIF(Vertices[Betweenness Centrality],"&gt;= "&amp;J33)-COUNTIF(Vertices[Betweenness Centrality],"&gt;="&amp;J38)</f>
        <v>0</v>
      </c>
      <c r="L33" s="77"/>
      <c r="M33" s="78">
        <f>COUNTIF(Vertices[Closeness Centrality],"&gt;= "&amp;L33)-COUNTIF(Vertices[Closeness Centrality],"&gt;="&amp;L38)</f>
        <v>0</v>
      </c>
      <c r="N33" s="77"/>
      <c r="O33" s="78">
        <f>COUNTIF(Vertices[Eigenvector Centrality],"&gt;= "&amp;N33)-COUNTIF(Vertices[Eigenvector Centrality],"&gt;="&amp;N38)</f>
        <v>0</v>
      </c>
      <c r="P33" s="77"/>
      <c r="Q33" s="78">
        <f>COUNTIF(Vertices[Eigenvector Centrality],"&gt;= "&amp;P33)-COUNTIF(Vertices[Eigenvector Centrality],"&gt;="&amp;P38)</f>
        <v>0</v>
      </c>
      <c r="R33" s="77"/>
      <c r="S33" s="79">
        <f>COUNTIF(Vertices[Clustering Coefficient],"&gt;= "&amp;R33)-COUNTIF(Vertices[Clustering Coefficient],"&gt;="&amp;R38)</f>
        <v>0</v>
      </c>
      <c r="T33" s="77"/>
      <c r="U33" s="78">
        <f>COUNTIF(Vertices[Clustering Coefficient],"&gt;= "&amp;T33)-COUNTIF(Vertices[Clustering Coefficient],"&gt;="&amp;T38)</f>
        <v>0</v>
      </c>
    </row>
    <row r="34" spans="4:21" ht="15">
      <c r="D34" s="34"/>
      <c r="E34" s="3">
        <f>COUNTIF(Vertices[Degree],"&gt;= "&amp;D34)-COUNTIF(Vertices[Degree],"&gt;="&amp;D35)</f>
        <v>0</v>
      </c>
      <c r="F34" s="77"/>
      <c r="G34" s="78">
        <f>COUNTIF(Vertices[In-Degree],"&gt;= "&amp;F34)-COUNTIF(Vertices[In-Degree],"&gt;="&amp;F35)</f>
        <v>0</v>
      </c>
      <c r="H34" s="77"/>
      <c r="I34" s="78">
        <f>COUNTIF(Vertices[Out-Degree],"&gt;= "&amp;H34)-COUNTIF(Vertices[Out-Degree],"&gt;="&amp;H35)</f>
        <v>0</v>
      </c>
      <c r="J34" s="77"/>
      <c r="K34" s="78">
        <f>COUNTIF(Vertices[Betweenness Centrality],"&gt;= "&amp;J34)-COUNTIF(Vertices[Betweenness Centrality],"&gt;="&amp;J35)</f>
        <v>0</v>
      </c>
      <c r="L34" s="77"/>
      <c r="M34" s="78">
        <f>COUNTIF(Vertices[Closeness Centrality],"&gt;= "&amp;L34)-COUNTIF(Vertices[Closeness Centrality],"&gt;="&amp;L35)</f>
        <v>0</v>
      </c>
      <c r="N34" s="77"/>
      <c r="O34" s="78">
        <f>COUNTIF(Vertices[Eigenvector Centrality],"&gt;= "&amp;N34)-COUNTIF(Vertices[Eigenvector Centrality],"&gt;="&amp;N35)</f>
        <v>0</v>
      </c>
      <c r="P34" s="77"/>
      <c r="Q34" s="78">
        <f>COUNTIF(Vertices[Eigenvector Centrality],"&gt;= "&amp;P34)-COUNTIF(Vertices[Eigenvector Centrality],"&gt;="&amp;P35)</f>
        <v>0</v>
      </c>
      <c r="R34" s="77"/>
      <c r="S34" s="79">
        <f>COUNTIF(Vertices[Clustering Coefficient],"&gt;= "&amp;R34)-COUNTIF(Vertices[Clustering Coefficient],"&gt;="&amp;R35)</f>
        <v>0</v>
      </c>
      <c r="T34" s="77"/>
      <c r="U34" s="78">
        <f>COUNTIF(Vertices[Clustering Coefficient],"&gt;= "&amp;T34)-COUNTIF(Vertices[Clustering Coefficient],"&gt;="&amp;T35)</f>
        <v>0</v>
      </c>
    </row>
    <row r="35" spans="4:21" ht="15">
      <c r="D35" s="34"/>
      <c r="E35" s="3">
        <f>COUNTIF(Vertices[Degree],"&gt;= "&amp;D35)-COUNTIF(Vertices[Degree],"&gt;="&amp;D36)</f>
        <v>0</v>
      </c>
      <c r="F35" s="77"/>
      <c r="G35" s="78">
        <f>COUNTIF(Vertices[In-Degree],"&gt;= "&amp;F35)-COUNTIF(Vertices[In-Degree],"&gt;="&amp;F36)</f>
        <v>0</v>
      </c>
      <c r="H35" s="77"/>
      <c r="I35" s="78">
        <f>COUNTIF(Vertices[Out-Degree],"&gt;= "&amp;H35)-COUNTIF(Vertices[Out-Degree],"&gt;="&amp;H36)</f>
        <v>0</v>
      </c>
      <c r="J35" s="77"/>
      <c r="K35" s="78">
        <f>COUNTIF(Vertices[Betweenness Centrality],"&gt;= "&amp;J35)-COUNTIF(Vertices[Betweenness Centrality],"&gt;="&amp;J36)</f>
        <v>0</v>
      </c>
      <c r="L35" s="77"/>
      <c r="M35" s="78">
        <f>COUNTIF(Vertices[Closeness Centrality],"&gt;= "&amp;L35)-COUNTIF(Vertices[Closeness Centrality],"&gt;="&amp;L36)</f>
        <v>0</v>
      </c>
      <c r="N35" s="77"/>
      <c r="O35" s="78">
        <f>COUNTIF(Vertices[Eigenvector Centrality],"&gt;= "&amp;N35)-COUNTIF(Vertices[Eigenvector Centrality],"&gt;="&amp;N36)</f>
        <v>0</v>
      </c>
      <c r="P35" s="77"/>
      <c r="Q35" s="78">
        <f>COUNTIF(Vertices[Eigenvector Centrality],"&gt;= "&amp;P35)-COUNTIF(Vertices[Eigenvector Centrality],"&gt;="&amp;P36)</f>
        <v>0</v>
      </c>
      <c r="R35" s="77"/>
      <c r="S35" s="79">
        <f>COUNTIF(Vertices[Clustering Coefficient],"&gt;= "&amp;R35)-COUNTIF(Vertices[Clustering Coefficient],"&gt;="&amp;R36)</f>
        <v>0</v>
      </c>
      <c r="T35" s="77"/>
      <c r="U35" s="78">
        <f>COUNTIF(Vertices[Clustering Coefficient],"&gt;= "&amp;T35)-COUNTIF(Vertices[Clustering Coefficient],"&gt;="&amp;T36)</f>
        <v>0</v>
      </c>
    </row>
    <row r="36" spans="4:21" ht="15">
      <c r="D36" s="34"/>
      <c r="E36" s="3">
        <f>COUNTIF(Vertices[Degree],"&gt;= "&amp;D36)-COUNTIF(Vertices[Degree],"&gt;="&amp;D37)</f>
        <v>0</v>
      </c>
      <c r="F36" s="77"/>
      <c r="G36" s="78">
        <f>COUNTIF(Vertices[In-Degree],"&gt;= "&amp;F36)-COUNTIF(Vertices[In-Degree],"&gt;="&amp;F37)</f>
        <v>0</v>
      </c>
      <c r="H36" s="77"/>
      <c r="I36" s="78">
        <f>COUNTIF(Vertices[Out-Degree],"&gt;= "&amp;H36)-COUNTIF(Vertices[Out-Degree],"&gt;="&amp;H37)</f>
        <v>0</v>
      </c>
      <c r="J36" s="77"/>
      <c r="K36" s="78">
        <f>COUNTIF(Vertices[Betweenness Centrality],"&gt;= "&amp;J36)-COUNTIF(Vertices[Betweenness Centrality],"&gt;="&amp;J37)</f>
        <v>0</v>
      </c>
      <c r="L36" s="77"/>
      <c r="M36" s="78">
        <f>COUNTIF(Vertices[Closeness Centrality],"&gt;= "&amp;L36)-COUNTIF(Vertices[Closeness Centrality],"&gt;="&amp;L37)</f>
        <v>0</v>
      </c>
      <c r="N36" s="77"/>
      <c r="O36" s="78">
        <f>COUNTIF(Vertices[Eigenvector Centrality],"&gt;= "&amp;N36)-COUNTIF(Vertices[Eigenvector Centrality],"&gt;="&amp;N37)</f>
        <v>0</v>
      </c>
      <c r="P36" s="77"/>
      <c r="Q36" s="78">
        <f>COUNTIF(Vertices[Eigenvector Centrality],"&gt;= "&amp;P36)-COUNTIF(Vertices[Eigenvector Centrality],"&gt;="&amp;P37)</f>
        <v>0</v>
      </c>
      <c r="R36" s="77"/>
      <c r="S36" s="79">
        <f>COUNTIF(Vertices[Clustering Coefficient],"&gt;= "&amp;R36)-COUNTIF(Vertices[Clustering Coefficient],"&gt;="&amp;R37)</f>
        <v>0</v>
      </c>
      <c r="T36" s="77"/>
      <c r="U36" s="78">
        <f>COUNTIF(Vertices[Clustering Coefficient],"&gt;= "&amp;T36)-COUNTIF(Vertices[Clustering Coefficient],"&gt;="&amp;T37)</f>
        <v>0</v>
      </c>
    </row>
    <row r="37" spans="4:21" ht="15">
      <c r="D37" s="34"/>
      <c r="E37" s="3">
        <f>COUNTIF(Vertices[Degree],"&gt;= "&amp;D37)-COUNTIF(Vertices[Degree],"&gt;="&amp;D38)</f>
        <v>0</v>
      </c>
      <c r="F37" s="77"/>
      <c r="G37" s="78">
        <f>COUNTIF(Vertices[In-Degree],"&gt;= "&amp;F37)-COUNTIF(Vertices[In-Degree],"&gt;="&amp;F38)</f>
        <v>0</v>
      </c>
      <c r="H37" s="77"/>
      <c r="I37" s="78">
        <f>COUNTIF(Vertices[Out-Degree],"&gt;= "&amp;H37)-COUNTIF(Vertices[Out-Degree],"&gt;="&amp;H38)</f>
        <v>0</v>
      </c>
      <c r="J37" s="77"/>
      <c r="K37" s="78">
        <f>COUNTIF(Vertices[Betweenness Centrality],"&gt;= "&amp;J37)-COUNTIF(Vertices[Betweenness Centrality],"&gt;="&amp;J38)</f>
        <v>0</v>
      </c>
      <c r="L37" s="77"/>
      <c r="M37" s="78">
        <f>COUNTIF(Vertices[Closeness Centrality],"&gt;= "&amp;L37)-COUNTIF(Vertices[Closeness Centrality],"&gt;="&amp;L38)</f>
        <v>0</v>
      </c>
      <c r="N37" s="77"/>
      <c r="O37" s="78">
        <f>COUNTIF(Vertices[Eigenvector Centrality],"&gt;= "&amp;N37)-COUNTIF(Vertices[Eigenvector Centrality],"&gt;="&amp;N38)</f>
        <v>0</v>
      </c>
      <c r="P37" s="77"/>
      <c r="Q37" s="78">
        <f>COUNTIF(Vertices[Eigenvector Centrality],"&gt;= "&amp;P37)-COUNTIF(Vertices[Eigenvector Centrality],"&gt;="&amp;P38)</f>
        <v>0</v>
      </c>
      <c r="R37" s="77"/>
      <c r="S37" s="79">
        <f>COUNTIF(Vertices[Clustering Coefficient],"&gt;= "&amp;R37)-COUNTIF(Vertices[Clustering Coefficient],"&gt;="&amp;R38)</f>
        <v>0</v>
      </c>
      <c r="T37" s="77"/>
      <c r="U37" s="78">
        <f>COUNTIF(Vertices[Clustering Coefficient],"&gt;= "&amp;T37)-COUNTIF(Vertices[Clustering Coefficient],"&gt;="&amp;T38)</f>
        <v>0</v>
      </c>
    </row>
    <row r="38" spans="4:21" ht="15">
      <c r="D38" s="34"/>
      <c r="E38" s="3">
        <f>COUNTIF(Vertices[Degree],"&gt;= "&amp;D38)-COUNTIF(Vertices[Degree],"&gt;="&amp;D40)</f>
        <v>0</v>
      </c>
      <c r="F38" s="77"/>
      <c r="G38" s="78">
        <f>COUNTIF(Vertices[In-Degree],"&gt;= "&amp;F38)-COUNTIF(Vertices[In-Degree],"&gt;="&amp;F40)</f>
        <v>-1</v>
      </c>
      <c r="H38" s="77"/>
      <c r="I38" s="78">
        <f>COUNTIF(Vertices[Out-Degree],"&gt;= "&amp;H38)-COUNTIF(Vertices[Out-Degree],"&gt;="&amp;H40)</f>
        <v>-4</v>
      </c>
      <c r="J38" s="77"/>
      <c r="K38" s="78">
        <f>COUNTIF(Vertices[Betweenness Centrality],"&gt;= "&amp;J38)-COUNTIF(Vertices[Betweenness Centrality],"&gt;="&amp;J40)</f>
        <v>-1</v>
      </c>
      <c r="L38" s="77"/>
      <c r="M38" s="78">
        <f>COUNTIF(Vertices[Closeness Centrality],"&gt;= "&amp;L38)-COUNTIF(Vertices[Closeness Centrality],"&gt;="&amp;L40)</f>
        <v>-1</v>
      </c>
      <c r="N38" s="77"/>
      <c r="O38" s="78">
        <f>COUNTIF(Vertices[Eigenvector Centrality],"&gt;= "&amp;N38)-COUNTIF(Vertices[Eigenvector Centrality],"&gt;="&amp;N40)</f>
        <v>-5</v>
      </c>
      <c r="P38" s="77"/>
      <c r="Q38" s="78">
        <f>COUNTIF(Vertices[Eigenvector Centrality],"&gt;= "&amp;P38)-COUNTIF(Vertices[Eigenvector Centrality],"&gt;="&amp;P40)</f>
        <v>0</v>
      </c>
      <c r="R38" s="77"/>
      <c r="S38" s="79">
        <f>COUNTIF(Vertices[Clustering Coefficient],"&gt;= "&amp;R38)-COUNTIF(Vertices[Clustering Coefficient],"&gt;="&amp;R40)</f>
        <v>-7</v>
      </c>
      <c r="T38" s="77"/>
      <c r="U38" s="78">
        <f ca="1">COUNTIF(Vertices[Clustering Coefficient],"&gt;= "&amp;T38)-COUNTIF(Vertices[Clustering Coefficient],"&gt;="&amp;T40)</f>
        <v>0</v>
      </c>
    </row>
    <row r="39" spans="4:21" ht="15">
      <c r="D39" s="34"/>
      <c r="E39" s="3">
        <f>COUNTIF(Vertices[Degree],"&gt;= "&amp;D39)-COUNTIF(Vertices[Degree],"&gt;="&amp;D40)</f>
        <v>0</v>
      </c>
      <c r="F39" s="77"/>
      <c r="G39" s="78">
        <f>COUNTIF(Vertices[In-Degree],"&gt;= "&amp;F39)-COUNTIF(Vertices[In-Degree],"&gt;="&amp;F40)</f>
        <v>-1</v>
      </c>
      <c r="H39" s="77"/>
      <c r="I39" s="78">
        <f>COUNTIF(Vertices[Out-Degree],"&gt;= "&amp;H39)-COUNTIF(Vertices[Out-Degree],"&gt;="&amp;H40)</f>
        <v>-4</v>
      </c>
      <c r="J39" s="77"/>
      <c r="K39" s="78">
        <f>COUNTIF(Vertices[Betweenness Centrality],"&gt;= "&amp;J39)-COUNTIF(Vertices[Betweenness Centrality],"&gt;="&amp;J40)</f>
        <v>-1</v>
      </c>
      <c r="L39" s="77"/>
      <c r="M39" s="78">
        <f>COUNTIF(Vertices[Closeness Centrality],"&gt;= "&amp;L39)-COUNTIF(Vertices[Closeness Centrality],"&gt;="&amp;L40)</f>
        <v>-1</v>
      </c>
      <c r="N39" s="77"/>
      <c r="O39" s="78">
        <f>COUNTIF(Vertices[Eigenvector Centrality],"&gt;= "&amp;N39)-COUNTIF(Vertices[Eigenvector Centrality],"&gt;="&amp;N40)</f>
        <v>-5</v>
      </c>
      <c r="P39" s="77"/>
      <c r="Q39" s="78">
        <f>COUNTIF(Vertices[Eigenvector Centrality],"&gt;= "&amp;P39)-COUNTIF(Vertices[Eigenvector Centrality],"&gt;="&amp;P40)</f>
        <v>0</v>
      </c>
      <c r="R39" s="77"/>
      <c r="S39" s="79">
        <f>COUNTIF(Vertices[Clustering Coefficient],"&gt;= "&amp;R39)-COUNTIF(Vertices[Clustering Coefficient],"&gt;="&amp;R40)</f>
        <v>-7</v>
      </c>
      <c r="T39" s="77"/>
      <c r="U39" s="78">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0.9454545454545457</v>
      </c>
      <c r="I40" s="40">
        <f>COUNTIF(Vertices[Out-Degree],"&gt;= "&amp;H40)-COUNTIF(Vertices[Out-Degree],"&gt;="&amp;H41)</f>
        <v>0</v>
      </c>
      <c r="J40" s="39">
        <f>J28+($J$57-$J$2)/BinDivisor</f>
        <v>12.290909090909091</v>
      </c>
      <c r="K40" s="40">
        <f>COUNTIF(Vertices[Betweenness Centrality],"&gt;= "&amp;J40)-COUNTIF(Vertices[Betweenness Centrality],"&gt;="&amp;J41)</f>
        <v>0</v>
      </c>
      <c r="L40" s="39">
        <f>L28+($L$57-$L$2)/BinDivisor</f>
        <v>0.09204545454545437</v>
      </c>
      <c r="M40" s="40">
        <f>COUNTIF(Vertices[Closeness Centrality],"&gt;= "&amp;L40)-COUNTIF(Vertices[Closeness Centrality],"&gt;="&amp;L41)</f>
        <v>0</v>
      </c>
      <c r="N40" s="39">
        <f>N28+($N$57-$N$2)/BinDivisor</f>
        <v>0.13848125454545465</v>
      </c>
      <c r="O40" s="40">
        <f>COUNTIF(Vertices[Eigenvector Centrality],"&gt;= "&amp;N40)-COUNTIF(Vertices[Eigenvector Centrality],"&gt;="&amp;N41)</f>
        <v>0</v>
      </c>
      <c r="P40" s="39">
        <f>P28+($P$57-$P$2)/BinDivisor</f>
        <v>1.3509373636363624</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160</v>
      </c>
      <c r="B41" t="s">
        <v>17</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0.981818181818182</v>
      </c>
      <c r="I41" s="42">
        <f>COUNTIF(Vertices[Out-Degree],"&gt;= "&amp;H41)-COUNTIF(Vertices[Out-Degree],"&gt;="&amp;H42)</f>
        <v>1</v>
      </c>
      <c r="J41" s="41">
        <f aca="true" t="shared" si="13" ref="J41:J56">J40+($J$57-$J$2)/BinDivisor</f>
        <v>12.763636363636364</v>
      </c>
      <c r="K41" s="42">
        <f>COUNTIF(Vertices[Betweenness Centrality],"&gt;= "&amp;J41)-COUNTIF(Vertices[Betweenness Centrality],"&gt;="&amp;J42)</f>
        <v>0</v>
      </c>
      <c r="L41" s="41">
        <f aca="true" t="shared" si="14" ref="L41:L56">L40+($L$57-$L$2)/BinDivisor</f>
        <v>0.093181818181818</v>
      </c>
      <c r="M41" s="42">
        <f>COUNTIF(Vertices[Closeness Centrality],"&gt;= "&amp;L41)-COUNTIF(Vertices[Closeness Centrality],"&gt;="&amp;L42)</f>
        <v>0</v>
      </c>
      <c r="N41" s="41">
        <f aca="true" t="shared" si="15" ref="N41:N56">N40+($N$57-$N$2)/BinDivisor</f>
        <v>0.14139841818181828</v>
      </c>
      <c r="O41" s="42">
        <f>COUNTIF(Vertices[Eigenvector Centrality],"&gt;= "&amp;N41)-COUNTIF(Vertices[Eigenvector Centrality],"&gt;="&amp;N42)</f>
        <v>2</v>
      </c>
      <c r="P41" s="41">
        <f aca="true" t="shared" si="16" ref="P41:P56">P40+($P$57-$P$2)/BinDivisor</f>
        <v>1.3793514545454533</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1.5272727272727267</v>
      </c>
      <c r="G42" s="40">
        <f>COUNTIF(Vertices[In-Degree],"&gt;= "&amp;F42)-COUNTIF(Vertices[In-Degree],"&gt;="&amp;F43)</f>
        <v>0</v>
      </c>
      <c r="H42" s="39">
        <f t="shared" si="12"/>
        <v>1.0181818181818183</v>
      </c>
      <c r="I42" s="40">
        <f>COUNTIF(Vertices[Out-Degree],"&gt;= "&amp;H42)-COUNTIF(Vertices[Out-Degree],"&gt;="&amp;H43)</f>
        <v>0</v>
      </c>
      <c r="J42" s="39">
        <f t="shared" si="13"/>
        <v>13.236363636363636</v>
      </c>
      <c r="K42" s="40">
        <f>COUNTIF(Vertices[Betweenness Centrality],"&gt;= "&amp;J42)-COUNTIF(Vertices[Betweenness Centrality],"&gt;="&amp;J43)</f>
        <v>0</v>
      </c>
      <c r="L42" s="39">
        <f t="shared" si="14"/>
        <v>0.09431818181818163</v>
      </c>
      <c r="M42" s="40">
        <f>COUNTIF(Vertices[Closeness Centrality],"&gt;= "&amp;L42)-COUNTIF(Vertices[Closeness Centrality],"&gt;="&amp;L43)</f>
        <v>0</v>
      </c>
      <c r="N42" s="39">
        <f t="shared" si="15"/>
        <v>0.1443155818181819</v>
      </c>
      <c r="O42" s="40">
        <f>COUNTIF(Vertices[Eigenvector Centrality],"&gt;= "&amp;N42)-COUNTIF(Vertices[Eigenvector Centrality],"&gt;="&amp;N43)</f>
        <v>0</v>
      </c>
      <c r="P42" s="39">
        <f t="shared" si="16"/>
        <v>1.4077655454545441</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1.5818181818181811</v>
      </c>
      <c r="G43" s="42">
        <f>COUNTIF(Vertices[In-Degree],"&gt;= "&amp;F43)-COUNTIF(Vertices[In-Degree],"&gt;="&amp;F44)</f>
        <v>0</v>
      </c>
      <c r="H43" s="41">
        <f t="shared" si="12"/>
        <v>1.0545454545454547</v>
      </c>
      <c r="I43" s="42">
        <f>COUNTIF(Vertices[Out-Degree],"&gt;= "&amp;H43)-COUNTIF(Vertices[Out-Degree],"&gt;="&amp;H44)</f>
        <v>0</v>
      </c>
      <c r="J43" s="41">
        <f t="shared" si="13"/>
        <v>13.709090909090909</v>
      </c>
      <c r="K43" s="42">
        <f>COUNTIF(Vertices[Betweenness Centrality],"&gt;= "&amp;J43)-COUNTIF(Vertices[Betweenness Centrality],"&gt;="&amp;J44)</f>
        <v>0</v>
      </c>
      <c r="L43" s="41">
        <f t="shared" si="14"/>
        <v>0.09545454545454526</v>
      </c>
      <c r="M43" s="42">
        <f>COUNTIF(Vertices[Closeness Centrality],"&gt;= "&amp;L43)-COUNTIF(Vertices[Closeness Centrality],"&gt;="&amp;L44)</f>
        <v>0</v>
      </c>
      <c r="N43" s="41">
        <f t="shared" si="15"/>
        <v>0.14723274545454554</v>
      </c>
      <c r="O43" s="42">
        <f>COUNTIF(Vertices[Eigenvector Centrality],"&gt;= "&amp;N43)-COUNTIF(Vertices[Eigenvector Centrality],"&gt;="&amp;N44)</f>
        <v>0</v>
      </c>
      <c r="P43" s="41">
        <f t="shared" si="16"/>
        <v>1.436179636363635</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1.6363636363636356</v>
      </c>
      <c r="G44" s="40">
        <f>COUNTIF(Vertices[In-Degree],"&gt;= "&amp;F44)-COUNTIF(Vertices[In-Degree],"&gt;="&amp;F45)</f>
        <v>0</v>
      </c>
      <c r="H44" s="39">
        <f t="shared" si="12"/>
        <v>1.090909090909091</v>
      </c>
      <c r="I44" s="40">
        <f>COUNTIF(Vertices[Out-Degree],"&gt;= "&amp;H44)-COUNTIF(Vertices[Out-Degree],"&gt;="&amp;H45)</f>
        <v>0</v>
      </c>
      <c r="J44" s="39">
        <f t="shared" si="13"/>
        <v>14.181818181818182</v>
      </c>
      <c r="K44" s="40">
        <f>COUNTIF(Vertices[Betweenness Centrality],"&gt;= "&amp;J44)-COUNTIF(Vertices[Betweenness Centrality],"&gt;="&amp;J45)</f>
        <v>0</v>
      </c>
      <c r="L44" s="39">
        <f t="shared" si="14"/>
        <v>0.0965909090909089</v>
      </c>
      <c r="M44" s="40">
        <f>COUNTIF(Vertices[Closeness Centrality],"&gt;= "&amp;L44)-COUNTIF(Vertices[Closeness Centrality],"&gt;="&amp;L45)</f>
        <v>0</v>
      </c>
      <c r="N44" s="39">
        <f t="shared" si="15"/>
        <v>0.15014990909090917</v>
      </c>
      <c r="O44" s="40">
        <f>COUNTIF(Vertices[Eigenvector Centrality],"&gt;= "&amp;N44)-COUNTIF(Vertices[Eigenvector Centrality],"&gt;="&amp;N45)</f>
        <v>0</v>
      </c>
      <c r="P44" s="39">
        <f t="shared" si="16"/>
        <v>1.4645937272727259</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1.69090909090909</v>
      </c>
      <c r="G45" s="42">
        <f>COUNTIF(Vertices[In-Degree],"&gt;= "&amp;F45)-COUNTIF(Vertices[In-Degree],"&gt;="&amp;F46)</f>
        <v>0</v>
      </c>
      <c r="H45" s="41">
        <f t="shared" si="12"/>
        <v>1.1272727272727274</v>
      </c>
      <c r="I45" s="42">
        <f>COUNTIF(Vertices[Out-Degree],"&gt;= "&amp;H45)-COUNTIF(Vertices[Out-Degree],"&gt;="&amp;H46)</f>
        <v>0</v>
      </c>
      <c r="J45" s="41">
        <f t="shared" si="13"/>
        <v>14.654545454545454</v>
      </c>
      <c r="K45" s="42">
        <f>COUNTIF(Vertices[Betweenness Centrality],"&gt;= "&amp;J45)-COUNTIF(Vertices[Betweenness Centrality],"&gt;="&amp;J46)</f>
        <v>0</v>
      </c>
      <c r="L45" s="41">
        <f t="shared" si="14"/>
        <v>0.09772727272727252</v>
      </c>
      <c r="M45" s="42">
        <f>COUNTIF(Vertices[Closeness Centrality],"&gt;= "&amp;L45)-COUNTIF(Vertices[Closeness Centrality],"&gt;="&amp;L46)</f>
        <v>0</v>
      </c>
      <c r="N45" s="41">
        <f t="shared" si="15"/>
        <v>0.1530670727272728</v>
      </c>
      <c r="O45" s="42">
        <f>COUNTIF(Vertices[Eigenvector Centrality],"&gt;= "&amp;N45)-COUNTIF(Vertices[Eigenvector Centrality],"&gt;="&amp;N46)</f>
        <v>0</v>
      </c>
      <c r="P45" s="41">
        <f t="shared" si="16"/>
        <v>1.4930078181818167</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1.7454545454545445</v>
      </c>
      <c r="G46" s="40">
        <f>COUNTIF(Vertices[In-Degree],"&gt;= "&amp;F46)-COUNTIF(Vertices[In-Degree],"&gt;="&amp;F47)</f>
        <v>0</v>
      </c>
      <c r="H46" s="39">
        <f t="shared" si="12"/>
        <v>1.1636363636363638</v>
      </c>
      <c r="I46" s="40">
        <f>COUNTIF(Vertices[Out-Degree],"&gt;= "&amp;H46)-COUNTIF(Vertices[Out-Degree],"&gt;="&amp;H47)</f>
        <v>0</v>
      </c>
      <c r="J46" s="39">
        <f t="shared" si="13"/>
        <v>15.127272727272727</v>
      </c>
      <c r="K46" s="40">
        <f>COUNTIF(Vertices[Betweenness Centrality],"&gt;= "&amp;J46)-COUNTIF(Vertices[Betweenness Centrality],"&gt;="&amp;J47)</f>
        <v>0</v>
      </c>
      <c r="L46" s="39">
        <f t="shared" si="14"/>
        <v>0.09886363636363615</v>
      </c>
      <c r="M46" s="40">
        <f>COUNTIF(Vertices[Closeness Centrality],"&gt;= "&amp;L46)-COUNTIF(Vertices[Closeness Centrality],"&gt;="&amp;L47)</f>
        <v>0</v>
      </c>
      <c r="N46" s="39">
        <f t="shared" si="15"/>
        <v>0.15598423636363642</v>
      </c>
      <c r="O46" s="40">
        <f>COUNTIF(Vertices[Eigenvector Centrality],"&gt;= "&amp;N46)-COUNTIF(Vertices[Eigenvector Centrality],"&gt;="&amp;N47)</f>
        <v>0</v>
      </c>
      <c r="P46" s="39">
        <f t="shared" si="16"/>
        <v>1.5214219090909076</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1.799999999999999</v>
      </c>
      <c r="G47" s="42">
        <f>COUNTIF(Vertices[In-Degree],"&gt;= "&amp;F47)-COUNTIF(Vertices[In-Degree],"&gt;="&amp;F48)</f>
        <v>0</v>
      </c>
      <c r="H47" s="41">
        <f t="shared" si="12"/>
        <v>1.2000000000000002</v>
      </c>
      <c r="I47" s="42">
        <f>COUNTIF(Vertices[Out-Degree],"&gt;= "&amp;H47)-COUNTIF(Vertices[Out-Degree],"&gt;="&amp;H48)</f>
        <v>0</v>
      </c>
      <c r="J47" s="41">
        <f t="shared" si="13"/>
        <v>15.6</v>
      </c>
      <c r="K47" s="42">
        <f>COUNTIF(Vertices[Betweenness Centrality],"&gt;= "&amp;J47)-COUNTIF(Vertices[Betweenness Centrality],"&gt;="&amp;J48)</f>
        <v>0</v>
      </c>
      <c r="L47" s="41">
        <f t="shared" si="14"/>
        <v>0.09999999999999978</v>
      </c>
      <c r="M47" s="42">
        <f>COUNTIF(Vertices[Closeness Centrality],"&gt;= "&amp;L47)-COUNTIF(Vertices[Closeness Centrality],"&gt;="&amp;L48)</f>
        <v>0</v>
      </c>
      <c r="N47" s="41">
        <f t="shared" si="15"/>
        <v>0.15890140000000005</v>
      </c>
      <c r="O47" s="42">
        <f>COUNTIF(Vertices[Eigenvector Centrality],"&gt;= "&amp;N47)-COUNTIF(Vertices[Eigenvector Centrality],"&gt;="&amp;N48)</f>
        <v>0</v>
      </c>
      <c r="P47" s="41">
        <f t="shared" si="16"/>
        <v>1.5498359999999984</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1.8545454545454534</v>
      </c>
      <c r="G48" s="40">
        <f>COUNTIF(Vertices[In-Degree],"&gt;= "&amp;F48)-COUNTIF(Vertices[In-Degree],"&gt;="&amp;F49)</f>
        <v>0</v>
      </c>
      <c r="H48" s="39">
        <f t="shared" si="12"/>
        <v>1.2363636363636366</v>
      </c>
      <c r="I48" s="40">
        <f>COUNTIF(Vertices[Out-Degree],"&gt;= "&amp;H48)-COUNTIF(Vertices[Out-Degree],"&gt;="&amp;H49)</f>
        <v>0</v>
      </c>
      <c r="J48" s="39">
        <f t="shared" si="13"/>
        <v>16.072727272727274</v>
      </c>
      <c r="K48" s="40">
        <f>COUNTIF(Vertices[Betweenness Centrality],"&gt;= "&amp;J48)-COUNTIF(Vertices[Betweenness Centrality],"&gt;="&amp;J49)</f>
        <v>0</v>
      </c>
      <c r="L48" s="39">
        <f t="shared" si="14"/>
        <v>0.10113636363636341</v>
      </c>
      <c r="M48" s="40">
        <f>COUNTIF(Vertices[Closeness Centrality],"&gt;= "&amp;L48)-COUNTIF(Vertices[Closeness Centrality],"&gt;="&amp;L49)</f>
        <v>0</v>
      </c>
      <c r="N48" s="39">
        <f t="shared" si="15"/>
        <v>0.16181856363636368</v>
      </c>
      <c r="O48" s="40">
        <f>COUNTIF(Vertices[Eigenvector Centrality],"&gt;= "&amp;N48)-COUNTIF(Vertices[Eigenvector Centrality],"&gt;="&amp;N49)</f>
        <v>0</v>
      </c>
      <c r="P48" s="39">
        <f t="shared" si="16"/>
        <v>1.5782500909090893</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1.272727272727273</v>
      </c>
      <c r="I49" s="42">
        <f>COUNTIF(Vertices[Out-Degree],"&gt;= "&amp;H49)-COUNTIF(Vertices[Out-Degree],"&gt;="&amp;H50)</f>
        <v>0</v>
      </c>
      <c r="J49" s="41">
        <f t="shared" si="13"/>
        <v>16.545454545454547</v>
      </c>
      <c r="K49" s="42">
        <f>COUNTIF(Vertices[Betweenness Centrality],"&gt;= "&amp;J49)-COUNTIF(Vertices[Betweenness Centrality],"&gt;="&amp;J50)</f>
        <v>0</v>
      </c>
      <c r="L49" s="41">
        <f t="shared" si="14"/>
        <v>0.10227272727272704</v>
      </c>
      <c r="M49" s="42">
        <f>COUNTIF(Vertices[Closeness Centrality],"&gt;= "&amp;L49)-COUNTIF(Vertices[Closeness Centrality],"&gt;="&amp;L50)</f>
        <v>0</v>
      </c>
      <c r="N49" s="41">
        <f t="shared" si="15"/>
        <v>0.1647357272727273</v>
      </c>
      <c r="O49" s="42">
        <f>COUNTIF(Vertices[Eigenvector Centrality],"&gt;= "&amp;N49)-COUNTIF(Vertices[Eigenvector Centrality],"&gt;="&amp;N50)</f>
        <v>0</v>
      </c>
      <c r="P49" s="41">
        <f t="shared" si="16"/>
        <v>1.6066641818181802</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0</v>
      </c>
      <c r="H50" s="39">
        <f t="shared" si="12"/>
        <v>1.3090909090909093</v>
      </c>
      <c r="I50" s="40">
        <f>COUNTIF(Vertices[Out-Degree],"&gt;= "&amp;H50)-COUNTIF(Vertices[Out-Degree],"&gt;="&amp;H51)</f>
        <v>0</v>
      </c>
      <c r="J50" s="39">
        <f t="shared" si="13"/>
        <v>17.01818181818182</v>
      </c>
      <c r="K50" s="40">
        <f>COUNTIF(Vertices[Betweenness Centrality],"&gt;= "&amp;J50)-COUNTIF(Vertices[Betweenness Centrality],"&gt;="&amp;J51)</f>
        <v>0</v>
      </c>
      <c r="L50" s="39">
        <f t="shared" si="14"/>
        <v>0.10340909090909067</v>
      </c>
      <c r="M50" s="40">
        <f>COUNTIF(Vertices[Closeness Centrality],"&gt;= "&amp;L50)-COUNTIF(Vertices[Closeness Centrality],"&gt;="&amp;L51)</f>
        <v>0</v>
      </c>
      <c r="N50" s="39">
        <f t="shared" si="15"/>
        <v>0.16765289090909094</v>
      </c>
      <c r="O50" s="40">
        <f>COUNTIF(Vertices[Eigenvector Centrality],"&gt;= "&amp;N50)-COUNTIF(Vertices[Eigenvector Centrality],"&gt;="&amp;N51)</f>
        <v>0</v>
      </c>
      <c r="P50" s="39">
        <f t="shared" si="16"/>
        <v>1.635078272727271</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1.3454545454545457</v>
      </c>
      <c r="I51" s="42">
        <f>COUNTIF(Vertices[Out-Degree],"&gt;= "&amp;H51)-COUNTIF(Vertices[Out-Degree],"&gt;="&amp;H52)</f>
        <v>0</v>
      </c>
      <c r="J51" s="41">
        <f t="shared" si="13"/>
        <v>17.490909090909092</v>
      </c>
      <c r="K51" s="42">
        <f>COUNTIF(Vertices[Betweenness Centrality],"&gt;= "&amp;J51)-COUNTIF(Vertices[Betweenness Centrality],"&gt;="&amp;J52)</f>
        <v>0</v>
      </c>
      <c r="L51" s="41">
        <f t="shared" si="14"/>
        <v>0.1045454545454543</v>
      </c>
      <c r="M51" s="42">
        <f>COUNTIF(Vertices[Closeness Centrality],"&gt;= "&amp;L51)-COUNTIF(Vertices[Closeness Centrality],"&gt;="&amp;L52)</f>
        <v>0</v>
      </c>
      <c r="N51" s="41">
        <f t="shared" si="15"/>
        <v>0.17057005454545457</v>
      </c>
      <c r="O51" s="42">
        <f>COUNTIF(Vertices[Eigenvector Centrality],"&gt;= "&amp;N51)-COUNTIF(Vertices[Eigenvector Centrality],"&gt;="&amp;N52)</f>
        <v>0</v>
      </c>
      <c r="P51" s="41">
        <f t="shared" si="16"/>
        <v>1.6634923636363619</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1.381818181818182</v>
      </c>
      <c r="I52" s="40">
        <f>COUNTIF(Vertices[Out-Degree],"&gt;= "&amp;H52)-COUNTIF(Vertices[Out-Degree],"&gt;="&amp;H53)</f>
        <v>0</v>
      </c>
      <c r="J52" s="39">
        <f t="shared" si="13"/>
        <v>17.963636363636365</v>
      </c>
      <c r="K52" s="40">
        <f>COUNTIF(Vertices[Betweenness Centrality],"&gt;= "&amp;J52)-COUNTIF(Vertices[Betweenness Centrality],"&gt;="&amp;J53)</f>
        <v>0</v>
      </c>
      <c r="L52" s="39">
        <f t="shared" si="14"/>
        <v>0.10568181818181793</v>
      </c>
      <c r="M52" s="40">
        <f>COUNTIF(Vertices[Closeness Centrality],"&gt;= "&amp;L52)-COUNTIF(Vertices[Closeness Centrality],"&gt;="&amp;L53)</f>
        <v>0</v>
      </c>
      <c r="N52" s="39">
        <f t="shared" si="15"/>
        <v>0.1734872181818182</v>
      </c>
      <c r="O52" s="40">
        <f>COUNTIF(Vertices[Eigenvector Centrality],"&gt;= "&amp;N52)-COUNTIF(Vertices[Eigenvector Centrality],"&gt;="&amp;N53)</f>
        <v>0</v>
      </c>
      <c r="P52" s="39">
        <f t="shared" si="16"/>
        <v>1.6919064545454527</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1.4181818181818184</v>
      </c>
      <c r="I53" s="42">
        <f>COUNTIF(Vertices[Out-Degree],"&gt;= "&amp;H53)-COUNTIF(Vertices[Out-Degree],"&gt;="&amp;H54)</f>
        <v>0</v>
      </c>
      <c r="J53" s="41">
        <f t="shared" si="13"/>
        <v>18.436363636363637</v>
      </c>
      <c r="K53" s="42">
        <f>COUNTIF(Vertices[Betweenness Centrality],"&gt;= "&amp;J53)-COUNTIF(Vertices[Betweenness Centrality],"&gt;="&amp;J54)</f>
        <v>0</v>
      </c>
      <c r="L53" s="41">
        <f t="shared" si="14"/>
        <v>0.10681818181818156</v>
      </c>
      <c r="M53" s="42">
        <f>COUNTIF(Vertices[Closeness Centrality],"&gt;= "&amp;L53)-COUNTIF(Vertices[Closeness Centrality],"&gt;="&amp;L54)</f>
        <v>0</v>
      </c>
      <c r="N53" s="41">
        <f t="shared" si="15"/>
        <v>0.17640438181818183</v>
      </c>
      <c r="O53" s="42">
        <f>COUNTIF(Vertices[Eigenvector Centrality],"&gt;= "&amp;N53)-COUNTIF(Vertices[Eigenvector Centrality],"&gt;="&amp;N54)</f>
        <v>0</v>
      </c>
      <c r="P53" s="41">
        <f t="shared" si="16"/>
        <v>1.7203205454545436</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1.4545454545454548</v>
      </c>
      <c r="I54" s="40">
        <f>COUNTIF(Vertices[Out-Degree],"&gt;= "&amp;H54)-COUNTIF(Vertices[Out-Degree],"&gt;="&amp;H55)</f>
        <v>0</v>
      </c>
      <c r="J54" s="39">
        <f t="shared" si="13"/>
        <v>18.90909090909091</v>
      </c>
      <c r="K54" s="40">
        <f>COUNTIF(Vertices[Betweenness Centrality],"&gt;= "&amp;J54)-COUNTIF(Vertices[Betweenness Centrality],"&gt;="&amp;J55)</f>
        <v>0</v>
      </c>
      <c r="L54" s="39">
        <f t="shared" si="14"/>
        <v>0.10795454545454519</v>
      </c>
      <c r="M54" s="40">
        <f>COUNTIF(Vertices[Closeness Centrality],"&gt;= "&amp;L54)-COUNTIF(Vertices[Closeness Centrality],"&gt;="&amp;L55)</f>
        <v>0</v>
      </c>
      <c r="N54" s="39">
        <f t="shared" si="15"/>
        <v>0.17932154545454546</v>
      </c>
      <c r="O54" s="40">
        <f>COUNTIF(Vertices[Eigenvector Centrality],"&gt;= "&amp;N54)-COUNTIF(Vertices[Eigenvector Centrality],"&gt;="&amp;N55)</f>
        <v>0</v>
      </c>
      <c r="P54" s="39">
        <f t="shared" si="16"/>
        <v>1.7487346363636345</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78</v>
      </c>
      <c r="B55" s="48" t="str">
        <f>IF(COUNT(Vertices[Degree])&gt;0,D2,NoMetricMessage)</f>
        <v>Not Available</v>
      </c>
      <c r="D55" s="34">
        <f t="shared" si="10"/>
        <v>0</v>
      </c>
      <c r="E55" s="3">
        <f>COUNTIF(Vertices[Degree],"&gt;= "&amp;D55)-COUNTIF(Vertices[Degree],"&gt;="&amp;D56)</f>
        <v>0</v>
      </c>
      <c r="F55" s="41">
        <f t="shared" si="11"/>
        <v>2.2363636363636354</v>
      </c>
      <c r="G55" s="42">
        <f>COUNTIF(Vertices[In-Degree],"&gt;= "&amp;F55)-COUNTIF(Vertices[In-Degree],"&gt;="&amp;F56)</f>
        <v>0</v>
      </c>
      <c r="H55" s="41">
        <f t="shared" si="12"/>
        <v>1.4909090909090912</v>
      </c>
      <c r="I55" s="42">
        <f>COUNTIF(Vertices[Out-Degree],"&gt;= "&amp;H55)-COUNTIF(Vertices[Out-Degree],"&gt;="&amp;H56)</f>
        <v>0</v>
      </c>
      <c r="J55" s="41">
        <f t="shared" si="13"/>
        <v>19.381818181818183</v>
      </c>
      <c r="K55" s="42">
        <f>COUNTIF(Vertices[Betweenness Centrality],"&gt;= "&amp;J55)-COUNTIF(Vertices[Betweenness Centrality],"&gt;="&amp;J56)</f>
        <v>0</v>
      </c>
      <c r="L55" s="41">
        <f t="shared" si="14"/>
        <v>0.10909090909090882</v>
      </c>
      <c r="M55" s="42">
        <f>COUNTIF(Vertices[Closeness Centrality],"&gt;= "&amp;L55)-COUNTIF(Vertices[Closeness Centrality],"&gt;="&amp;L56)</f>
        <v>0</v>
      </c>
      <c r="N55" s="41">
        <f t="shared" si="15"/>
        <v>0.18223870909090908</v>
      </c>
      <c r="O55" s="42">
        <f>COUNTIF(Vertices[Eigenvector Centrality],"&gt;= "&amp;N55)-COUNTIF(Vertices[Eigenvector Centrality],"&gt;="&amp;N56)</f>
        <v>2</v>
      </c>
      <c r="P55" s="41">
        <f t="shared" si="16"/>
        <v>1.7771487272727253</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79</v>
      </c>
      <c r="B56" s="48" t="str">
        <f>IF(COUNT(Vertices[Degree])&gt;0,D57,NoMetricMessage)</f>
        <v>Not Available</v>
      </c>
      <c r="D56" s="34">
        <f t="shared" si="10"/>
        <v>0</v>
      </c>
      <c r="E56" s="3">
        <f>COUNTIF(Vertices[Degree],"&gt;= "&amp;D56)-COUNTIF(Vertices[Degree],"&gt;="&amp;D57)</f>
        <v>0</v>
      </c>
      <c r="F56" s="39">
        <f t="shared" si="11"/>
        <v>2.29090909090909</v>
      </c>
      <c r="G56" s="40">
        <f>COUNTIF(Vertices[In-Degree],"&gt;= "&amp;F56)-COUNTIF(Vertices[In-Degree],"&gt;="&amp;F57)</f>
        <v>0</v>
      </c>
      <c r="H56" s="39">
        <f t="shared" si="12"/>
        <v>1.5272727272727276</v>
      </c>
      <c r="I56" s="40">
        <f>COUNTIF(Vertices[Out-Degree],"&gt;= "&amp;H56)-COUNTIF(Vertices[Out-Degree],"&gt;="&amp;H57)</f>
        <v>0</v>
      </c>
      <c r="J56" s="39">
        <f t="shared" si="13"/>
        <v>19.854545454545455</v>
      </c>
      <c r="K56" s="40">
        <f>COUNTIF(Vertices[Betweenness Centrality],"&gt;= "&amp;J56)-COUNTIF(Vertices[Betweenness Centrality],"&gt;="&amp;J57)</f>
        <v>0</v>
      </c>
      <c r="L56" s="39">
        <f t="shared" si="14"/>
        <v>0.11022727272727245</v>
      </c>
      <c r="M56" s="40">
        <f>COUNTIF(Vertices[Closeness Centrality],"&gt;= "&amp;L56)-COUNTIF(Vertices[Closeness Centrality],"&gt;="&amp;L57)</f>
        <v>0</v>
      </c>
      <c r="N56" s="39">
        <f t="shared" si="15"/>
        <v>0.1851558727272727</v>
      </c>
      <c r="O56" s="40">
        <f>COUNTIF(Vertices[Eigenvector Centrality],"&gt;= "&amp;N56)-COUNTIF(Vertices[Eigenvector Centrality],"&gt;="&amp;N57)</f>
        <v>0</v>
      </c>
      <c r="P56" s="39">
        <f t="shared" si="16"/>
        <v>1.8055628181818162</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80</v>
      </c>
      <c r="B57" s="49" t="str">
        <f>_xlfn.IFERROR(AVERAGE(Vertices[Degree]),NoMetricMessage)</f>
        <v>Not Available</v>
      </c>
      <c r="D57" s="34">
        <f>MAX(Vertices[Degree])</f>
        <v>0</v>
      </c>
      <c r="E57" s="3">
        <f>COUNTIF(Vertices[Degree],"&gt;= "&amp;D57)-COUNTIF(Vertices[Degree],"&gt;="&amp;D58)</f>
        <v>0</v>
      </c>
      <c r="F57" s="43">
        <f>MAX(Vertices[In-Degree])</f>
        <v>3</v>
      </c>
      <c r="G57" s="44">
        <f>COUNTIF(Vertices[In-Degree],"&gt;= "&amp;F57)-COUNTIF(Vertices[In-Degree],"&gt;="&amp;F58)</f>
        <v>1</v>
      </c>
      <c r="H57" s="43">
        <f>MAX(Vertices[Out-Degree])</f>
        <v>2</v>
      </c>
      <c r="I57" s="44">
        <f>COUNTIF(Vertices[Out-Degree],"&gt;= "&amp;H57)-COUNTIF(Vertices[Out-Degree],"&gt;="&amp;H58)</f>
        <v>3</v>
      </c>
      <c r="J57" s="43">
        <f>MAX(Vertices[Betweenness Centrality])</f>
        <v>26</v>
      </c>
      <c r="K57" s="44">
        <f>COUNTIF(Vertices[Betweenness Centrality],"&gt;= "&amp;J57)-COUNTIF(Vertices[Betweenness Centrality],"&gt;="&amp;J58)</f>
        <v>1</v>
      </c>
      <c r="L57" s="43">
        <f>MAX(Vertices[Closeness Centrality])</f>
        <v>0.125</v>
      </c>
      <c r="M57" s="44">
        <f>COUNTIF(Vertices[Closeness Centrality],"&gt;= "&amp;L57)-COUNTIF(Vertices[Closeness Centrality],"&gt;="&amp;L58)</f>
        <v>1</v>
      </c>
      <c r="N57" s="43">
        <f>MAX(Vertices[Eigenvector Centrality])</f>
        <v>0.223079</v>
      </c>
      <c r="O57" s="44">
        <f>COUNTIF(Vertices[Eigenvector Centrality],"&gt;= "&amp;N57)-COUNTIF(Vertices[Eigenvector Centrality],"&gt;="&amp;N58)</f>
        <v>1</v>
      </c>
      <c r="P57" s="43">
        <f>MAX(Vertices[PageRank])</f>
        <v>2.174946</v>
      </c>
      <c r="Q57" s="44">
        <f>COUNTIF(Vertices[PageRank],"&gt;= "&amp;P57)-COUNTIF(Vertices[PageRank],"&gt;="&amp;P58)</f>
        <v>1</v>
      </c>
      <c r="R57" s="43">
        <f>MAX(Vertices[Clustering Coefficient])</f>
        <v>0</v>
      </c>
      <c r="S57" s="47">
        <f>COUNTIF(Vertices[Clustering Coefficient],"&gt;= "&amp;R57)-COUNTIF(Vertices[Clustering Coefficient],"&gt;="&amp;R58)</f>
        <v>7</v>
      </c>
      <c r="T57" s="43" t="e">
        <f ca="1">MAX(INDIRECT(DynamicFilterSourceColumnRange))</f>
        <v>#REF!</v>
      </c>
      <c r="U57" s="44" t="e">
        <f ca="1" t="shared" si="0"/>
        <v>#REF!</v>
      </c>
    </row>
    <row r="58" spans="1:2" ht="15">
      <c r="A58" s="35" t="s">
        <v>81</v>
      </c>
      <c r="B58" s="49" t="str">
        <f>_xlfn.IFERROR(MEDIAN(Vertices[Degree]),NoMetricMessage)</f>
        <v>Not Available</v>
      </c>
    </row>
    <row r="69" spans="1:2" ht="15">
      <c r="A69" s="35" t="s">
        <v>85</v>
      </c>
      <c r="B69" s="48">
        <f>IF(COUNT(Vertices[In-Degree])&gt;0,F2,NoMetricMessage)</f>
        <v>0</v>
      </c>
    </row>
    <row r="70" spans="1:2" ht="15">
      <c r="A70" s="35" t="s">
        <v>86</v>
      </c>
      <c r="B70" s="48">
        <f>IF(COUNT(Vertices[In-Degree])&gt;0,F57,NoMetricMessage)</f>
        <v>3</v>
      </c>
    </row>
    <row r="71" spans="1:2" ht="15">
      <c r="A71" s="35" t="s">
        <v>87</v>
      </c>
      <c r="B71" s="49">
        <f>_xlfn.IFERROR(AVERAGE(Vertices[In-Degree]),NoMetricMessage)</f>
        <v>1</v>
      </c>
    </row>
    <row r="72" spans="1:2" ht="15">
      <c r="A72" s="35" t="s">
        <v>88</v>
      </c>
      <c r="B72" s="49">
        <f>_xlfn.IFERROR(MEDIAN(Vertices[In-Degree]),NoMetricMessage)</f>
        <v>1</v>
      </c>
    </row>
    <row r="83" spans="1:2" ht="15">
      <c r="A83" s="35" t="s">
        <v>91</v>
      </c>
      <c r="B83" s="48">
        <f>IF(COUNT(Vertices[Out-Degree])&gt;0,H2,NoMetricMessage)</f>
        <v>0</v>
      </c>
    </row>
    <row r="84" spans="1:2" ht="15">
      <c r="A84" s="35" t="s">
        <v>92</v>
      </c>
      <c r="B84" s="48">
        <f>IF(COUNT(Vertices[Out-Degree])&gt;0,H57,NoMetricMessage)</f>
        <v>2</v>
      </c>
    </row>
    <row r="85" spans="1:2" ht="15">
      <c r="A85" s="35" t="s">
        <v>93</v>
      </c>
      <c r="B85" s="49">
        <f>_xlfn.IFERROR(AVERAGE(Vertices[Out-Degree]),NoMetricMessage)</f>
        <v>1</v>
      </c>
    </row>
    <row r="86" spans="1:2" ht="15">
      <c r="A86" s="35" t="s">
        <v>94</v>
      </c>
      <c r="B86" s="49">
        <f>_xlfn.IFERROR(MEDIAN(Vertices[Out-Degree]),NoMetricMessage)</f>
        <v>1</v>
      </c>
    </row>
    <row r="97" spans="1:2" ht="15">
      <c r="A97" s="35" t="s">
        <v>97</v>
      </c>
      <c r="B97" s="49">
        <f>IF(COUNT(Vertices[Betweenness Centrality])&gt;0,J2,NoMetricMessage)</f>
        <v>0</v>
      </c>
    </row>
    <row r="98" spans="1:2" ht="15">
      <c r="A98" s="35" t="s">
        <v>98</v>
      </c>
      <c r="B98" s="49">
        <f>IF(COUNT(Vertices[Betweenness Centrality])&gt;0,J57,NoMetricMessage)</f>
        <v>26</v>
      </c>
    </row>
    <row r="99" spans="1:2" ht="15">
      <c r="A99" s="35" t="s">
        <v>99</v>
      </c>
      <c r="B99" s="49">
        <f>_xlfn.IFERROR(AVERAGE(Vertices[Betweenness Centrality]),NoMetricMessage)</f>
        <v>6.571428571428571</v>
      </c>
    </row>
    <row r="100" spans="1:2" ht="15">
      <c r="A100" s="35" t="s">
        <v>100</v>
      </c>
      <c r="B100" s="49">
        <f>_xlfn.IFERROR(MEDIAN(Vertices[Betweenness Centrality]),NoMetricMessage)</f>
        <v>0</v>
      </c>
    </row>
    <row r="111" spans="1:2" ht="15">
      <c r="A111" s="35" t="s">
        <v>103</v>
      </c>
      <c r="B111" s="49">
        <f>IF(COUNT(Vertices[Closeness Centrality])&gt;0,L2,NoMetricMessage)</f>
        <v>0.0625</v>
      </c>
    </row>
    <row r="112" spans="1:2" ht="15">
      <c r="A112" s="35" t="s">
        <v>104</v>
      </c>
      <c r="B112" s="49">
        <f>IF(COUNT(Vertices[Closeness Centrality])&gt;0,L57,NoMetricMessage)</f>
        <v>0.125</v>
      </c>
    </row>
    <row r="113" spans="1:2" ht="15">
      <c r="A113" s="35" t="s">
        <v>105</v>
      </c>
      <c r="B113" s="49">
        <f>_xlfn.IFERROR(AVERAGE(Vertices[Closeness Centrality]),NoMetricMessage)</f>
        <v>0.0836662857142857</v>
      </c>
    </row>
    <row r="114" spans="1:2" ht="15">
      <c r="A114" s="35" t="s">
        <v>106</v>
      </c>
      <c r="B114" s="49">
        <f>_xlfn.IFERROR(MEDIAN(Vertices[Closeness Centrality]),NoMetricMessage)</f>
        <v>0.076923</v>
      </c>
    </row>
    <row r="125" spans="1:2" ht="15">
      <c r="A125" s="35" t="s">
        <v>109</v>
      </c>
      <c r="B125" s="49">
        <f>IF(COUNT(Vertices[Eigenvector Centrality])&gt;0,N2,NoMetricMessage)</f>
        <v>0.062635</v>
      </c>
    </row>
    <row r="126" spans="1:2" ht="15">
      <c r="A126" s="35" t="s">
        <v>110</v>
      </c>
      <c r="B126" s="49">
        <f>IF(COUNT(Vertices[Eigenvector Centrality])&gt;0,N57,NoMetricMessage)</f>
        <v>0.223079</v>
      </c>
    </row>
    <row r="127" spans="1:2" ht="15">
      <c r="A127" s="35" t="s">
        <v>111</v>
      </c>
      <c r="B127" s="49">
        <f>_xlfn.IFERROR(AVERAGE(Vertices[Eigenvector Centrality]),NoMetricMessage)</f>
        <v>0.14285699999999998</v>
      </c>
    </row>
    <row r="128" spans="1:2" ht="15">
      <c r="A128" s="35" t="s">
        <v>112</v>
      </c>
      <c r="B128" s="49">
        <f>_xlfn.IFERROR(MEDIAN(Vertices[Eigenvector Centrality]),NoMetricMessage)</f>
        <v>0.142857</v>
      </c>
    </row>
    <row r="139" spans="1:2" ht="15">
      <c r="A139" s="35" t="s">
        <v>137</v>
      </c>
      <c r="B139" s="49">
        <f>IF(COUNT(Vertices[PageRank])&gt;0,P2,NoMetricMessage)</f>
        <v>0.612171</v>
      </c>
    </row>
    <row r="140" spans="1:2" ht="15">
      <c r="A140" s="35" t="s">
        <v>138</v>
      </c>
      <c r="B140" s="49">
        <f>IF(COUNT(Vertices[PageRank])&gt;0,P57,NoMetricMessage)</f>
        <v>2.174946</v>
      </c>
    </row>
    <row r="141" spans="1:2" ht="15">
      <c r="A141" s="35" t="s">
        <v>139</v>
      </c>
      <c r="B141" s="49">
        <f>_xlfn.IFERROR(AVERAGE(Vertices[PageRank]),NoMetricMessage)</f>
        <v>0.9999311428571428</v>
      </c>
    </row>
    <row r="142" spans="1:2" ht="15">
      <c r="A142" s="35" t="s">
        <v>140</v>
      </c>
      <c r="B142" s="49">
        <f>_xlfn.IFERROR(MEDIAN(Vertices[PageRank]),NoMetricMessage)</f>
        <v>0.642135</v>
      </c>
    </row>
    <row r="153" spans="1:2" ht="15">
      <c r="A153" s="35" t="s">
        <v>115</v>
      </c>
      <c r="B153" s="49">
        <f>IF(COUNT(Vertices[Clustering Coefficient])&gt;0,R2,NoMetricMessage)</f>
        <v>0</v>
      </c>
    </row>
    <row r="154" spans="1:2" ht="15">
      <c r="A154" s="35" t="s">
        <v>116</v>
      </c>
      <c r="B154" s="49">
        <f>IF(COUNT(Vertices[Clustering Coefficient])&gt;0,R57,NoMetricMessage)</f>
        <v>0</v>
      </c>
    </row>
    <row r="155" spans="1:2" ht="15">
      <c r="A155" s="35" t="s">
        <v>117</v>
      </c>
      <c r="B155" s="49">
        <f>_xlfn.IFERROR(AVERAGE(Vertices[Clustering Coefficient]),NoMetricMessage)</f>
        <v>0</v>
      </c>
    </row>
    <row r="156" spans="1:2" ht="15">
      <c r="A156" s="35" t="s">
        <v>118</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128</v>
      </c>
      <c r="C1" s="4" t="s">
        <v>7</v>
      </c>
      <c r="D1" s="4" t="s">
        <v>9</v>
      </c>
      <c r="E1" s="4" t="s">
        <v>161</v>
      </c>
      <c r="F1" s="5" t="s">
        <v>166</v>
      </c>
      <c r="G1" s="4" t="s">
        <v>14</v>
      </c>
      <c r="H1" s="4" t="s">
        <v>65</v>
      </c>
      <c r="J1" s="4" t="s">
        <v>18</v>
      </c>
      <c r="K1" s="4" t="s">
        <v>17</v>
      </c>
      <c r="M1" s="4" t="s">
        <v>21</v>
      </c>
      <c r="N1" s="4" t="s">
        <v>22</v>
      </c>
      <c r="O1" s="4" t="s">
        <v>23</v>
      </c>
      <c r="P1" s="4" t="s">
        <v>24</v>
      </c>
    </row>
    <row r="2" spans="1:11" ht="15">
      <c r="A2" s="1" t="s">
        <v>49</v>
      </c>
      <c r="B2" s="1" t="s">
        <v>129</v>
      </c>
      <c r="C2" t="s">
        <v>52</v>
      </c>
      <c r="D2" t="s">
        <v>53</v>
      </c>
      <c r="E2" t="s">
        <v>53</v>
      </c>
      <c r="F2" s="1" t="s">
        <v>49</v>
      </c>
      <c r="G2" t="s">
        <v>63</v>
      </c>
      <c r="H2" t="s">
        <v>156</v>
      </c>
      <c r="J2" t="s">
        <v>240</v>
      </c>
      <c r="K2">
        <v>108</v>
      </c>
    </row>
    <row r="3" spans="1:11" ht="15">
      <c r="A3" s="1" t="s">
        <v>50</v>
      </c>
      <c r="B3" s="1" t="s">
        <v>130</v>
      </c>
      <c r="C3" t="s">
        <v>50</v>
      </c>
      <c r="D3" t="s">
        <v>54</v>
      </c>
      <c r="E3" t="s">
        <v>54</v>
      </c>
      <c r="F3" s="1" t="s">
        <v>50</v>
      </c>
      <c r="G3" t="s">
        <v>64</v>
      </c>
      <c r="H3" t="s">
        <v>66</v>
      </c>
      <c r="J3" t="s">
        <v>241</v>
      </c>
      <c r="K3" t="s">
        <v>183</v>
      </c>
    </row>
    <row r="4" spans="1:11" ht="15">
      <c r="A4" s="1" t="s">
        <v>51</v>
      </c>
      <c r="B4" s="1" t="s">
        <v>131</v>
      </c>
      <c r="C4" t="s">
        <v>51</v>
      </c>
      <c r="D4" t="s">
        <v>55</v>
      </c>
      <c r="E4" t="s">
        <v>55</v>
      </c>
      <c r="F4" s="1" t="s">
        <v>51</v>
      </c>
      <c r="G4">
        <v>0</v>
      </c>
      <c r="H4" t="s">
        <v>67</v>
      </c>
      <c r="J4" s="12" t="s">
        <v>242</v>
      </c>
      <c r="K4" s="12"/>
    </row>
    <row r="5" spans="1:11" ht="409.5">
      <c r="A5">
        <v>1</v>
      </c>
      <c r="B5" s="1" t="s">
        <v>132</v>
      </c>
      <c r="C5" t="s">
        <v>49</v>
      </c>
      <c r="D5" t="s">
        <v>56</v>
      </c>
      <c r="E5" t="s">
        <v>56</v>
      </c>
      <c r="F5">
        <v>1</v>
      </c>
      <c r="G5">
        <v>1</v>
      </c>
      <c r="H5" t="s">
        <v>68</v>
      </c>
      <c r="J5" t="s">
        <v>243</v>
      </c>
      <c r="K5" s="13" t="s">
        <v>261</v>
      </c>
    </row>
    <row r="6" spans="1:18" ht="15">
      <c r="A6">
        <v>0</v>
      </c>
      <c r="B6" s="1" t="s">
        <v>133</v>
      </c>
      <c r="C6">
        <v>1</v>
      </c>
      <c r="D6" t="s">
        <v>57</v>
      </c>
      <c r="E6" t="s">
        <v>57</v>
      </c>
      <c r="F6">
        <v>0</v>
      </c>
      <c r="H6" t="s">
        <v>69</v>
      </c>
      <c r="J6" t="s">
        <v>244</v>
      </c>
      <c r="K6">
        <v>3</v>
      </c>
      <c r="R6" t="s">
        <v>126</v>
      </c>
    </row>
    <row r="7" spans="1:11" ht="15">
      <c r="A7">
        <v>2</v>
      </c>
      <c r="B7">
        <v>1</v>
      </c>
      <c r="C7">
        <v>0</v>
      </c>
      <c r="D7" t="s">
        <v>58</v>
      </c>
      <c r="E7" t="s">
        <v>58</v>
      </c>
      <c r="F7">
        <v>2</v>
      </c>
      <c r="H7" t="s">
        <v>70</v>
      </c>
      <c r="J7" t="s">
        <v>245</v>
      </c>
      <c r="K7" t="s">
        <v>249</v>
      </c>
    </row>
    <row r="8" spans="1:11" ht="15">
      <c r="A8"/>
      <c r="B8">
        <v>2</v>
      </c>
      <c r="C8">
        <v>2</v>
      </c>
      <c r="D8" t="s">
        <v>59</v>
      </c>
      <c r="E8" t="s">
        <v>59</v>
      </c>
      <c r="H8" t="s">
        <v>71</v>
      </c>
      <c r="J8" t="s">
        <v>246</v>
      </c>
      <c r="K8" t="s">
        <v>260</v>
      </c>
    </row>
    <row r="9" spans="1:11" ht="409.5">
      <c r="A9"/>
      <c r="B9">
        <v>3</v>
      </c>
      <c r="C9">
        <v>4</v>
      </c>
      <c r="D9" t="s">
        <v>60</v>
      </c>
      <c r="E9" t="s">
        <v>60</v>
      </c>
      <c r="H9" t="s">
        <v>72</v>
      </c>
      <c r="J9" t="s">
        <v>247</v>
      </c>
      <c r="K9" s="13" t="s">
        <v>262</v>
      </c>
    </row>
    <row r="10" spans="1:11" ht="409.5">
      <c r="A10"/>
      <c r="B10">
        <v>4</v>
      </c>
      <c r="D10" t="s">
        <v>61</v>
      </c>
      <c r="E10" t="s">
        <v>61</v>
      </c>
      <c r="H10" t="s">
        <v>73</v>
      </c>
      <c r="J10" t="s">
        <v>248</v>
      </c>
      <c r="K10" s="13" t="s">
        <v>263</v>
      </c>
    </row>
    <row r="11" spans="1:8" ht="15">
      <c r="A11"/>
      <c r="B11">
        <v>5</v>
      </c>
      <c r="D11" t="s">
        <v>44</v>
      </c>
      <c r="E11">
        <v>1</v>
      </c>
      <c r="H11" t="s">
        <v>74</v>
      </c>
    </row>
    <row r="12" spans="1:8" ht="15">
      <c r="A12"/>
      <c r="B12"/>
      <c r="D12" t="s">
        <v>62</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57421875" style="0" customWidth="1"/>
    <col min="2" max="2" width="22.421875" style="0" bestFit="1" customWidth="1"/>
  </cols>
  <sheetData>
    <row r="1" spans="1:2" ht="13.5" customHeight="1">
      <c r="A1" s="110" t="s">
        <v>198</v>
      </c>
      <c r="B1" s="110" t="s">
        <v>199</v>
      </c>
    </row>
    <row r="2" spans="1:2" ht="15">
      <c r="A2" s="110"/>
      <c r="B2" s="110"/>
    </row>
    <row r="4" spans="1:2" ht="13.5" customHeight="1">
      <c r="A4" s="110" t="s">
        <v>201</v>
      </c>
      <c r="B4" s="110" t="s">
        <v>199</v>
      </c>
    </row>
    <row r="5" spans="1:2" ht="15">
      <c r="A5" s="110"/>
      <c r="B5" s="110"/>
    </row>
    <row r="7" spans="1:2" ht="13.5" customHeight="1">
      <c r="A7" s="110" t="s">
        <v>203</v>
      </c>
      <c r="B7" s="110" t="s">
        <v>199</v>
      </c>
    </row>
    <row r="8" spans="1:2" ht="15">
      <c r="A8" s="110"/>
      <c r="B8" s="110"/>
    </row>
    <row r="10" spans="1:2" ht="13.5" customHeight="1">
      <c r="A10" s="13" t="s">
        <v>205</v>
      </c>
      <c r="B10" s="13" t="s">
        <v>199</v>
      </c>
    </row>
    <row r="11" spans="1:2" ht="15">
      <c r="A11" s="112" t="s">
        <v>206</v>
      </c>
      <c r="B11" s="112">
        <v>0</v>
      </c>
    </row>
    <row r="12" spans="1:2" ht="15">
      <c r="A12" s="112" t="s">
        <v>207</v>
      </c>
      <c r="B12" s="112">
        <v>0</v>
      </c>
    </row>
    <row r="13" spans="1:2" ht="15">
      <c r="A13" s="112" t="s">
        <v>208</v>
      </c>
      <c r="B13" s="112">
        <v>0</v>
      </c>
    </row>
    <row r="14" spans="1:2" ht="15">
      <c r="A14" s="112" t="s">
        <v>209</v>
      </c>
      <c r="B14" s="112">
        <v>0</v>
      </c>
    </row>
    <row r="15" spans="1:2" ht="15">
      <c r="A15" s="112" t="s">
        <v>210</v>
      </c>
      <c r="B15" s="112">
        <v>0</v>
      </c>
    </row>
    <row r="18" spans="1:2" ht="13.5" customHeight="1">
      <c r="A18" s="110" t="s">
        <v>212</v>
      </c>
      <c r="B18" s="110" t="s">
        <v>199</v>
      </c>
    </row>
    <row r="19" spans="1:2" ht="15">
      <c r="A19" s="110"/>
      <c r="B19" s="110"/>
    </row>
    <row r="21" spans="1:2" ht="13.5" customHeight="1">
      <c r="A21" s="110" t="s">
        <v>214</v>
      </c>
      <c r="B21" s="110" t="s">
        <v>199</v>
      </c>
    </row>
    <row r="22" spans="1:2" ht="15">
      <c r="A22" s="110"/>
      <c r="B22" s="110"/>
    </row>
    <row r="24" spans="1:2" ht="13.5" customHeight="1">
      <c r="A24" s="110" t="s">
        <v>215</v>
      </c>
      <c r="B24" s="110" t="s">
        <v>199</v>
      </c>
    </row>
    <row r="25" spans="1:2" ht="15">
      <c r="A25" s="110"/>
      <c r="B25" s="110"/>
    </row>
    <row r="27" spans="1:2" ht="13.5" customHeight="1">
      <c r="A27" s="110" t="s">
        <v>218</v>
      </c>
      <c r="B27" s="110" t="s">
        <v>199</v>
      </c>
    </row>
    <row r="28" spans="1:2" ht="15">
      <c r="A28" s="113"/>
      <c r="B28" s="110"/>
    </row>
  </sheetData>
  <printOptions/>
  <pageMargins left="0.7" right="0.7" top="0.75" bottom="0.75" header="0.3" footer="0.3"/>
  <pageSetup orientation="portrait" paperSize="9"/>
  <tableParts>
    <tablePart r:id="rId5"/>
    <tablePart r:id="rId2"/>
    <tablePart r:id="rId4"/>
    <tablePart r:id="rId6"/>
    <tablePart r:id="rId1"/>
    <tablePart r:id="rId3"/>
    <tablePart r:id="rId8"/>
    <tablePart r:id="rId7"/>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5BA7463-DC9C-4480-8574-1D6780909C6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lab</cp:lastModifiedBy>
  <dcterms:created xsi:type="dcterms:W3CDTF">2008-01-30T00:41:58Z</dcterms:created>
  <dcterms:modified xsi:type="dcterms:W3CDTF">2019-07-10T20:05:56Z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