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3" activeTab="8"/>
  </bookViews>
  <sheets>
    <sheet name="Edges" sheetId="1" r:id="rId1"/>
    <sheet name="Vertices" sheetId="3" r:id="rId2"/>
    <sheet name="Do Not Delete" sheetId="4" state="hidden" r:id="rId3"/>
    <sheet name="Groups" sheetId="5" r:id="rId4"/>
    <sheet name="Group Vertices" sheetId="6" r:id="rId5"/>
    <sheet name="Overall Metrics" sheetId="7" r:id="rId6"/>
    <sheet name="Time Series Edges" sheetId="8" state="hidden" r:id="rId7"/>
    <sheet name="Misc" sheetId="2" state="hidden" r:id="rId8"/>
    <sheet name="Time Series" sheetId="9" r:id="rId9"/>
  </sheets>
  <definedNames>
    <definedName name="BinDivisor">'Overall Metrics'!$X$2</definedName>
    <definedName name="DynamicFilterColumnName" localSheetId="6">#REF!</definedName>
    <definedName name="DynamicFilterColumnName">#REF!</definedName>
    <definedName name="DynamicFilterForceCalculationRange" localSheetId="6">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6">#REF!</definedName>
    <definedName name="DynamicFilterTableName">#REF!</definedName>
    <definedName name="LOCAL_MYSQL_DATE_FORMAT" localSheetId="6"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0"/>
  </pivotCaches>
  <extLst>
    <ext xmlns:x14="http://schemas.microsoft.com/office/spreadsheetml/2009/9/main" uri="{BBE1A952-AA13-448e-AADC-164F8A28A991}">
      <x14:slicerCaches>
        <x14:slicerCache r:id="rId14"/>
        <x14:slicerCache r:id="rId15"/>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comments7.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sharedStrings.xml><?xml version="1.0" encoding="utf-8"?>
<sst xmlns="http://schemas.openxmlformats.org/spreadsheetml/2006/main" count="390" uniqueCount="285">
  <si>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</si>
  <si>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</si>
  <si>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</si>
  <si>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</si>
  <si>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</si>
  <si>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</si>
  <si>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</si>
  <si>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</si>
  <si>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</si>
  <si>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</si>
  <si>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</si>
  <si>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</si>
  <si>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</si>
  <si>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</si>
  <si>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</si>
  <si>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</si>
  <si>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</si>
  <si>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</si>
  <si>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</si>
  <si>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</si>
  <si>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</si>
  <si>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</si>
  <si>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</si>
  <si>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</si>
  <si>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</si>
  <si>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</si>
  <si>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</si>
  <si>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</si>
  <si>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</si>
  <si>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</si>
  <si>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</si>
  <si>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</si>
  <si>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</si>
  <si>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</si>
  <si>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</si>
  <si>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</si>
  <si>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</si>
  <si>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</si>
  <si>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</si>
  <si>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</si>
  <si>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</si>
  <si>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</si>
  <si>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</si>
  <si>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</si>
  <si>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</si>
  <si>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</si>
  <si>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</si>
  <si>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</si>
  <si>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</si>
  <si>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</si>
  <si>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</si>
  <si>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</si>
  <si>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</si>
  <si>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</si>
  <si>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</si>
  <si>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</si>
  <si>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</si>
  <si>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</si>
  <si>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</si>
  <si>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</si>
  <si>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</si>
  <si>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</si>
  <si>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</si>
  <si>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</si>
  <si>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</si>
  <si>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</si>
  <si>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</si>
  <si>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</si>
  <si>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</si>
  <si>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</si>
  <si>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</si>
  <si>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</si>
  <si>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</si>
  <si>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</si>
  <si>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</si>
  <si>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</si>
  <si>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</si>
  <si>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</si>
  <si>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</si>
  <si>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</si>
  <si>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</si>
  <si>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</si>
  <si>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</si>
  <si>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</si>
  <si>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</si>
  <si>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</si>
  <si>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</si>
  <si>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</si>
  <si>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</si>
  <si>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</si>
  <si>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</si>
  <si>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</si>
  <si>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</si>
  <si>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</si>
  <si>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</si>
  <si>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</si>
  <si>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</si>
  <si>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</si>
  <si>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</si>
  <si>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</si>
  <si>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</si>
  <si>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</si>
  <si>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</si>
  <si>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</si>
  <si>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</si>
  <si>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</si>
  <si>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</si>
  <si>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</si>
  <si>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</si>
  <si>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</si>
  <si>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</si>
  <si>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</si>
  <si>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</si>
  <si>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</si>
  <si>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</si>
  <si>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</si>
  <si>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</si>
  <si>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</si>
  <si>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</si>
  <si>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</si>
  <si>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</si>
  <si>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</si>
  <si>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</si>
  <si>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</si>
  <si>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</si>
  <si>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</si>
  <si>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</si>
  <si>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</si>
  <si>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</si>
  <si>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</si>
  <si>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</si>
  <si>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</si>
  <si>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</si>
  <si>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</si>
  <si>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</si>
  <si>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</si>
  <si>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</si>
  <si>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</si>
  <si>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</si>
  <si>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</si>
  <si>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</si>
  <si>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</si>
  <si>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</si>
  <si>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</si>
  <si>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</si>
  <si>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</si>
  <si>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</si>
  <si>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</si>
  <si>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</si>
  <si>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</si>
  <si>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</si>
  <si>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</si>
  <si>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</si>
  <si>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</si>
  <si>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</si>
  <si>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</si>
  <si>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</si>
  <si>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</si>
  <si>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</si>
  <si>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</si>
  <si>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</si>
  <si>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</si>
  <si>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</si>
  <si>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</si>
  <si>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</si>
  <si>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</si>
  <si>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</si>
  <si>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</si>
  <si>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</si>
  <si>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</si>
  <si>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</si>
  <si>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</si>
  <si>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</si>
  <si>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</si>
  <si>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</si>
  <si>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</si>
  <si>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</si>
  <si>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</si>
  <si>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</si>
  <si>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</si>
  <si>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</si>
  <si>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</si>
  <si>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</si>
  <si>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</si>
  <si>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</si>
  <si>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</si>
  <si>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</si>
  <si>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</si>
  <si>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</si>
  <si>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</si>
  <si>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</si>
  <si>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</si>
  <si>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</si>
  <si>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</si>
  <si>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</si>
  <si>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</si>
  <si>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</si>
  <si>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</si>
  <si>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</si>
  <si>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</si>
  <si>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</si>
  <si>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</si>
  <si>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</si>
  <si>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</si>
  <si>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</si>
  <si>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</si>
  <si>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</si>
  <si>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</si>
  <si>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</si>
  <si>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</si>
  <si>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</si>
  <si>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</si>
  <si>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</si>
  <si>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</si>
  <si>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</si>
  <si>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</si>
  <si>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</si>
  <si>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</si>
  <si>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</si>
  <si>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</si>
  <si>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</si>
  <si>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</si>
  <si>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</si>
  <si>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</si>
  <si>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</si>
  <si>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</si>
  <si>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</si>
  <si>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</si>
  <si>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</si>
  <si>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</si>
  <si>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</si>
  <si>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</si>
  <si>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</si>
  <si>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</si>
  <si>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</si>
  <si>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</si>
  <si>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</si>
  <si>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</si>
  <si>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</si>
  <si>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</si>
  <si>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</si>
  <si>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</si>
  <si>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</si>
  <si>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</si>
  <si>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</si>
  <si>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</si>
  <si>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</si>
  <si>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</si>
  <si>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</si>
  <si>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</si>
  <si>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</si>
  <si>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</si>
  <si>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</si>
  <si>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</si>
  <si>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</si>
  <si>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</si>
  <si>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</si>
  <si>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</si>
  <si>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</si>
  <si>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</si>
  <si>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</si>
  <si>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</si>
  <si>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</si>
  <si>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</si>
  <si>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</si>
  <si>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</si>
  <si>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</si>
  <si>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</si>
  <si>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</si>
  <si>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</si>
  <si>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</si>
  <si>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</si>
  <si>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</si>
  <si>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Vertex Group</t>
  </si>
  <si>
    <t>Vertex 1 Group</t>
  </si>
  <si>
    <t>Vertex 2 Group</t>
  </si>
  <si>
    <t>Top URLs in Tweet</t>
  </si>
  <si>
    <t>Count of Tweet Date (UTC)</t>
  </si>
  <si>
    <t>Row Labels</t>
  </si>
  <si>
    <t>(blank)</t>
  </si>
  <si>
    <t>Grand Total</t>
  </si>
  <si>
    <t>Autofill Workbook Results</t>
  </si>
  <si>
    <t>▓0▓0▓0▓True▓Black▓Black▓▓▓0▓0▓0▓0▓0▓False▓▓0▓0▓0▓0▓0▓False▓▓0▓0▓0▓True▓Black▓Black▓▓▓0▓0▓0▓0▓0▓False▓▓0▓0▓0▓0▓0▓False▓▓0▓0▓0▓0▓0▓False▓▓0▓0▓0▓0▓0▓False</t>
  </si>
  <si>
    <t>GraphSource░GraphServerTwitterSearch▓GraphTerm░SMXChat▓ImportDescription░The graph represents a network of 0 Twitter users whose tweets in the requested range contained "SMXChat", or who was replied to or mentioned in those tweets.  The network was obtained from the NodeXL Graph Server on Thursday, 27 February 2020 at 05:18 UTC.
The requested start date was Thursday, 27 February 2020 at 01:01 UTC and the maximum number of days (going backward) was 14.
The maximum number of tweets collected was 5,000.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</si>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</sst>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General"/>
    <numFmt numFmtId="178" formatCode="@"/>
    <numFmt numFmtId="179" formatCode="0"/>
    <numFmt numFmtId="180" formatCode="#,##0.00"/>
  </numFmts>
  <fonts count="11">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8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167" fontId="0" fillId="4" borderId="1" xfId="24" applyNumberFormat="1" applyFon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0" fontId="0" fillId="4" borderId="11" xfId="24" applyNumberFormat="1" applyBorder="1" applyAlignment="1">
      <alignment/>
    </xf>
    <xf numFmtId="49" fontId="0" fillId="0" borderId="0" xfId="0" applyNumberFormat="1" applyAlignment="1">
      <alignment/>
    </xf>
    <xf numFmtId="49" fontId="0" fillId="0" borderId="0" xfId="22" applyNumberFormat="1" applyFont="1" applyAlignment="1">
      <alignment/>
    </xf>
    <xf numFmtId="0" fontId="0" fillId="0" borderId="0" xfId="0" applyAlignment="1">
      <alignment/>
    </xf>
    <xf numFmtId="0" fontId="0" fillId="3" borderId="1" xfId="23" applyNumberFormat="1" applyFont="1" applyAlignment="1">
      <alignment/>
    </xf>
    <xf numFmtId="49" fontId="6" fillId="5" borderId="1" xfId="25" applyNumberFormat="1" applyAlignment="1">
      <alignment/>
    </xf>
    <xf numFmtId="0" fontId="0" fillId="0" borderId="0" xfId="0"/>
    <xf numFmtId="0" fontId="0" fillId="0" borderId="0" xfId="0" applyAlignment="1">
      <alignment horizontal="lef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223">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7" formatCode="General"/>
    </dxf>
    <dxf>
      <numFmt numFmtId="180" formatCode="#,##0.00"/>
    </dxf>
    <dxf>
      <alignment horizontal="general" vertical="bottom" textRotation="0" wrapText="1" shrinkToFit="1" readingOrder="0"/>
    </dxf>
    <dxf>
      <alignment horizontal="general" vertical="bottom" textRotation="0" wrapText="1" shrinkToFit="1" readingOrder="0"/>
    </dxf>
    <dxf>
      <numFmt numFmtId="178" formatCode="@"/>
    </dxf>
    <dxf>
      <numFmt numFmtId="178" formatCode="@"/>
    </dxf>
    <dxf>
      <numFmt numFmtId="167" formatCode="0.00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7" formatCode="General"/>
    </dxf>
    <dxf>
      <font>
        <b val="0"/>
        <i val="0"/>
        <u val="none"/>
        <strike val="0"/>
        <sz val="11"/>
        <name val="Calibri"/>
        <color theme="1"/>
        <condense val="0"/>
        <extend val="0"/>
      </font>
      <numFmt numFmtId="177" formatCode="General"/>
    </dxf>
    <dxf>
      <numFmt numFmtId="178" formatCode="@"/>
    </dxf>
    <dxf>
      <font>
        <b val="0"/>
        <i val="0"/>
        <u val="none"/>
        <strike val="0"/>
        <sz val="11"/>
        <name val="Calibri"/>
        <color theme="1"/>
        <condense val="0"/>
        <extend val="0"/>
      </font>
      <numFmt numFmtId="177"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dxf>
    <dxf>
      <numFmt numFmtId="177" formatCode="General"/>
    </dxf>
    <dxf>
      <numFmt numFmtId="177" formatCode="General"/>
    </dxf>
    <dxf>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numFmt numFmtId="166" formatCode="#,##0.000"/>
    </dxf>
    <dxf>
      <numFmt numFmtId="166" formatCode="#,##0.000"/>
    </dxf>
    <dxf>
      <numFmt numFmtId="177" formatCode="General"/>
    </dxf>
    <dxf>
      <numFmt numFmtId="165" formatCode="#,##0.0"/>
    </dxf>
    <dxf>
      <numFmt numFmtId="165" formatCode="#,##0.0"/>
    </dxf>
    <dxf>
      <numFmt numFmtId="164" formatCode="0.0"/>
      <border>
        <left style="thin">
          <color theme="0"/>
        </left>
      </border>
    </dxf>
    <dxf>
      <numFmt numFmtId="178" formatCode="@"/>
      <alignment horizontal="general" vertical="bottom" textRotation="0" wrapText="1" shrinkToFit="1" readingOrder="0"/>
    </dxf>
    <dxf>
      <numFmt numFmtId="177" formatCode="General"/>
      <border>
        <right style="thin">
          <color theme="0"/>
        </right>
      </border>
    </dxf>
    <dxf>
      <numFmt numFmtId="177" formatCode="General"/>
    </dxf>
    <dxf>
      <numFmt numFmtId="178" formatCode="@"/>
    </dxf>
    <dxf>
      <numFmt numFmtId="177" formatCode="General"/>
      <border>
        <left style="thin">
          <color theme="0"/>
        </left>
      </border>
    </dxf>
    <dxf>
      <numFmt numFmtId="177" formatCode="General"/>
      <alignment horizontal="general" vertical="bottom" textRotation="0" wrapText="1" shrinkToFit="1" readingOrder="0"/>
    </dxf>
    <dxf>
      <numFmt numFmtId="179" formatCode="0"/>
      <border>
        <right style="thin">
          <color theme="0"/>
        </right>
      </border>
    </dxf>
    <dxf>
      <numFmt numFmtId="164" formatCode="0.0"/>
    </dxf>
    <dxf>
      <numFmt numFmtId="177" formatCode="General"/>
    </dxf>
    <dxf>
      <numFmt numFmtId="177" formatCode="General"/>
    </dxf>
    <dxf>
      <numFmt numFmtId="178" formatCode="@"/>
    </dxf>
    <dxf>
      <numFmt numFmtId="178" formatCode="@"/>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222"/>
      <tableStyleElement type="headerRow" dxfId="221"/>
    </tableStyle>
    <tableStyle name="NodeXL Table" pivot="0" count="1">
      <tableStyleElement type="headerRow" dxfId="22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pivotCacheDefinition" Target="pivotCache/pivotCacheDefinition1.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customXml" Target="../customXml/item1.xml" /><Relationship Id="rId14" Type="http://schemas.microsoft.com/office/2007/relationships/slicerCache" Target="/xl/slicerCaches/slicerCache1.xml" /><Relationship Id="rId15" Type="http://schemas.microsoft.com/office/2007/relationships/slicerCache" Target="/xl/slicerCaches/slicerCache2.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27227165"/>
        <c:axId val="43717894"/>
      </c:barChart>
      <c:catAx>
        <c:axId val="2722716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3717894"/>
        <c:crosses val="autoZero"/>
        <c:auto val="1"/>
        <c:lblOffset val="100"/>
        <c:noMultiLvlLbl val="0"/>
      </c:catAx>
      <c:valAx>
        <c:axId val="437178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2271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SMXChat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c:f>
              <c:strCache>
                <c:ptCount val="1"/>
                <c:pt idx="0">
                  <c:v>(blank)</c:v>
                </c:pt>
              </c:strCache>
            </c:strRef>
          </c:cat>
          <c:val>
            <c:numRef>
              <c:f>'Time Series'!$B$26:$B$27</c:f>
              <c:numCache/>
            </c:numRef>
          </c:val>
        </c:ser>
        <c:axId val="64713351"/>
        <c:axId val="45549248"/>
      </c:barChart>
      <c:catAx>
        <c:axId val="64713351"/>
        <c:scaling>
          <c:orientation val="minMax"/>
        </c:scaling>
        <c:axPos val="b"/>
        <c:delete val="0"/>
        <c:numFmt formatCode="General" sourceLinked="1"/>
        <c:majorTickMark val="out"/>
        <c:minorTickMark val="none"/>
        <c:tickLblPos val="nextTo"/>
        <c:crossAx val="45549248"/>
        <c:crosses val="autoZero"/>
        <c:auto val="1"/>
        <c:lblOffset val="100"/>
        <c:noMultiLvlLbl val="0"/>
      </c:catAx>
      <c:valAx>
        <c:axId val="45549248"/>
        <c:scaling>
          <c:orientation val="minMax"/>
        </c:scaling>
        <c:axPos val="l"/>
        <c:majorGridlines/>
        <c:delete val="0"/>
        <c:numFmt formatCode="General" sourceLinked="1"/>
        <c:majorTickMark val="out"/>
        <c:minorTickMark val="none"/>
        <c:tickLblPos val="nextTo"/>
        <c:crossAx val="6471335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57916727"/>
        <c:axId val="51488496"/>
      </c:barChart>
      <c:catAx>
        <c:axId val="5791672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1488496"/>
        <c:crosses val="autoZero"/>
        <c:auto val="1"/>
        <c:lblOffset val="100"/>
        <c:noMultiLvlLbl val="0"/>
      </c:catAx>
      <c:valAx>
        <c:axId val="514884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9167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60743281"/>
        <c:axId val="9818618"/>
      </c:barChart>
      <c:catAx>
        <c:axId val="6074328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9818618"/>
        <c:crosses val="autoZero"/>
        <c:auto val="1"/>
        <c:lblOffset val="100"/>
        <c:noMultiLvlLbl val="0"/>
      </c:catAx>
      <c:valAx>
        <c:axId val="98186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7432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21258699"/>
        <c:axId val="57110564"/>
      </c:barChart>
      <c:catAx>
        <c:axId val="2125869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7110564"/>
        <c:crosses val="autoZero"/>
        <c:auto val="1"/>
        <c:lblOffset val="100"/>
        <c:noMultiLvlLbl val="0"/>
      </c:catAx>
      <c:valAx>
        <c:axId val="571105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2586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44233029"/>
        <c:axId val="62552942"/>
      </c:barChart>
      <c:catAx>
        <c:axId val="4423302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2552942"/>
        <c:crosses val="autoZero"/>
        <c:auto val="1"/>
        <c:lblOffset val="100"/>
        <c:noMultiLvlLbl val="0"/>
      </c:catAx>
      <c:valAx>
        <c:axId val="625529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2330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26105567"/>
        <c:axId val="33623512"/>
      </c:barChart>
      <c:catAx>
        <c:axId val="2610556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3623512"/>
        <c:crosses val="autoZero"/>
        <c:auto val="1"/>
        <c:lblOffset val="100"/>
        <c:noMultiLvlLbl val="0"/>
      </c:catAx>
      <c:valAx>
        <c:axId val="336235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1055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34176153"/>
        <c:axId val="39149922"/>
      </c:barChart>
      <c:catAx>
        <c:axId val="3417615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9149922"/>
        <c:crosses val="autoZero"/>
        <c:auto val="1"/>
        <c:lblOffset val="100"/>
        <c:noMultiLvlLbl val="0"/>
      </c:catAx>
      <c:valAx>
        <c:axId val="391499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1761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16804979"/>
        <c:axId val="17027084"/>
      </c:barChart>
      <c:catAx>
        <c:axId val="1680497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7027084"/>
        <c:crosses val="autoZero"/>
        <c:auto val="1"/>
        <c:lblOffset val="100"/>
        <c:noMultiLvlLbl val="0"/>
      </c:catAx>
      <c:valAx>
        <c:axId val="170270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8049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19026029"/>
        <c:axId val="37016534"/>
      </c:barChart>
      <c:catAx>
        <c:axId val="19026029"/>
        <c:scaling>
          <c:orientation val="minMax"/>
        </c:scaling>
        <c:axPos val="b"/>
        <c:delete val="1"/>
        <c:majorTickMark val="out"/>
        <c:minorTickMark val="none"/>
        <c:tickLblPos val="none"/>
        <c:crossAx val="37016534"/>
        <c:crosses val="autoZero"/>
        <c:auto val="1"/>
        <c:lblOffset val="100"/>
        <c:noMultiLvlLbl val="0"/>
      </c:catAx>
      <c:valAx>
        <c:axId val="37016534"/>
        <c:scaling>
          <c:orientation val="minMax"/>
        </c:scaling>
        <c:axPos val="l"/>
        <c:delete val="1"/>
        <c:majorTickMark val="out"/>
        <c:minorTickMark val="none"/>
        <c:tickLblPos val="none"/>
        <c:crossAx val="1902602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09061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35731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162306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188785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15550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42220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295465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268700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 refreshedBy="Marc" refreshedVersion="5">
  <cacheSource type="worksheet">
    <worksheetSource ref="A2:BE3" sheet="Time Series Edges"/>
  </cacheSource>
  <cacheFields count="57">
    <cacheField name="Vertex 1" numFmtId="49">
      <sharedItems containsString="0" containsBlank="1" containsMixedTypes="1" count="0"/>
    </cacheField>
    <cacheField name="Vertex 2" numFmtId="49">
      <sharedItems containsString="0" containsBlank="1" containsMixedTypes="1"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String="0" containsBlank="1" containsMixedTypes="1"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String="0" containsBlank="1" count="1">
        <m/>
      </sharedItems>
    </cacheField>
    <cacheField name="Relationship Date (UTC)">
      <sharedItems containsString="0" containsBlank="1" containsMixedTypes="1" count="0"/>
    </cacheField>
    <cacheField name="Tweet">
      <sharedItems containsString="0" containsBlank="1" containsMixedTypes="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String="0" containsBlank="1" containsMixedTypes="1" count="0"/>
    </cacheField>
    <cacheField name="Tweet Date (UTC)">
      <sharedItems containsString="0" containsBlank="1" count="1">
        <m/>
      </sharedItems>
    </cacheField>
    <cacheField name="Date">
      <sharedItems containsString="0" containsBlank="1" containsMixedTypes="1" count="0"/>
    </cacheField>
    <cacheField name="Time">
      <sharedItems containsString="0" containsBlank="1" containsMixedTypes="1" count="0"/>
    </cacheField>
    <cacheField name="Twitter Page for Tweet">
      <sharedItems containsString="0" containsBlank="1" containsMixedTypes="1" count="0"/>
    </cacheField>
    <cacheField name="Latitude">
      <sharedItems containsString="0" containsBlank="1" containsMixedTypes="1" count="0"/>
    </cacheField>
    <cacheField name="Longitude">
      <sharedItems containsString="0" containsBlank="1" containsMixedTypes="1" count="0"/>
    </cacheField>
    <cacheField name="Imported ID">
      <sharedItems containsString="0" containsBlank="1" containsMixedTypes="1" count="0"/>
    </cacheField>
    <cacheField name="In-Reply-To Tweet ID">
      <sharedItems containsString="0" containsBlank="1" containsMixedTypes="1" count="0"/>
    </cacheField>
    <cacheField name="Favorited">
      <sharedItems containsString="0" containsBlank="1" containsMixedTypes="1" count="0"/>
    </cacheField>
    <cacheField name="Favorite Count">
      <sharedItems containsString="0" containsBlank="1" containsMixedTypes="1" count="0"/>
    </cacheField>
    <cacheField name="In-Reply-To User ID">
      <sharedItems containsString="0" containsBlank="1" containsMixedTypes="1" count="0"/>
    </cacheField>
    <cacheField name="Is Quote Status">
      <sharedItems containsString="0" containsBlank="1" containsMixedTypes="1" count="0"/>
    </cacheField>
    <cacheField name="Language">
      <sharedItems containsString="0" containsBlank="1" containsMixedTypes="1" count="0"/>
    </cacheField>
    <cacheField name="Possibly Sensitive">
      <sharedItems containsString="0" containsBlank="1" containsMixedTypes="1" count="0"/>
    </cacheField>
    <cacheField name="Quoted Status ID">
      <sharedItems containsString="0" containsBlank="1" containsMixedTypes="1" count="0"/>
    </cacheField>
    <cacheField name="Retweeted">
      <sharedItems containsString="0" containsBlank="1" containsMixedTypes="1" count="0"/>
    </cacheField>
    <cacheField name="Retweet Count">
      <sharedItems containsString="0" containsBlank="1" containsMixedTypes="1" count="0"/>
    </cacheField>
    <cacheField name="Retweet ID">
      <sharedItems containsString="0" containsBlank="1" containsMixedTypes="1" count="0"/>
    </cacheField>
    <cacheField name="Source">
      <sharedItems containsString="0" containsBlank="1" containsMixedTypes="1" count="0"/>
    </cacheField>
    <cacheField name="Truncated">
      <sharedItems containsString="0" containsBlank="1" containsMixedTypes="1" count="0"/>
    </cacheField>
    <cacheField name="Unified Twitter ID">
      <sharedItems containsString="0" containsBlank="1" containsMixedTypes="1" count="0"/>
    </cacheField>
    <cacheField name="Imported Tweet Type">
      <sharedItems containsString="0" containsBlank="1" containsMixedTypes="1" count="0"/>
    </cacheField>
    <cacheField name="Added By Extended Analysis">
      <sharedItems containsString="0" containsBlank="1" containsMixedTypes="1" count="0"/>
    </cacheField>
    <cacheField name="Corrected By Extended Analysis">
      <sharedItems containsString="0" containsBlank="1" containsMixedTypes="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tring="0" containsBlank="1" containsMixedTypes="1" count="0"/>
    </cacheField>
    <cacheField name="Vertex 1 Group">
      <sharedItems containsMixedTypes="0" count="0"/>
    </cacheField>
    <cacheField name="Vertex 2 Group">
      <sharedItems containsMixedTypes="0"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
  <r>
    <m/>
    <m/>
    <m/>
    <m/>
    <m/>
    <m/>
    <m/>
    <m/>
    <m/>
    <m/>
    <m/>
    <n v="3"/>
    <m/>
    <m/>
    <x v="0"/>
    <m/>
    <m/>
    <m/>
    <m/>
    <x v="0"/>
    <m/>
    <m/>
    <x v="0"/>
    <m/>
    <m/>
    <m/>
    <m/>
    <m/>
    <m/>
    <m/>
    <m/>
    <m/>
    <m/>
    <m/>
    <m/>
    <m/>
    <m/>
    <m/>
    <m/>
    <m/>
    <m/>
    <m/>
    <m/>
    <m/>
    <m/>
    <m/>
    <m/>
    <m/>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7" firstHeaderRow="1" firstDataRow="1" firstDataCol="1"/>
  <pivotFields count="5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
    <i>
      <x/>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9" name="TimeSeries"/>
  </pivotTables>
  <data>
    <tabular pivotCacheId="1">
      <items count="1">
        <i x="0"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9" name="TimeSeries"/>
  </pivotTables>
  <data>
    <tabular pivotCacheId="1">
      <items count="1">
        <i x="0"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E3" totalsRowShown="0" headerRowDxfId="219" dataDxfId="218">
  <autoFilter ref="A2:BE3"/>
  <tableColumns count="57">
    <tableColumn id="1" name="Vertex 1" dataDxfId="217"/>
    <tableColumn id="2" name="Vertex 2" dataDxfId="216"/>
    <tableColumn id="3" name="Color" dataDxfId="215"/>
    <tableColumn id="4" name="Width" dataDxfId="214"/>
    <tableColumn id="11" name="Style" dataDxfId="213"/>
    <tableColumn id="5" name="Opacity" dataDxfId="212"/>
    <tableColumn id="6" name="Visibility" dataDxfId="211"/>
    <tableColumn id="10" name="Label" dataDxfId="210"/>
    <tableColumn id="12" name="Label Text Color" dataDxfId="209"/>
    <tableColumn id="13" name="Label Font Size" dataDxfId="208"/>
    <tableColumn id="14" name="Reciprocated?" dataDxfId="60"/>
    <tableColumn id="7" name="ID" dataDxfId="207"/>
    <tableColumn id="9" name="Dynamic Filter" dataDxfId="206"/>
    <tableColumn id="8" name="Add Your Own Columns Here" dataDxfId="205"/>
    <tableColumn id="15" name="Relationship" dataDxfId="204"/>
    <tableColumn id="16" name="Relationship Date (UTC)" dataDxfId="203"/>
    <tableColumn id="17" name="Tweet" dataDxfId="202"/>
    <tableColumn id="18" name="URLs in Tweet" dataDxfId="201"/>
    <tableColumn id="19" name="Domains in Tweet" dataDxfId="200"/>
    <tableColumn id="20" name="Hashtags in Tweet" dataDxfId="199"/>
    <tableColumn id="21" name="Media in Tweet" dataDxfId="198"/>
    <tableColumn id="22" name="Tweet Image File" dataDxfId="197"/>
    <tableColumn id="23" name="Tweet Date (UTC)" dataDxfId="196"/>
    <tableColumn id="24" name="Date" dataDxfId="195"/>
    <tableColumn id="25" name="Time" dataDxfId="194"/>
    <tableColumn id="26" name="Twitter Page for Tweet" dataDxfId="193"/>
    <tableColumn id="27" name="Latitude" dataDxfId="192"/>
    <tableColumn id="28" name="Longitude" dataDxfId="191"/>
    <tableColumn id="29" name="Imported ID" dataDxfId="190"/>
    <tableColumn id="30" name="In-Reply-To Tweet ID" dataDxfId="189"/>
    <tableColumn id="31" name="Favorited" dataDxfId="188"/>
    <tableColumn id="32" name="Favorite Count" dataDxfId="187"/>
    <tableColumn id="33" name="In-Reply-To User ID" dataDxfId="186"/>
    <tableColumn id="34" name="Is Quote Status" dataDxfId="185"/>
    <tableColumn id="35" name="Language" dataDxfId="184"/>
    <tableColumn id="36" name="Possibly Sensitive" dataDxfId="183"/>
    <tableColumn id="37" name="Quoted Status ID" dataDxfId="182"/>
    <tableColumn id="38" name="Retweeted" dataDxfId="181"/>
    <tableColumn id="39" name="Retweet Count" dataDxfId="180"/>
    <tableColumn id="40" name="Retweet ID" dataDxfId="179"/>
    <tableColumn id="41" name="Source" dataDxfId="178"/>
    <tableColumn id="42" name="Truncated" dataDxfId="177"/>
    <tableColumn id="43" name="Unified Twitter ID" dataDxfId="176"/>
    <tableColumn id="44" name="Imported Tweet Type" dataDxfId="175"/>
    <tableColumn id="45" name="Added By Extended Analysis" dataDxfId="174"/>
    <tableColumn id="46" name="Corrected By Extended Analysis" dataDxfId="173"/>
    <tableColumn id="47" name="Place Bounding Box" dataDxfId="172"/>
    <tableColumn id="48" name="Place Country" dataDxfId="171"/>
    <tableColumn id="49" name="Place Country Code" dataDxfId="170"/>
    <tableColumn id="50" name="Place Full Name" dataDxfId="169"/>
    <tableColumn id="51" name="Place ID" dataDxfId="168"/>
    <tableColumn id="52" name="Place Name" dataDxfId="167"/>
    <tableColumn id="53" name="Place Type" dataDxfId="166"/>
    <tableColumn id="54" name="Place URL" dataDxfId="165"/>
    <tableColumn id="55" name="Edge Weight"/>
    <tableColumn id="56" name="Vertex 1 Group" dataDxfId="62">
      <calculatedColumnFormula>REPLACE(INDEX(GroupVertices[Group], MATCH(Edges[[#This Row],[Vertex 1]],GroupVertices[Vertex],0)),1,1,"")</calculatedColumnFormula>
    </tableColumn>
    <tableColumn id="57" name="Vertex 2 Group" dataDxfId="61">
      <calculatedColumnFormula>REPLACE(INDEX(GroupVertices[Group], MATCH(Edges[[#This Row],[Vertex 2]],GroupVertices[Vertex],0)),1,1,"")</calculatedColumnFormula>
    </tableColumn>
  </tableColumns>
  <tableStyleInfo name="NodeXL Table" showFirstColumn="0" showLastColumn="0" showRowStripes="0" showColumnStripes="0"/>
</table>
</file>

<file path=xl/tables/table10.xml><?xml version="1.0" encoding="utf-8"?>
<table xmlns="http://schemas.openxmlformats.org/spreadsheetml/2006/main" id="7" name="PerWorkbookSettings" displayName="PerWorkbookSettings" ref="J1:K26" totalsRowShown="0" headerRowDxfId="72">
  <autoFilter ref="J1:K26"/>
  <tableColumns count="2">
    <tableColumn id="1" name="Per-Workbook Setting"/>
    <tableColumn id="2" name="Value"/>
  </tableColumns>
  <tableStyleInfo name="TableStyleMedium9" showFirstColumn="0" showLastColumn="0" showRowStripes="1" showColumnStripes="0"/>
</table>
</file>

<file path=xl/tables/table11.xml><?xml version="1.0" encoding="utf-8"?>
<table xmlns="http://schemas.openxmlformats.org/spreadsheetml/2006/main" id="8" name="DynamicFilterSettings" displayName="DynamicFilterSettings" ref="M1:P2" totalsRowShown="0" headerRowDxfId="7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2.xml><?xml version="1.0" encoding="utf-8"?>
<table xmlns="http://schemas.openxmlformats.org/spreadsheetml/2006/main" id="2" name="Vertices" displayName="Vertices" ref="A2:AZ3" totalsRowShown="0" headerRowDxfId="164" dataDxfId="163">
  <autoFilter ref="A2:AZ3"/>
  <tableColumns count="52">
    <tableColumn id="1" name="Vertex" dataDxfId="162"/>
    <tableColumn id="2" name="Color" dataDxfId="161"/>
    <tableColumn id="5" name="Shape" dataDxfId="160"/>
    <tableColumn id="6" name="Size" dataDxfId="159"/>
    <tableColumn id="4" name="Opacity" dataDxfId="158"/>
    <tableColumn id="7" name="Image File" dataDxfId="157"/>
    <tableColumn id="3" name="Visibility" dataDxfId="156"/>
    <tableColumn id="10" name="Label" dataDxfId="155"/>
    <tableColumn id="16" name="Label Fill Color" dataDxfId="154"/>
    <tableColumn id="9" name="Label Position" dataDxfId="153"/>
    <tableColumn id="8" name="Tooltip" dataDxfId="152"/>
    <tableColumn id="18" name="Layout Order" dataDxfId="151"/>
    <tableColumn id="13" name="X" dataDxfId="150"/>
    <tableColumn id="14" name="Y" dataDxfId="149"/>
    <tableColumn id="12" name="Locked?" dataDxfId="148"/>
    <tableColumn id="19" name="Polar R" dataDxfId="147"/>
    <tableColumn id="20" name="Polar Angle" dataDxfId="146"/>
    <tableColumn id="21" name="Degree" dataDxfId="145"/>
    <tableColumn id="22" name="In-Degree" dataDxfId="144"/>
    <tableColumn id="23" name="Out-Degree" dataDxfId="143"/>
    <tableColumn id="24" name="Betweenness Centrality" dataDxfId="142"/>
    <tableColumn id="25" name="Closeness Centrality" dataDxfId="141"/>
    <tableColumn id="26" name="Eigenvector Centrality" dataDxfId="140"/>
    <tableColumn id="15" name="PageRank" dataDxfId="139"/>
    <tableColumn id="27" name="Clustering Coefficient" dataDxfId="138"/>
    <tableColumn id="29" name="Reciprocated Vertex Pair Ratio" dataDxfId="137"/>
    <tableColumn id="11" name="ID" dataDxfId="136"/>
    <tableColumn id="28" name="Dynamic Filter" dataDxfId="135"/>
    <tableColumn id="17" name="Add Your Own Columns Here" dataDxfId="134"/>
    <tableColumn id="30" name="Name" dataDxfId="133"/>
    <tableColumn id="31" name="Followed" dataDxfId="132"/>
    <tableColumn id="32" name="Followers" dataDxfId="131"/>
    <tableColumn id="33" name="Tweets" dataDxfId="130"/>
    <tableColumn id="34" name="Favorites" dataDxfId="129"/>
    <tableColumn id="35" name="Time Zone UTC Offset (Seconds)" dataDxfId="128"/>
    <tableColumn id="36" name="Description" dataDxfId="127"/>
    <tableColumn id="37" name="Location" dataDxfId="126"/>
    <tableColumn id="38" name="Web" dataDxfId="125"/>
    <tableColumn id="39" name="Time Zone" dataDxfId="124"/>
    <tableColumn id="40" name="Joined Twitter Date (UTC)" dataDxfId="123"/>
    <tableColumn id="41" name="Profile Banner Url" dataDxfId="122"/>
    <tableColumn id="42" name="Default Profile" dataDxfId="121"/>
    <tableColumn id="43" name="Default Profile Image" dataDxfId="120"/>
    <tableColumn id="44" name="Geo Enabled" dataDxfId="119"/>
    <tableColumn id="45" name="Language" dataDxfId="118"/>
    <tableColumn id="46" name="Listed Count" dataDxfId="117"/>
    <tableColumn id="47" name="Profile Background Image Url" dataDxfId="116"/>
    <tableColumn id="48" name="Verified" dataDxfId="115"/>
    <tableColumn id="49" name="Custom Menu Item Text" dataDxfId="114"/>
    <tableColumn id="50" name="Custom Menu Item Action" dataDxfId="113"/>
    <tableColumn id="51" name="Tweeted Search Term?" dataDxfId="64"/>
    <tableColumn id="52" name="Vertex Group" dataDxfId="63">
      <calculatedColumnFormula>REPLACE(INDEX(GroupVertices[Group], MATCH(Vertices[[#This Row],[Vertex]],GroupVertices[Vertex],0)),1,1,"")</calculatedColumnFormula>
    </tableColumn>
  </tableColumns>
  <tableStyleInfo name="NodeXL Table" showFirstColumn="0" showLastColumn="0" showRowStripes="0" showColumnStripes="0"/>
</table>
</file>

<file path=xl/tables/table3.xml><?xml version="1.0" encoding="utf-8"?>
<table xmlns="http://schemas.openxmlformats.org/spreadsheetml/2006/main" id="4" name="Groups" displayName="Groups" ref="A2:Y3" insertRow="1" totalsRowShown="0" headerRowDxfId="112">
  <autoFilter ref="A2:Y3"/>
  <tableColumns count="25">
    <tableColumn id="1" name="Group" dataDxfId="70"/>
    <tableColumn id="2" name="Vertex Color" dataDxfId="69"/>
    <tableColumn id="3" name="Vertex Shape" dataDxfId="68"/>
    <tableColumn id="22" name="Visibility" dataDxfId="111"/>
    <tableColumn id="4" name="Collapsed?"/>
    <tableColumn id="18" name="Label" dataDxfId="110"/>
    <tableColumn id="20" name="Collapsed X"/>
    <tableColumn id="21" name="Collapsed Y"/>
    <tableColumn id="6" name="ID" dataDxfId="109"/>
    <tableColumn id="19" name="Collapsed Properties" dataDxfId="108"/>
    <tableColumn id="5" name="Vertices" dataDxfId="107"/>
    <tableColumn id="7" name="Unique Edges" dataDxfId="106"/>
    <tableColumn id="8" name="Edges With Duplicates" dataDxfId="105"/>
    <tableColumn id="9" name="Total Edges" dataDxfId="104"/>
    <tableColumn id="10" name="Self-Loops" dataDxfId="103"/>
    <tableColumn id="24" name="Reciprocated Vertex Pair Ratio" dataDxfId="102"/>
    <tableColumn id="25" name="Reciprocated Edge Ratio" dataDxfId="101"/>
    <tableColumn id="11" name="Connected Components" dataDxfId="100"/>
    <tableColumn id="12" name="Single-Vertex Connected Components" dataDxfId="99"/>
    <tableColumn id="13" name="Maximum Vertices in a Connected Component" dataDxfId="98"/>
    <tableColumn id="14" name="Maximum Edges in a Connected Component" dataDxfId="97"/>
    <tableColumn id="15" name="Maximum Geodesic Distance (Diameter)" dataDxfId="96"/>
    <tableColumn id="16" name="Average Geodesic Distance" dataDxfId="95"/>
    <tableColumn id="17" name="Graph Density" dataDxfId="59"/>
    <tableColumn id="23" name="Top URLs in Tweet" dataDxfId="5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94" dataDxfId="93">
  <autoFilter ref="A1:C2"/>
  <tableColumns count="3">
    <tableColumn id="1" name="Group" dataDxfId="67"/>
    <tableColumn id="2" name="Vertex" dataDxfId="66"/>
    <tableColumn id="3" name="Vertex ID" dataDxfId="6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92"/>
    <tableColumn id="2" name="Value" dataDxfId="91"/>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90"/>
    <tableColumn id="2" name="Degree Frequency" dataDxfId="89">
      <calculatedColumnFormula>COUNTIF(Vertices[Degree], "&gt;= " &amp; D2) - COUNTIF(Vertices[Degree], "&gt;=" &amp; D3)</calculatedColumnFormula>
    </tableColumn>
    <tableColumn id="3" name="In-Degree Bin" dataDxfId="88"/>
    <tableColumn id="4" name="In-Degree Frequency" dataDxfId="87">
      <calculatedColumnFormula>COUNTIF(Vertices[In-Degree], "&gt;= " &amp; F2) - COUNTIF(Vertices[In-Degree], "&gt;=" &amp; F3)</calculatedColumnFormula>
    </tableColumn>
    <tableColumn id="5" name="Out-Degree Bin" dataDxfId="86"/>
    <tableColumn id="6" name="Out-Degree Frequency" dataDxfId="85">
      <calculatedColumnFormula>COUNTIF(Vertices[Out-Degree], "&gt;= " &amp; H2) - COUNTIF(Vertices[Out-Degree], "&gt;=" &amp; H3)</calculatedColumnFormula>
    </tableColumn>
    <tableColumn id="7" name="Betweenness Centrality Bin" dataDxfId="84"/>
    <tableColumn id="8" name="Betweenness Centrality Frequency" dataDxfId="83">
      <calculatedColumnFormula>COUNTIF(Vertices[Betweenness Centrality], "&gt;= " &amp; J2) - COUNTIF(Vertices[Betweenness Centrality], "&gt;=" &amp; J3)</calculatedColumnFormula>
    </tableColumn>
    <tableColumn id="9" name="Closeness Centrality Bin" dataDxfId="82"/>
    <tableColumn id="10" name="Closeness Centrality Frequency" dataDxfId="81">
      <calculatedColumnFormula>COUNTIF(Vertices[Closeness Centrality], "&gt;= " &amp; L2) - COUNTIF(Vertices[Closeness Centrality], "&gt;=" &amp; L3)</calculatedColumnFormula>
    </tableColumn>
    <tableColumn id="11" name="Eigenvector Centrality Bin" dataDxfId="80"/>
    <tableColumn id="12" name="Eigenvector Centrality Frequency" dataDxfId="79">
      <calculatedColumnFormula>COUNTIF(Vertices[Eigenvector Centrality], "&gt;= " &amp; N2) - COUNTIF(Vertices[Eigenvector Centrality], "&gt;=" &amp; N3)</calculatedColumnFormula>
    </tableColumn>
    <tableColumn id="18" name="PageRank Bin" dataDxfId="78"/>
    <tableColumn id="17" name="PageRank Frequency" dataDxfId="77">
      <calculatedColumnFormula>COUNTIF(Vertices[Eigenvector Centrality], "&gt;= " &amp; P2) - COUNTIF(Vertices[Eigenvector Centrality], "&gt;=" &amp; P3)</calculatedColumnFormula>
    </tableColumn>
    <tableColumn id="13" name="Clustering Coefficient Bin" dataDxfId="76"/>
    <tableColumn id="14" name="Clustering Coefficient Frequency" dataDxfId="75">
      <calculatedColumnFormula>COUNTIF(Vertices[Clustering Coefficient], "&gt;= " &amp; R2) - COUNTIF(Vertices[Clustering Coefficient], "&gt;=" &amp; R3)</calculatedColumnFormula>
    </tableColumn>
    <tableColumn id="15" name="Dynamic Filter Bin" dataDxfId="74"/>
    <tableColumn id="16" name="Dynamic Filter Frequency" dataDxfId="7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10" name="Edges11" displayName="Edges11" ref="A2:BE3" totalsRowShown="0" headerRowDxfId="57" dataDxfId="56">
  <autoFilter ref="A2:BE3"/>
  <tableColumns count="57">
    <tableColumn id="1" name="Vertex 1" dataDxfId="55"/>
    <tableColumn id="2" name="Vertex 2" dataDxfId="54"/>
    <tableColumn id="3" name="Color" dataDxfId="53"/>
    <tableColumn id="4" name="Width" dataDxfId="52"/>
    <tableColumn id="11" name="Style" dataDxfId="51"/>
    <tableColumn id="5" name="Opacity" dataDxfId="50"/>
    <tableColumn id="6" name="Visibility" dataDxfId="49"/>
    <tableColumn id="10" name="Label" dataDxfId="48"/>
    <tableColumn id="12" name="Label Text Color" dataDxfId="47"/>
    <tableColumn id="13" name="Label Font Size" dataDxfId="46"/>
    <tableColumn id="14" name="Reciprocated?" dataDxfId="45"/>
    <tableColumn id="7" name="ID" dataDxfId="44"/>
    <tableColumn id="9" name="Dynamic Filter" dataDxfId="43"/>
    <tableColumn id="8" name="Add Your Own Columns Here" dataDxfId="42"/>
    <tableColumn id="15" name="Relationship" dataDxfId="41"/>
    <tableColumn id="16" name="Relationship Date (UTC)" dataDxfId="40"/>
    <tableColumn id="17" name="Tweet" dataDxfId="39"/>
    <tableColumn id="18" name="URLs in Tweet" dataDxfId="38"/>
    <tableColumn id="19" name="Domains in Tweet" dataDxfId="37"/>
    <tableColumn id="20" name="Hashtags in Tweet" dataDxfId="36"/>
    <tableColumn id="21" name="Media in Tweet" dataDxfId="35"/>
    <tableColumn id="22" name="Tweet Image File" dataDxfId="34"/>
    <tableColumn id="23" name="Tweet Date (UTC)" dataDxfId="33"/>
    <tableColumn id="24" name="Date" dataDxfId="32"/>
    <tableColumn id="25" name="Time" dataDxfId="31"/>
    <tableColumn id="26" name="Twitter Page for Tweet" dataDxfId="30"/>
    <tableColumn id="27" name="Latitude" dataDxfId="29"/>
    <tableColumn id="28" name="Longitude" dataDxfId="28"/>
    <tableColumn id="29" name="Imported ID" dataDxfId="27"/>
    <tableColumn id="30" name="In-Reply-To Tweet ID" dataDxfId="26"/>
    <tableColumn id="31" name="Favorited" dataDxfId="25"/>
    <tableColumn id="32" name="Favorite Count" dataDxfId="24"/>
    <tableColumn id="33" name="In-Reply-To User ID" dataDxfId="23"/>
    <tableColumn id="34" name="Is Quote Status" dataDxfId="22"/>
    <tableColumn id="35" name="Language" dataDxfId="21"/>
    <tableColumn id="36" name="Possibly Sensitive" dataDxfId="20"/>
    <tableColumn id="37" name="Quoted Status ID" dataDxfId="19"/>
    <tableColumn id="38" name="Retweeted" dataDxfId="18"/>
    <tableColumn id="39" name="Retweet Count" dataDxfId="17"/>
    <tableColumn id="40" name="Retweet ID" dataDxfId="16"/>
    <tableColumn id="41" name="Source" dataDxfId="15"/>
    <tableColumn id="42" name="Truncated" dataDxfId="14"/>
    <tableColumn id="43" name="Unified Twitter ID" dataDxfId="13"/>
    <tableColumn id="44" name="Imported Tweet Type" dataDxfId="12"/>
    <tableColumn id="45" name="Added By Extended Analysis" dataDxfId="11"/>
    <tableColumn id="46" name="Corrected By Extended Analysis" dataDxfId="10"/>
    <tableColumn id="47" name="Place Bounding Box" dataDxfId="9"/>
    <tableColumn id="48" name="Place Country" dataDxfId="8"/>
    <tableColumn id="49" name="Place Country Code" dataDxfId="7"/>
    <tableColumn id="50" name="Place Full Name" dataDxfId="6"/>
    <tableColumn id="51" name="Place ID" dataDxfId="5"/>
    <tableColumn id="52" name="Place Name" dataDxfId="4"/>
    <tableColumn id="53" name="Place Type" dataDxfId="3"/>
    <tableColumn id="54" name="Place URL" dataDxfId="2"/>
    <tableColumn id="55" name="Edge Weight"/>
    <tableColumn id="56" name="Vertex 1 Group" dataDxfId="1">
      <calculatedColumnFormula>REPLACE(INDEX(GroupVertices[Group], MATCH(Edges11[[#This Row],[Vertex 1]],GroupVertices[Vertex],0)),1,1,"")</calculatedColumnFormula>
    </tableColumn>
    <tableColumn id="57" name="Vertex 2 Group" dataDxfId="0">
      <calculatedColumnFormula>REPLACE(INDEX(GroupVertices[Group], MATCH(Edges11[[#This Row],[Vertex 2]],GroupVertices[Vertex],0)),1,1,"")</calculatedColumnFormula>
    </tableColumn>
  </tableColumns>
  <tableStyleInfo name="NodeXL Table"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table" Target="../tables/table9.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0.xml" /><Relationship Id="rId2" Type="http://schemas.openxmlformats.org/officeDocument/2006/relationships/table" Target="../tables/table11.xml" /><Relationship Id="rId3" Type="http://schemas.openxmlformats.org/officeDocument/2006/relationships/drawing" Target="../drawings/drawing2.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customWidth="1"/>
    <col min="13" max="13" width="10.8515625" style="0"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s>
  <sheetData>
    <row r="1" spans="3:14" ht="15">
      <c r="C1" s="17" t="s">
        <v>39</v>
      </c>
      <c r="D1" s="18"/>
      <c r="E1" s="18"/>
      <c r="F1" s="18"/>
      <c r="G1" s="17"/>
      <c r="H1" s="15" t="s">
        <v>43</v>
      </c>
      <c r="I1" s="65"/>
      <c r="J1" s="65"/>
      <c r="K1" s="34" t="s">
        <v>42</v>
      </c>
      <c r="L1" s="19" t="s">
        <v>40</v>
      </c>
      <c r="M1" s="19"/>
      <c r="N1" s="16" t="s">
        <v>41</v>
      </c>
    </row>
    <row r="2" spans="1:57" ht="30" customHeight="1">
      <c r="A2" s="82" t="s">
        <v>0</v>
      </c>
      <c r="B2" s="82" t="s">
        <v>1</v>
      </c>
      <c r="C2" s="13" t="s">
        <v>2</v>
      </c>
      <c r="D2" s="13" t="s">
        <v>3</v>
      </c>
      <c r="E2" s="13" t="s">
        <v>130</v>
      </c>
      <c r="F2" s="13" t="s">
        <v>4</v>
      </c>
      <c r="G2" s="13" t="s">
        <v>11</v>
      </c>
      <c r="H2" s="11" t="s">
        <v>46</v>
      </c>
      <c r="I2" s="13" t="s">
        <v>160</v>
      </c>
      <c r="J2" s="13" t="s">
        <v>161</v>
      </c>
      <c r="K2" s="13" t="s">
        <v>165</v>
      </c>
      <c r="L2" s="13" t="s">
        <v>12</v>
      </c>
      <c r="M2" s="13" t="s">
        <v>38</v>
      </c>
      <c r="N2" s="13" t="s">
        <v>26</v>
      </c>
      <c r="O2" s="84" t="s">
        <v>174</v>
      </c>
      <c r="P2" s="84" t="s">
        <v>175</v>
      </c>
      <c r="Q2" s="84" t="s">
        <v>176</v>
      </c>
      <c r="R2" s="84" t="s">
        <v>177</v>
      </c>
      <c r="S2" s="84" t="s">
        <v>178</v>
      </c>
      <c r="T2" s="84" t="s">
        <v>179</v>
      </c>
      <c r="U2" s="84" t="s">
        <v>180</v>
      </c>
      <c r="V2" s="84" t="s">
        <v>181</v>
      </c>
      <c r="W2" s="84" t="s">
        <v>182</v>
      </c>
      <c r="X2" s="84" t="s">
        <v>183</v>
      </c>
      <c r="Y2" s="84" t="s">
        <v>184</v>
      </c>
      <c r="Z2" s="84" t="s">
        <v>185</v>
      </c>
      <c r="AA2" s="84" t="s">
        <v>186</v>
      </c>
      <c r="AB2" s="84" t="s">
        <v>187</v>
      </c>
      <c r="AC2" s="84" t="s">
        <v>188</v>
      </c>
      <c r="AD2" s="84" t="s">
        <v>189</v>
      </c>
      <c r="AE2" s="84" t="s">
        <v>190</v>
      </c>
      <c r="AF2" s="84" t="s">
        <v>191</v>
      </c>
      <c r="AG2" s="84" t="s">
        <v>192</v>
      </c>
      <c r="AH2" s="84" t="s">
        <v>193</v>
      </c>
      <c r="AI2" s="84" t="s">
        <v>194</v>
      </c>
      <c r="AJ2" s="84" t="s">
        <v>195</v>
      </c>
      <c r="AK2" s="84" t="s">
        <v>196</v>
      </c>
      <c r="AL2" s="84" t="s">
        <v>197</v>
      </c>
      <c r="AM2" s="84" t="s">
        <v>198</v>
      </c>
      <c r="AN2" s="84" t="s">
        <v>199</v>
      </c>
      <c r="AO2" s="84" t="s">
        <v>200</v>
      </c>
      <c r="AP2" s="84" t="s">
        <v>201</v>
      </c>
      <c r="AQ2" s="84" t="s">
        <v>202</v>
      </c>
      <c r="AR2" s="84" t="s">
        <v>203</v>
      </c>
      <c r="AS2" s="84" t="s">
        <v>204</v>
      </c>
      <c r="AT2" s="84" t="s">
        <v>205</v>
      </c>
      <c r="AU2" s="84" t="s">
        <v>206</v>
      </c>
      <c r="AV2" s="84" t="s">
        <v>207</v>
      </c>
      <c r="AW2" s="84" t="s">
        <v>208</v>
      </c>
      <c r="AX2" s="84" t="s">
        <v>209</v>
      </c>
      <c r="AY2" s="84" t="s">
        <v>210</v>
      </c>
      <c r="AZ2" s="84" t="s">
        <v>211</v>
      </c>
      <c r="BA2" s="84" t="s">
        <v>212</v>
      </c>
      <c r="BB2" s="84" t="s">
        <v>213</v>
      </c>
      <c r="BC2" t="s">
        <v>272</v>
      </c>
      <c r="BD2" s="13" t="s">
        <v>274</v>
      </c>
      <c r="BE2" s="13" t="s">
        <v>275</v>
      </c>
    </row>
    <row r="3" spans="1:57" ht="15" customHeight="1">
      <c r="A3" s="83"/>
      <c r="B3" s="83"/>
      <c r="C3" s="53"/>
      <c r="D3" s="54"/>
      <c r="E3" s="66"/>
      <c r="F3" s="55"/>
      <c r="G3" s="53"/>
      <c r="H3" s="57"/>
      <c r="I3" s="56"/>
      <c r="J3" s="56"/>
      <c r="K3" s="35"/>
      <c r="L3" s="62">
        <v>3</v>
      </c>
      <c r="M3" s="62"/>
      <c r="N3" s="63"/>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D3" s="84" t="e">
        <f>REPLACE(INDEX(GroupVertices[Group],MATCH(Edges[[#This Row],[Vertex 1]],GroupVertices[Vertex],0)),1,1,"")</f>
        <v>#N/A</v>
      </c>
      <c r="BE3" s="84" t="e">
        <f>REPLACE(INDEX(GroupVertices[Group],MATCH(Edges[[#This Row],[Vertex 2]],GroupVertices[Vertex],0)),1,1,"")</f>
        <v>#N/A</v>
      </c>
    </row>
    <row r="4" ht="15" customHeight="1"/>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printOptions/>
  <pageMargins left="0.7" right="0.7" top="0.75" bottom="0.75" header="0.3" footer="0.3"/>
  <pageSetup horizontalDpi="600" verticalDpi="600" orientation="portrait" r:id="rId4"/>
  <legacyDrawing r:id="rId2"/>
  <tableParts>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B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5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214</v>
      </c>
      <c r="AE2" s="13" t="s">
        <v>215</v>
      </c>
      <c r="AF2" s="13" t="s">
        <v>216</v>
      </c>
      <c r="AG2" s="13" t="s">
        <v>217</v>
      </c>
      <c r="AH2" s="13" t="s">
        <v>218</v>
      </c>
      <c r="AI2" s="13" t="s">
        <v>219</v>
      </c>
      <c r="AJ2" s="13" t="s">
        <v>220</v>
      </c>
      <c r="AK2" s="13" t="s">
        <v>221</v>
      </c>
      <c r="AL2" s="13" t="s">
        <v>222</v>
      </c>
      <c r="AM2" s="13" t="s">
        <v>223</v>
      </c>
      <c r="AN2" s="13" t="s">
        <v>224</v>
      </c>
      <c r="AO2" s="13" t="s">
        <v>225</v>
      </c>
      <c r="AP2" s="13" t="s">
        <v>226</v>
      </c>
      <c r="AQ2" s="13" t="s">
        <v>227</v>
      </c>
      <c r="AR2" s="13" t="s">
        <v>228</v>
      </c>
      <c r="AS2" s="13" t="s">
        <v>194</v>
      </c>
      <c r="AT2" s="13" t="s">
        <v>229</v>
      </c>
      <c r="AU2" s="13" t="s">
        <v>230</v>
      </c>
      <c r="AV2" s="13" t="s">
        <v>231</v>
      </c>
      <c r="AW2" s="13" t="s">
        <v>232</v>
      </c>
      <c r="AX2" s="13" t="s">
        <v>233</v>
      </c>
      <c r="AY2" s="13" t="s">
        <v>234</v>
      </c>
      <c r="AZ2" s="13" t="s">
        <v>273</v>
      </c>
      <c r="BA2" s="3"/>
      <c r="BB2" s="3"/>
    </row>
    <row r="3" spans="1:54" ht="15" customHeight="1">
      <c r="A3" s="49"/>
      <c r="B3" s="53"/>
      <c r="C3" s="53"/>
      <c r="D3" s="54"/>
      <c r="E3" s="55"/>
      <c r="F3" s="85"/>
      <c r="G3" s="53"/>
      <c r="H3" s="57"/>
      <c r="I3" s="56"/>
      <c r="J3" s="56"/>
      <c r="K3" s="86"/>
      <c r="L3" s="59"/>
      <c r="M3" s="60"/>
      <c r="N3" s="60"/>
      <c r="O3" s="58"/>
      <c r="P3" s="61"/>
      <c r="Q3" s="61"/>
      <c r="R3" s="50"/>
      <c r="S3" s="50"/>
      <c r="T3" s="50"/>
      <c r="U3" s="50"/>
      <c r="V3" s="51"/>
      <c r="W3" s="51"/>
      <c r="X3" s="52"/>
      <c r="Y3" s="51"/>
      <c r="Z3" s="51"/>
      <c r="AA3" s="62">
        <v>3</v>
      </c>
      <c r="AB3" s="62"/>
      <c r="AC3" s="63"/>
      <c r="AD3" s="84"/>
      <c r="AE3" s="84"/>
      <c r="AF3" s="84"/>
      <c r="AG3" s="84"/>
      <c r="AH3" s="84"/>
      <c r="AI3" s="84"/>
      <c r="AJ3" s="84"/>
      <c r="AK3" s="84"/>
      <c r="AL3" s="84"/>
      <c r="AM3" s="84"/>
      <c r="AN3" s="84"/>
      <c r="AO3" s="84"/>
      <c r="AP3" s="84"/>
      <c r="AQ3" s="84"/>
      <c r="AR3" s="84"/>
      <c r="AS3" s="84"/>
      <c r="AT3" s="84"/>
      <c r="AU3" s="84"/>
      <c r="AV3" s="84"/>
      <c r="AW3" s="84"/>
      <c r="AX3" s="84"/>
      <c r="AY3" s="84"/>
      <c r="AZ3" s="84" t="e">
        <f>REPLACE(INDEX(GroupVertices[Group],MATCH(Vertices[[#This Row],[Vertex]],GroupVertices[Vertex],0)),1,1,"")</f>
        <v>#N/A</v>
      </c>
      <c r="BA3" s="3"/>
      <c r="BB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A3"/>
    <dataValidation allowBlank="1" showErrorMessage="1" sqref="BA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customWidth="1"/>
    <col min="3" max="3" width="15.00390625" style="0" customWidth="1"/>
    <col min="4" max="4" width="11.140625" style="0" customWidth="1"/>
    <col min="5" max="5" width="13.00390625" style="0" customWidth="1"/>
    <col min="6" max="6" width="8.00390625" style="0" customWidth="1"/>
    <col min="7" max="8" width="13.57421875" style="0" customWidth="1"/>
    <col min="9" max="9" width="11.00390625" style="0" customWidth="1"/>
    <col min="10" max="10" width="12.57421875" style="0"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s>
  <sheetData>
    <row r="1" spans="2:24" ht="15">
      <c r="B1" s="68" t="s">
        <v>39</v>
      </c>
      <c r="C1" s="69"/>
      <c r="D1" s="69"/>
      <c r="E1" s="70"/>
      <c r="F1" s="67" t="s">
        <v>43</v>
      </c>
      <c r="G1" s="71" t="s">
        <v>44</v>
      </c>
      <c r="H1" s="72"/>
      <c r="I1" s="73" t="s">
        <v>40</v>
      </c>
      <c r="J1" s="74"/>
      <c r="K1" s="75" t="s">
        <v>42</v>
      </c>
      <c r="L1" s="76"/>
      <c r="M1" s="76"/>
      <c r="N1" s="76"/>
      <c r="O1" s="76"/>
      <c r="P1" s="76"/>
      <c r="Q1" s="76"/>
      <c r="R1" s="76"/>
      <c r="S1" s="76"/>
      <c r="T1" s="76"/>
      <c r="U1" s="76"/>
      <c r="V1" s="76"/>
      <c r="W1" s="76"/>
      <c r="X1" s="76"/>
    </row>
    <row r="2" spans="1:25" s="13" customFormat="1" ht="30" customHeight="1">
      <c r="A2" s="82" t="s">
        <v>144</v>
      </c>
      <c r="B2" s="84" t="s">
        <v>21</v>
      </c>
      <c r="C2" s="84"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276</v>
      </c>
    </row>
    <row r="3" spans="1:25" ht="15">
      <c r="A3" s="83"/>
      <c r="B3" s="85"/>
      <c r="C3" s="85"/>
      <c r="D3" s="14"/>
      <c r="E3" s="14"/>
      <c r="F3" s="15"/>
      <c r="G3" s="77"/>
      <c r="H3" s="77"/>
      <c r="I3" s="64"/>
      <c r="J3" s="64"/>
      <c r="K3" s="47"/>
      <c r="L3" s="47"/>
      <c r="M3" s="47"/>
      <c r="N3" s="47"/>
      <c r="O3" s="47"/>
      <c r="P3" s="47"/>
      <c r="Q3" s="47"/>
      <c r="R3" s="47"/>
      <c r="S3" s="47"/>
      <c r="T3" s="47"/>
      <c r="U3" s="47"/>
      <c r="V3" s="47"/>
      <c r="W3" s="48"/>
      <c r="X3" s="48"/>
      <c r="Y3" s="84"/>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82" t="s">
        <v>144</v>
      </c>
      <c r="B1" s="82" t="s">
        <v>5</v>
      </c>
      <c r="C1" s="11" t="s">
        <v>147</v>
      </c>
    </row>
    <row r="2" spans="1:3" ht="15">
      <c r="A2" s="84"/>
      <c r="B2" s="84"/>
      <c r="C2" s="84" t="e">
        <f>VLOOKUP(GroupVertices[[#This Row],[Vertex]],Vertices[],MATCH("ID",Vertices[[#Headers],[Vertex]:[Vertex Group]],0),FALSE)</f>
        <v>#N/A</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c r="B2" s="35"/>
      <c r="D2" s="32">
        <f>MIN(Vertices[Degree])</f>
        <v>0</v>
      </c>
      <c r="E2" s="3">
        <f>COUNTIF(Vertices[Degree],"&gt;= "&amp;D2)-COUNTIF(Vertices[Degree],"&gt;="&amp;D3)</f>
        <v>0</v>
      </c>
      <c r="F2" s="38">
        <f>MIN(Vertices[In-Degree])</f>
        <v>0</v>
      </c>
      <c r="G2" s="39">
        <f>COUNTIF(Vertices[In-Degree],"&gt;= "&amp;F2)-COUNTIF(Vertices[In-Degree],"&gt;="&amp;F3)</f>
        <v>0</v>
      </c>
      <c r="H2" s="38">
        <f>MIN(Vertices[Out-Degree])</f>
        <v>0</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0</v>
      </c>
      <c r="O2" s="39">
        <f>COUNTIF(Vertices[Eigenvector Centrality],"&gt;= "&amp;N2)-COUNTIF(Vertices[Eigenvector Centrality],"&gt;="&amp;N3)</f>
        <v>0</v>
      </c>
      <c r="P2" s="38">
        <f>MIN(Vertices[PageRank])</f>
        <v>0</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48">COUNTIF(INDIRECT(DynamicFilterSourceColumnRange),"&gt;= "&amp;T2)-COUNTIF(INDIRECT(DynamicFilterSourceColumnRange),"&gt;="&amp;T3)</f>
        <v>#REF!</v>
      </c>
      <c r="W2" t="s">
        <v>124</v>
      </c>
      <c r="X2">
        <f>ROWS(HistogramBins[Degree Bin])-1</f>
        <v>48</v>
      </c>
    </row>
    <row r="3" spans="1:24" ht="15">
      <c r="A3" s="35"/>
      <c r="B3" s="35"/>
      <c r="D3" s="33">
        <f aca="true" t="shared" si="1" ref="D3:D26">D2+($D$50-$D$2)/BinDivisor</f>
        <v>0</v>
      </c>
      <c r="E3" s="3">
        <f>COUNTIF(Vertices[Degree],"&gt;= "&amp;D3)-COUNTIF(Vertices[Degree],"&gt;="&amp;D4)</f>
        <v>0</v>
      </c>
      <c r="F3" s="40">
        <f aca="true" t="shared" si="2" ref="F3:F26">F2+($F$50-$F$2)/BinDivisor</f>
        <v>0</v>
      </c>
      <c r="G3" s="41">
        <f>COUNTIF(Vertices[In-Degree],"&gt;= "&amp;F3)-COUNTIF(Vertices[In-Degree],"&gt;="&amp;F4)</f>
        <v>0</v>
      </c>
      <c r="H3" s="40">
        <f aca="true" t="shared" si="3" ref="H3:H26">H2+($H$50-$H$2)/BinDivisor</f>
        <v>0</v>
      </c>
      <c r="I3" s="41">
        <f>COUNTIF(Vertices[Out-Degree],"&gt;= "&amp;H3)-COUNTIF(Vertices[Out-Degree],"&gt;="&amp;H4)</f>
        <v>0</v>
      </c>
      <c r="J3" s="40">
        <f aca="true" t="shared" si="4" ref="J3:J26">J2+($J$50-$J$2)/BinDivisor</f>
        <v>0</v>
      </c>
      <c r="K3" s="41">
        <f>COUNTIF(Vertices[Betweenness Centrality],"&gt;= "&amp;J3)-COUNTIF(Vertices[Betweenness Centrality],"&gt;="&amp;J4)</f>
        <v>0</v>
      </c>
      <c r="L3" s="40">
        <f aca="true" t="shared" si="5" ref="L3:L26">L2+($L$50-$L$2)/BinDivisor</f>
        <v>0</v>
      </c>
      <c r="M3" s="41">
        <f>COUNTIF(Vertices[Closeness Centrality],"&gt;= "&amp;L3)-COUNTIF(Vertices[Closeness Centrality],"&gt;="&amp;L4)</f>
        <v>0</v>
      </c>
      <c r="N3" s="40">
        <f aca="true" t="shared" si="6" ref="N3:N26">N2+($N$50-$N$2)/BinDivisor</f>
        <v>0</v>
      </c>
      <c r="O3" s="41">
        <f>COUNTIF(Vertices[Eigenvector Centrality],"&gt;= "&amp;N3)-COUNTIF(Vertices[Eigenvector Centrality],"&gt;="&amp;N4)</f>
        <v>0</v>
      </c>
      <c r="P3" s="40">
        <f aca="true" t="shared" si="7" ref="P3:P26">P2+($P$50-$P$2)/BinDivisor</f>
        <v>0</v>
      </c>
      <c r="Q3" s="41">
        <f>COUNTIF(Vertices[PageRank],"&gt;= "&amp;P3)-COUNTIF(Vertices[PageRank],"&gt;="&amp;P4)</f>
        <v>0</v>
      </c>
      <c r="R3" s="40">
        <f aca="true" t="shared" si="8" ref="R3:R26">R2+($R$50-$R$2)/BinDivisor</f>
        <v>0</v>
      </c>
      <c r="S3" s="45">
        <f>COUNTIF(Vertices[Clustering Coefficient],"&gt;= "&amp;R3)-COUNTIF(Vertices[Clustering Coefficient],"&gt;="&amp;R4)</f>
        <v>0</v>
      </c>
      <c r="T3" s="40" t="e">
        <f aca="true" t="shared" si="9" ref="T3:T26">T2+($T$50-$T$2)/BinDivisor</f>
        <v>#REF!</v>
      </c>
      <c r="U3" s="41" t="e">
        <f ca="1" t="shared" si="0"/>
        <v>#REF!</v>
      </c>
      <c r="W3" t="s">
        <v>125</v>
      </c>
      <c r="X3" t="s">
        <v>85</v>
      </c>
    </row>
    <row r="4" spans="1:24" ht="15">
      <c r="A4" s="35"/>
      <c r="B4" s="35"/>
      <c r="D4" s="33">
        <f t="shared" si="1"/>
        <v>0</v>
      </c>
      <c r="E4" s="3">
        <f>COUNTIF(Vertices[Degree],"&gt;= "&amp;D4)-COUNTIF(Vertices[Degree],"&gt;="&amp;D5)</f>
        <v>0</v>
      </c>
      <c r="F4" s="38">
        <f t="shared" si="2"/>
        <v>0</v>
      </c>
      <c r="G4" s="39">
        <f>COUNTIF(Vertices[In-Degree],"&gt;= "&amp;F4)-COUNTIF(Vertices[In-Degree],"&gt;="&amp;F5)</f>
        <v>0</v>
      </c>
      <c r="H4" s="38">
        <f t="shared" si="3"/>
        <v>0</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0</v>
      </c>
      <c r="O4" s="39">
        <f>COUNTIF(Vertices[Eigenvector Centrality],"&gt;= "&amp;N4)-COUNTIF(Vertices[Eigenvector Centrality],"&gt;="&amp;N5)</f>
        <v>0</v>
      </c>
      <c r="P4" s="38">
        <f t="shared" si="7"/>
        <v>0</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35"/>
      <c r="B5" s="35"/>
      <c r="D5" s="33">
        <f t="shared" si="1"/>
        <v>0</v>
      </c>
      <c r="E5" s="3">
        <f>COUNTIF(Vertices[Degree],"&gt;= "&amp;D5)-COUNTIF(Vertices[Degree],"&gt;="&amp;D6)</f>
        <v>0</v>
      </c>
      <c r="F5" s="40">
        <f t="shared" si="2"/>
        <v>0</v>
      </c>
      <c r="G5" s="41">
        <f>COUNTIF(Vertices[In-Degree],"&gt;= "&amp;F5)-COUNTIF(Vertices[In-Degree],"&gt;="&amp;F6)</f>
        <v>0</v>
      </c>
      <c r="H5" s="40">
        <f t="shared" si="3"/>
        <v>0</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0</v>
      </c>
      <c r="O5" s="41">
        <f>COUNTIF(Vertices[Eigenvector Centrality],"&gt;= "&amp;N5)-COUNTIF(Vertices[Eigenvector Centrality],"&gt;="&amp;N6)</f>
        <v>0</v>
      </c>
      <c r="P5" s="40">
        <f t="shared" si="7"/>
        <v>0</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c r="B6" s="35"/>
      <c r="D6" s="33">
        <f t="shared" si="1"/>
        <v>0</v>
      </c>
      <c r="E6" s="3">
        <f>COUNTIF(Vertices[Degree],"&gt;= "&amp;D6)-COUNTIF(Vertices[Degree],"&gt;="&amp;D7)</f>
        <v>0</v>
      </c>
      <c r="F6" s="38">
        <f t="shared" si="2"/>
        <v>0</v>
      </c>
      <c r="G6" s="39">
        <f>COUNTIF(Vertices[In-Degree],"&gt;= "&amp;F6)-COUNTIF(Vertices[In-Degree],"&gt;="&amp;F7)</f>
        <v>0</v>
      </c>
      <c r="H6" s="38">
        <f t="shared" si="3"/>
        <v>0</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0</v>
      </c>
      <c r="O6" s="39">
        <f>COUNTIF(Vertices[Eigenvector Centrality],"&gt;= "&amp;N6)-COUNTIF(Vertices[Eigenvector Centrality],"&gt;="&amp;N7)</f>
        <v>0</v>
      </c>
      <c r="P6" s="38">
        <f t="shared" si="7"/>
        <v>0</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c r="B7" s="35"/>
      <c r="D7" s="33">
        <f t="shared" si="1"/>
        <v>0</v>
      </c>
      <c r="E7" s="3">
        <f>COUNTIF(Vertices[Degree],"&gt;= "&amp;D7)-COUNTIF(Vertices[Degree],"&gt;="&amp;D8)</f>
        <v>0</v>
      </c>
      <c r="F7" s="40">
        <f t="shared" si="2"/>
        <v>0</v>
      </c>
      <c r="G7" s="41">
        <f>COUNTIF(Vertices[In-Degree],"&gt;= "&amp;F7)-COUNTIF(Vertices[In-Degree],"&gt;="&amp;F8)</f>
        <v>0</v>
      </c>
      <c r="H7" s="40">
        <f t="shared" si="3"/>
        <v>0</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0</v>
      </c>
      <c r="O7" s="41">
        <f>COUNTIF(Vertices[Eigenvector Centrality],"&gt;= "&amp;N7)-COUNTIF(Vertices[Eigenvector Centrality],"&gt;="&amp;N8)</f>
        <v>0</v>
      </c>
      <c r="P7" s="40">
        <f t="shared" si="7"/>
        <v>0</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c r="B8" s="35"/>
      <c r="D8" s="33">
        <f t="shared" si="1"/>
        <v>0</v>
      </c>
      <c r="E8" s="3">
        <f>COUNTIF(Vertices[Degree],"&gt;= "&amp;D8)-COUNTIF(Vertices[Degree],"&gt;="&amp;D9)</f>
        <v>0</v>
      </c>
      <c r="F8" s="38">
        <f t="shared" si="2"/>
        <v>0</v>
      </c>
      <c r="G8" s="39">
        <f>COUNTIF(Vertices[In-Degree],"&gt;= "&amp;F8)-COUNTIF(Vertices[In-Degree],"&gt;="&amp;F9)</f>
        <v>0</v>
      </c>
      <c r="H8" s="38">
        <f t="shared" si="3"/>
        <v>0</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0</v>
      </c>
      <c r="O8" s="39">
        <f>COUNTIF(Vertices[Eigenvector Centrality],"&gt;= "&amp;N8)-COUNTIF(Vertices[Eigenvector Centrality],"&gt;="&amp;N9)</f>
        <v>0</v>
      </c>
      <c r="P8" s="38">
        <f t="shared" si="7"/>
        <v>0</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35"/>
      <c r="B9" s="35"/>
      <c r="D9" s="33">
        <f t="shared" si="1"/>
        <v>0</v>
      </c>
      <c r="E9" s="3">
        <f>COUNTIF(Vertices[Degree],"&gt;= "&amp;D9)-COUNTIF(Vertices[Degree],"&gt;="&amp;D10)</f>
        <v>0</v>
      </c>
      <c r="F9" s="40">
        <f t="shared" si="2"/>
        <v>0</v>
      </c>
      <c r="G9" s="41">
        <f>COUNTIF(Vertices[In-Degree],"&gt;= "&amp;F9)-COUNTIF(Vertices[In-Degree],"&gt;="&amp;F10)</f>
        <v>0</v>
      </c>
      <c r="H9" s="40">
        <f t="shared" si="3"/>
        <v>0</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0</v>
      </c>
      <c r="O9" s="41">
        <f>COUNTIF(Vertices[Eigenvector Centrality],"&gt;= "&amp;N9)-COUNTIF(Vertices[Eigenvector Centrality],"&gt;="&amp;N10)</f>
        <v>0</v>
      </c>
      <c r="P9" s="40">
        <f t="shared" si="7"/>
        <v>0</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c r="B10" s="35"/>
      <c r="D10" s="33">
        <f t="shared" si="1"/>
        <v>0</v>
      </c>
      <c r="E10" s="3">
        <f>COUNTIF(Vertices[Degree],"&gt;= "&amp;D10)-COUNTIF(Vertices[Degree],"&gt;="&amp;D11)</f>
        <v>0</v>
      </c>
      <c r="F10" s="38">
        <f t="shared" si="2"/>
        <v>0</v>
      </c>
      <c r="G10" s="39">
        <f>COUNTIF(Vertices[In-Degree],"&gt;= "&amp;F10)-COUNTIF(Vertices[In-Degree],"&gt;="&amp;F11)</f>
        <v>0</v>
      </c>
      <c r="H10" s="38">
        <f t="shared" si="3"/>
        <v>0</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0</v>
      </c>
      <c r="O10" s="39">
        <f>COUNTIF(Vertices[Eigenvector Centrality],"&gt;= "&amp;N10)-COUNTIF(Vertices[Eigenvector Centrality],"&gt;="&amp;N11)</f>
        <v>0</v>
      </c>
      <c r="P10" s="38">
        <f t="shared" si="7"/>
        <v>0</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35"/>
      <c r="B11" s="35"/>
      <c r="D11" s="33">
        <f t="shared" si="1"/>
        <v>0</v>
      </c>
      <c r="E11" s="3">
        <f>COUNTIF(Vertices[Degree],"&gt;= "&amp;D11)-COUNTIF(Vertices[Degree],"&gt;="&amp;D12)</f>
        <v>0</v>
      </c>
      <c r="F11" s="40">
        <f t="shared" si="2"/>
        <v>0</v>
      </c>
      <c r="G11" s="41">
        <f>COUNTIF(Vertices[In-Degree],"&gt;= "&amp;F11)-COUNTIF(Vertices[In-Degree],"&gt;="&amp;F12)</f>
        <v>0</v>
      </c>
      <c r="H11" s="40">
        <f t="shared" si="3"/>
        <v>0</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0</v>
      </c>
      <c r="O11" s="41">
        <f>COUNTIF(Vertices[Eigenvector Centrality],"&gt;= "&amp;N11)-COUNTIF(Vertices[Eigenvector Centrality],"&gt;="&amp;N12)</f>
        <v>0</v>
      </c>
      <c r="P11" s="40">
        <f t="shared" si="7"/>
        <v>0</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c r="B12" s="35"/>
      <c r="D12" s="33">
        <f t="shared" si="1"/>
        <v>0</v>
      </c>
      <c r="E12" s="3">
        <f>COUNTIF(Vertices[Degree],"&gt;= "&amp;D12)-COUNTIF(Vertices[Degree],"&gt;="&amp;D13)</f>
        <v>0</v>
      </c>
      <c r="F12" s="38">
        <f t="shared" si="2"/>
        <v>0</v>
      </c>
      <c r="G12" s="39">
        <f>COUNTIF(Vertices[In-Degree],"&gt;= "&amp;F12)-COUNTIF(Vertices[In-Degree],"&gt;="&amp;F13)</f>
        <v>0</v>
      </c>
      <c r="H12" s="38">
        <f t="shared" si="3"/>
        <v>0</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0</v>
      </c>
      <c r="O12" s="39">
        <f>COUNTIF(Vertices[Eigenvector Centrality],"&gt;= "&amp;N12)-COUNTIF(Vertices[Eigenvector Centrality],"&gt;="&amp;N13)</f>
        <v>0</v>
      </c>
      <c r="P12" s="38">
        <f t="shared" si="7"/>
        <v>0</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c r="B13" s="35"/>
      <c r="D13" s="33">
        <f t="shared" si="1"/>
        <v>0</v>
      </c>
      <c r="E13" s="3">
        <f>COUNTIF(Vertices[Degree],"&gt;= "&amp;D13)-COUNTIF(Vertices[Degree],"&gt;="&amp;D14)</f>
        <v>0</v>
      </c>
      <c r="F13" s="40">
        <f t="shared" si="2"/>
        <v>0</v>
      </c>
      <c r="G13" s="41">
        <f>COUNTIF(Vertices[In-Degree],"&gt;= "&amp;F13)-COUNTIF(Vertices[In-Degree],"&gt;="&amp;F14)</f>
        <v>0</v>
      </c>
      <c r="H13" s="40">
        <f t="shared" si="3"/>
        <v>0</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0</v>
      </c>
      <c r="O13" s="41">
        <f>COUNTIF(Vertices[Eigenvector Centrality],"&gt;= "&amp;N13)-COUNTIF(Vertices[Eigenvector Centrality],"&gt;="&amp;N14)</f>
        <v>0</v>
      </c>
      <c r="P13" s="40">
        <f t="shared" si="7"/>
        <v>0</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35"/>
      <c r="B14" s="35"/>
      <c r="D14" s="33">
        <f t="shared" si="1"/>
        <v>0</v>
      </c>
      <c r="E14" s="3">
        <f>COUNTIF(Vertices[Degree],"&gt;= "&amp;D14)-COUNTIF(Vertices[Degree],"&gt;="&amp;D15)</f>
        <v>0</v>
      </c>
      <c r="F14" s="38">
        <f t="shared" si="2"/>
        <v>0</v>
      </c>
      <c r="G14" s="39">
        <f>COUNTIF(Vertices[In-Degree],"&gt;= "&amp;F14)-COUNTIF(Vertices[In-Degree],"&gt;="&amp;F15)</f>
        <v>0</v>
      </c>
      <c r="H14" s="38">
        <f t="shared" si="3"/>
        <v>0</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0</v>
      </c>
      <c r="O14" s="39">
        <f>COUNTIF(Vertices[Eigenvector Centrality],"&gt;= "&amp;N14)-COUNTIF(Vertices[Eigenvector Centrality],"&gt;="&amp;N15)</f>
        <v>0</v>
      </c>
      <c r="P14" s="38">
        <f t="shared" si="7"/>
        <v>0</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c r="B15" s="35"/>
      <c r="D15" s="33">
        <f t="shared" si="1"/>
        <v>0</v>
      </c>
      <c r="E15" s="3">
        <f>COUNTIF(Vertices[Degree],"&gt;= "&amp;D15)-COUNTIF(Vertices[Degree],"&gt;="&amp;D16)</f>
        <v>0</v>
      </c>
      <c r="F15" s="40">
        <f t="shared" si="2"/>
        <v>0</v>
      </c>
      <c r="G15" s="41">
        <f>COUNTIF(Vertices[In-Degree],"&gt;= "&amp;F15)-COUNTIF(Vertices[In-Degree],"&gt;="&amp;F16)</f>
        <v>0</v>
      </c>
      <c r="H15" s="40">
        <f t="shared" si="3"/>
        <v>0</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0</v>
      </c>
      <c r="O15" s="41">
        <f>COUNTIF(Vertices[Eigenvector Centrality],"&gt;= "&amp;N15)-COUNTIF(Vertices[Eigenvector Centrality],"&gt;="&amp;N16)</f>
        <v>0</v>
      </c>
      <c r="P15" s="40">
        <f t="shared" si="7"/>
        <v>0</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c r="B16" s="35"/>
      <c r="D16" s="33">
        <f t="shared" si="1"/>
        <v>0</v>
      </c>
      <c r="E16" s="3">
        <f>COUNTIF(Vertices[Degree],"&gt;= "&amp;D16)-COUNTIF(Vertices[Degree],"&gt;="&amp;D17)</f>
        <v>0</v>
      </c>
      <c r="F16" s="38">
        <f t="shared" si="2"/>
        <v>0</v>
      </c>
      <c r="G16" s="39">
        <f>COUNTIF(Vertices[In-Degree],"&gt;= "&amp;F16)-COUNTIF(Vertices[In-Degree],"&gt;="&amp;F17)</f>
        <v>0</v>
      </c>
      <c r="H16" s="38">
        <f t="shared" si="3"/>
        <v>0</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0</v>
      </c>
      <c r="O16" s="39">
        <f>COUNTIF(Vertices[Eigenvector Centrality],"&gt;= "&amp;N16)-COUNTIF(Vertices[Eigenvector Centrality],"&gt;="&amp;N17)</f>
        <v>0</v>
      </c>
      <c r="P16" s="38">
        <f t="shared" si="7"/>
        <v>0</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c r="B17" s="35"/>
      <c r="D17" s="33">
        <f t="shared" si="1"/>
        <v>0</v>
      </c>
      <c r="E17" s="3">
        <f>COUNTIF(Vertices[Degree],"&gt;= "&amp;D17)-COUNTIF(Vertices[Degree],"&gt;="&amp;D18)</f>
        <v>0</v>
      </c>
      <c r="F17" s="40">
        <f t="shared" si="2"/>
        <v>0</v>
      </c>
      <c r="G17" s="41">
        <f>COUNTIF(Vertices[In-Degree],"&gt;= "&amp;F17)-COUNTIF(Vertices[In-Degree],"&gt;="&amp;F18)</f>
        <v>0</v>
      </c>
      <c r="H17" s="40">
        <f t="shared" si="3"/>
        <v>0</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0</v>
      </c>
      <c r="O17" s="41">
        <f>COUNTIF(Vertices[Eigenvector Centrality],"&gt;= "&amp;N17)-COUNTIF(Vertices[Eigenvector Centrality],"&gt;="&amp;N18)</f>
        <v>0</v>
      </c>
      <c r="P17" s="40">
        <f t="shared" si="7"/>
        <v>0</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c r="B18" s="35"/>
      <c r="D18" s="33">
        <f t="shared" si="1"/>
        <v>0</v>
      </c>
      <c r="E18" s="3">
        <f>COUNTIF(Vertices[Degree],"&gt;= "&amp;D18)-COUNTIF(Vertices[Degree],"&gt;="&amp;D19)</f>
        <v>0</v>
      </c>
      <c r="F18" s="38">
        <f t="shared" si="2"/>
        <v>0</v>
      </c>
      <c r="G18" s="39">
        <f>COUNTIF(Vertices[In-Degree],"&gt;= "&amp;F18)-COUNTIF(Vertices[In-Degree],"&gt;="&amp;F19)</f>
        <v>0</v>
      </c>
      <c r="H18" s="38">
        <f t="shared" si="3"/>
        <v>0</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0</v>
      </c>
      <c r="O18" s="39">
        <f>COUNTIF(Vertices[Eigenvector Centrality],"&gt;= "&amp;N18)-COUNTIF(Vertices[Eigenvector Centrality],"&gt;="&amp;N19)</f>
        <v>0</v>
      </c>
      <c r="P18" s="38">
        <f t="shared" si="7"/>
        <v>0</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35"/>
      <c r="B19" s="35"/>
      <c r="D19" s="33">
        <f t="shared" si="1"/>
        <v>0</v>
      </c>
      <c r="E19" s="3">
        <f>COUNTIF(Vertices[Degree],"&gt;= "&amp;D19)-COUNTIF(Vertices[Degree],"&gt;="&amp;D20)</f>
        <v>0</v>
      </c>
      <c r="F19" s="40">
        <f t="shared" si="2"/>
        <v>0</v>
      </c>
      <c r="G19" s="41">
        <f>COUNTIF(Vertices[In-Degree],"&gt;= "&amp;F19)-COUNTIF(Vertices[In-Degree],"&gt;="&amp;F20)</f>
        <v>0</v>
      </c>
      <c r="H19" s="40">
        <f t="shared" si="3"/>
        <v>0</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0</v>
      </c>
      <c r="O19" s="41">
        <f>COUNTIF(Vertices[Eigenvector Centrality],"&gt;= "&amp;N19)-COUNTIF(Vertices[Eigenvector Centrality],"&gt;="&amp;N20)</f>
        <v>0</v>
      </c>
      <c r="P19" s="40">
        <f t="shared" si="7"/>
        <v>0</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c r="B20" s="35"/>
      <c r="D20" s="33">
        <f t="shared" si="1"/>
        <v>0</v>
      </c>
      <c r="E20" s="3">
        <f>COUNTIF(Vertices[Degree],"&gt;= "&amp;D20)-COUNTIF(Vertices[Degree],"&gt;="&amp;D21)</f>
        <v>0</v>
      </c>
      <c r="F20" s="38">
        <f t="shared" si="2"/>
        <v>0</v>
      </c>
      <c r="G20" s="39">
        <f>COUNTIF(Vertices[In-Degree],"&gt;= "&amp;F20)-COUNTIF(Vertices[In-Degree],"&gt;="&amp;F21)</f>
        <v>0</v>
      </c>
      <c r="H20" s="38">
        <f t="shared" si="3"/>
        <v>0</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0</v>
      </c>
      <c r="O20" s="39">
        <f>COUNTIF(Vertices[Eigenvector Centrality],"&gt;= "&amp;N20)-COUNTIF(Vertices[Eigenvector Centrality],"&gt;="&amp;N21)</f>
        <v>0</v>
      </c>
      <c r="P20" s="38">
        <f t="shared" si="7"/>
        <v>0</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c r="B21" s="35"/>
      <c r="D21" s="33">
        <f t="shared" si="1"/>
        <v>0</v>
      </c>
      <c r="E21" s="3">
        <f>COUNTIF(Vertices[Degree],"&gt;= "&amp;D21)-COUNTIF(Vertices[Degree],"&gt;="&amp;D22)</f>
        <v>0</v>
      </c>
      <c r="F21" s="40">
        <f t="shared" si="2"/>
        <v>0</v>
      </c>
      <c r="G21" s="41">
        <f>COUNTIF(Vertices[In-Degree],"&gt;= "&amp;F21)-COUNTIF(Vertices[In-Degree],"&gt;="&amp;F22)</f>
        <v>0</v>
      </c>
      <c r="H21" s="40">
        <f t="shared" si="3"/>
        <v>0</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0</v>
      </c>
      <c r="O21" s="41">
        <f>COUNTIF(Vertices[Eigenvector Centrality],"&gt;= "&amp;N21)-COUNTIF(Vertices[Eigenvector Centrality],"&gt;="&amp;N22)</f>
        <v>0</v>
      </c>
      <c r="P21" s="40">
        <f t="shared" si="7"/>
        <v>0</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35"/>
      <c r="B22" s="35"/>
      <c r="D22" s="33">
        <f t="shared" si="1"/>
        <v>0</v>
      </c>
      <c r="E22" s="3">
        <f>COUNTIF(Vertices[Degree],"&gt;= "&amp;D22)-COUNTIF(Vertices[Degree],"&gt;="&amp;D23)</f>
        <v>0</v>
      </c>
      <c r="F22" s="38">
        <f t="shared" si="2"/>
        <v>0</v>
      </c>
      <c r="G22" s="39">
        <f>COUNTIF(Vertices[In-Degree],"&gt;= "&amp;F22)-COUNTIF(Vertices[In-Degree],"&gt;="&amp;F23)</f>
        <v>0</v>
      </c>
      <c r="H22" s="38">
        <f t="shared" si="3"/>
        <v>0</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0</v>
      </c>
      <c r="O22" s="39">
        <f>COUNTIF(Vertices[Eigenvector Centrality],"&gt;= "&amp;N22)-COUNTIF(Vertices[Eigenvector Centrality],"&gt;="&amp;N23)</f>
        <v>0</v>
      </c>
      <c r="P22" s="38">
        <f t="shared" si="7"/>
        <v>0</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c r="B23" s="35"/>
      <c r="D23" s="33">
        <f t="shared" si="1"/>
        <v>0</v>
      </c>
      <c r="E23" s="3">
        <f>COUNTIF(Vertices[Degree],"&gt;= "&amp;D23)-COUNTIF(Vertices[Degree],"&gt;="&amp;D24)</f>
        <v>0</v>
      </c>
      <c r="F23" s="40">
        <f t="shared" si="2"/>
        <v>0</v>
      </c>
      <c r="G23" s="41">
        <f>COUNTIF(Vertices[In-Degree],"&gt;= "&amp;F23)-COUNTIF(Vertices[In-Degree],"&gt;="&amp;F24)</f>
        <v>0</v>
      </c>
      <c r="H23" s="40">
        <f t="shared" si="3"/>
        <v>0</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0</v>
      </c>
      <c r="O23" s="41">
        <f>COUNTIF(Vertices[Eigenvector Centrality],"&gt;= "&amp;N23)-COUNTIF(Vertices[Eigenvector Centrality],"&gt;="&amp;N24)</f>
        <v>0</v>
      </c>
      <c r="P23" s="40">
        <f t="shared" si="7"/>
        <v>0</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c r="B24" s="35"/>
      <c r="D24" s="33">
        <f t="shared" si="1"/>
        <v>0</v>
      </c>
      <c r="E24" s="3">
        <f>COUNTIF(Vertices[Degree],"&gt;= "&amp;D24)-COUNTIF(Vertices[Degree],"&gt;="&amp;D25)</f>
        <v>0</v>
      </c>
      <c r="F24" s="38">
        <f t="shared" si="2"/>
        <v>0</v>
      </c>
      <c r="G24" s="39">
        <f>COUNTIF(Vertices[In-Degree],"&gt;= "&amp;F24)-COUNTIF(Vertices[In-Degree],"&gt;="&amp;F25)</f>
        <v>0</v>
      </c>
      <c r="H24" s="38">
        <f t="shared" si="3"/>
        <v>0</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0</v>
      </c>
      <c r="O24" s="39">
        <f>COUNTIF(Vertices[Eigenvector Centrality],"&gt;= "&amp;N24)-COUNTIF(Vertices[Eigenvector Centrality],"&gt;="&amp;N25)</f>
        <v>0</v>
      </c>
      <c r="P24" s="38">
        <f t="shared" si="7"/>
        <v>0</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35"/>
      <c r="B25" s="35"/>
      <c r="D25" s="33">
        <f t="shared" si="1"/>
        <v>0</v>
      </c>
      <c r="E25" s="3">
        <f>COUNTIF(Vertices[Degree],"&gt;= "&amp;D25)-COUNTIF(Vertices[Degree],"&gt;="&amp;D26)</f>
        <v>0</v>
      </c>
      <c r="F25" s="40">
        <f t="shared" si="2"/>
        <v>0</v>
      </c>
      <c r="G25" s="41">
        <f>COUNTIF(Vertices[In-Degree],"&gt;= "&amp;F25)-COUNTIF(Vertices[In-Degree],"&gt;="&amp;F26)</f>
        <v>0</v>
      </c>
      <c r="H25" s="40">
        <f t="shared" si="3"/>
        <v>0</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0</v>
      </c>
      <c r="O25" s="41">
        <f>COUNTIF(Vertices[Eigenvector Centrality],"&gt;= "&amp;N25)-COUNTIF(Vertices[Eigenvector Centrality],"&gt;="&amp;N26)</f>
        <v>0</v>
      </c>
      <c r="P25" s="40">
        <f t="shared" si="7"/>
        <v>0</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c r="B26" s="35"/>
      <c r="D26" s="33">
        <f t="shared" si="1"/>
        <v>0</v>
      </c>
      <c r="E26" s="3">
        <f>COUNTIF(Vertices[Degree],"&gt;= "&amp;D26)-COUNTIF(Vertices[Degree],"&gt;="&amp;D28)</f>
        <v>0</v>
      </c>
      <c r="F26" s="38">
        <f t="shared" si="2"/>
        <v>0</v>
      </c>
      <c r="G26" s="39">
        <f>COUNTIF(Vertices[In-Degree],"&gt;= "&amp;F26)-COUNTIF(Vertices[In-Degree],"&gt;="&amp;F28)</f>
        <v>0</v>
      </c>
      <c r="H26" s="38">
        <f t="shared" si="3"/>
        <v>0</v>
      </c>
      <c r="I26" s="39">
        <f>COUNTIF(Vertices[Out-Degree],"&gt;= "&amp;H26)-COUNTIF(Vertices[Out-Degree],"&gt;="&amp;H28)</f>
        <v>0</v>
      </c>
      <c r="J26" s="38">
        <f t="shared" si="4"/>
        <v>0</v>
      </c>
      <c r="K26" s="39">
        <f>COUNTIF(Vertices[Betweenness Centrality],"&gt;= "&amp;J26)-COUNTIF(Vertices[Betweenness Centrality],"&gt;="&amp;J28)</f>
        <v>0</v>
      </c>
      <c r="L26" s="38">
        <f t="shared" si="5"/>
        <v>0</v>
      </c>
      <c r="M26" s="39">
        <f>COUNTIF(Vertices[Closeness Centrality],"&gt;= "&amp;L26)-COUNTIF(Vertices[Closeness Centrality],"&gt;="&amp;L28)</f>
        <v>0</v>
      </c>
      <c r="N26" s="38">
        <f t="shared" si="6"/>
        <v>0</v>
      </c>
      <c r="O26" s="39">
        <f>COUNTIF(Vertices[Eigenvector Centrality],"&gt;= "&amp;N26)-COUNTIF(Vertices[Eigenvector Centrality],"&gt;="&amp;N28)</f>
        <v>0</v>
      </c>
      <c r="P26" s="38">
        <f t="shared" si="7"/>
        <v>0</v>
      </c>
      <c r="Q26" s="39">
        <f>COUNTIF(Vertices[PageRank],"&gt;= "&amp;P26)-COUNTIF(Vertices[PageRank],"&gt;="&amp;P28)</f>
        <v>0</v>
      </c>
      <c r="R26" s="38">
        <f t="shared" si="8"/>
        <v>0</v>
      </c>
      <c r="S26" s="44">
        <f>COUNTIF(Vertices[Clustering Coefficient],"&gt;= "&amp;R26)-COUNTIF(Vertices[Clustering Coefficient],"&gt;="&amp;R28)</f>
        <v>0</v>
      </c>
      <c r="T26" s="38" t="e">
        <f ca="1" t="shared" si="9"/>
        <v>#REF!</v>
      </c>
      <c r="U26" s="39" t="e">
        <f ca="1">COUNTIF(INDIRECT(DynamicFilterSourceColumnRange),"&gt;= "&amp;T26)-COUNTIF(INDIRECT(DynamicFilterSourceColumnRange),"&gt;="&amp;T28)</f>
        <v>#REF!</v>
      </c>
    </row>
    <row r="27" spans="1:21" ht="15">
      <c r="A27" s="81"/>
      <c r="B27" s="81"/>
      <c r="D27" s="33"/>
      <c r="E27" s="3">
        <f>COUNTIF(Vertices[Degree],"&gt;= "&amp;D27)-COUNTIF(Vertices[Degree],"&gt;="&amp;D28)</f>
        <v>0</v>
      </c>
      <c r="F27" s="78"/>
      <c r="G27" s="79">
        <f>COUNTIF(Vertices[In-Degree],"&gt;= "&amp;F27)-COUNTIF(Vertices[In-Degree],"&gt;="&amp;F28)</f>
        <v>0</v>
      </c>
      <c r="H27" s="78"/>
      <c r="I27" s="79">
        <f>COUNTIF(Vertices[Out-Degree],"&gt;= "&amp;H27)-COUNTIF(Vertices[Out-Degree],"&gt;="&amp;H28)</f>
        <v>0</v>
      </c>
      <c r="J27" s="78"/>
      <c r="K27" s="79">
        <f>COUNTIF(Vertices[Betweenness Centrality],"&gt;= "&amp;J27)-COUNTIF(Vertices[Betweenness Centrality],"&gt;="&amp;J28)</f>
        <v>0</v>
      </c>
      <c r="L27" s="78"/>
      <c r="M27" s="79">
        <f>COUNTIF(Vertices[Closeness Centrality],"&gt;= "&amp;L27)-COUNTIF(Vertices[Closeness Centrality],"&gt;="&amp;L28)</f>
        <v>0</v>
      </c>
      <c r="N27" s="78"/>
      <c r="O27" s="79">
        <f>COUNTIF(Vertices[Eigenvector Centrality],"&gt;= "&amp;N27)-COUNTIF(Vertices[Eigenvector Centrality],"&gt;="&amp;N28)</f>
        <v>0</v>
      </c>
      <c r="P27" s="78"/>
      <c r="Q27" s="79">
        <f>COUNTIF(Vertices[Eigenvector Centrality],"&gt;= "&amp;P27)-COUNTIF(Vertices[Eigenvector Centrality],"&gt;="&amp;P28)</f>
        <v>0</v>
      </c>
      <c r="R27" s="78"/>
      <c r="S27" s="80">
        <f>COUNTIF(Vertices[Clustering Coefficient],"&gt;= "&amp;R27)-COUNTIF(Vertices[Clustering Coefficient],"&gt;="&amp;R28)</f>
        <v>0</v>
      </c>
      <c r="T27" s="78"/>
      <c r="U27" s="79">
        <f ca="1">COUNTIF(Vertices[Clustering Coefficient],"&gt;= "&amp;T27)-COUNTIF(Vertices[Clustering Coefficient],"&gt;="&amp;T28)</f>
        <v>0</v>
      </c>
    </row>
    <row r="28" spans="1:21" ht="15">
      <c r="A28" s="35"/>
      <c r="B28" s="35"/>
      <c r="D28" s="33">
        <f>D26+($D$50-$D$2)/BinDivisor</f>
        <v>0</v>
      </c>
      <c r="E28" s="3">
        <f>COUNTIF(Vertices[Degree],"&gt;= "&amp;D28)-COUNTIF(Vertices[Degree],"&gt;="&amp;D42)</f>
        <v>0</v>
      </c>
      <c r="F28" s="40">
        <f>F26+($F$50-$F$2)/BinDivisor</f>
        <v>0</v>
      </c>
      <c r="G28" s="41">
        <f>COUNTIF(Vertices[In-Degree],"&gt;= "&amp;F28)-COUNTIF(Vertices[In-Degree],"&gt;="&amp;F42)</f>
        <v>0</v>
      </c>
      <c r="H28" s="40">
        <f>H26+($H$50-$H$2)/BinDivisor</f>
        <v>0</v>
      </c>
      <c r="I28" s="41">
        <f>COUNTIF(Vertices[Out-Degree],"&gt;= "&amp;H28)-COUNTIF(Vertices[Out-Degree],"&gt;="&amp;H42)</f>
        <v>0</v>
      </c>
      <c r="J28" s="40">
        <f>J26+($J$50-$J$2)/BinDivisor</f>
        <v>0</v>
      </c>
      <c r="K28" s="41">
        <f>COUNTIF(Vertices[Betweenness Centrality],"&gt;= "&amp;J28)-COUNTIF(Vertices[Betweenness Centrality],"&gt;="&amp;J42)</f>
        <v>0</v>
      </c>
      <c r="L28" s="40">
        <f>L26+($L$50-$L$2)/BinDivisor</f>
        <v>0</v>
      </c>
      <c r="M28" s="41">
        <f>COUNTIF(Vertices[Closeness Centrality],"&gt;= "&amp;L28)-COUNTIF(Vertices[Closeness Centrality],"&gt;="&amp;L42)</f>
        <v>0</v>
      </c>
      <c r="N28" s="40">
        <f>N26+($N$50-$N$2)/BinDivisor</f>
        <v>0</v>
      </c>
      <c r="O28" s="41">
        <f>COUNTIF(Vertices[Eigenvector Centrality],"&gt;= "&amp;N28)-COUNTIF(Vertices[Eigenvector Centrality],"&gt;="&amp;N42)</f>
        <v>0</v>
      </c>
      <c r="P28" s="40">
        <f>P26+($P$50-$P$2)/BinDivisor</f>
        <v>0</v>
      </c>
      <c r="Q28" s="41">
        <f>COUNTIF(Vertices[PageRank],"&gt;= "&amp;P28)-COUNTIF(Vertices[PageRank],"&gt;="&amp;P42)</f>
        <v>0</v>
      </c>
      <c r="R28" s="40">
        <f>R26+($R$50-$R$2)/BinDivisor</f>
        <v>0</v>
      </c>
      <c r="S28" s="45">
        <f>COUNTIF(Vertices[Clustering Coefficient],"&gt;= "&amp;R28)-COUNTIF(Vertices[Clustering Coefficient],"&gt;="&amp;R42)</f>
        <v>0</v>
      </c>
      <c r="T28" s="40" t="e">
        <f ca="1">T26+($T$50-$T$2)/BinDivisor</f>
        <v>#REF!</v>
      </c>
      <c r="U28" s="41" t="e">
        <f ca="1">COUNTIF(INDIRECT(DynamicFilterSourceColumnRange),"&gt;= "&amp;T28)-COUNTIF(INDIRECT(DynamicFilterSourceColumnRange),"&gt;="&amp;T42)</f>
        <v>#REF!</v>
      </c>
    </row>
    <row r="29" spans="1:21" ht="15">
      <c r="A29" s="35"/>
      <c r="B29" s="35"/>
      <c r="D29" s="33"/>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5"/>
      <c r="B30" s="35"/>
      <c r="D30" s="33"/>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35"/>
      <c r="B31" s="35"/>
      <c r="D31" s="33"/>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35"/>
      <c r="B32" s="35"/>
      <c r="D32" s="33"/>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1:21" ht="15">
      <c r="A33" s="81"/>
      <c r="B33" s="81"/>
      <c r="D33" s="33"/>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1:21" ht="15">
      <c r="A34" s="35"/>
      <c r="B34" s="35"/>
      <c r="D34" s="33"/>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1:21" ht="15">
      <c r="A35" s="35"/>
      <c r="B35" s="35"/>
      <c r="D35" s="33"/>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1:21" ht="15">
      <c r="A36" s="35"/>
      <c r="B36" s="35"/>
      <c r="D36" s="33"/>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1:21" ht="15">
      <c r="A37" s="81"/>
      <c r="B37" s="81"/>
      <c r="D37" s="33"/>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1:21" ht="15">
      <c r="A38" s="81"/>
      <c r="B38" s="81"/>
      <c r="D38" s="33"/>
      <c r="E38" s="3">
        <f>COUNTIF(Vertices[Degree],"&gt;= "&amp;D38)-COUNTIF(Vertices[Degree],"&gt;="&amp;D42)</f>
        <v>0</v>
      </c>
      <c r="F38" s="78"/>
      <c r="G38" s="79">
        <f>COUNTIF(Vertices[In-Degree],"&gt;= "&amp;F38)-COUNTIF(Vertices[In-Degree],"&gt;="&amp;F42)</f>
        <v>0</v>
      </c>
      <c r="H38" s="78"/>
      <c r="I38" s="79">
        <f>COUNTIF(Vertices[Out-Degree],"&gt;= "&amp;H38)-COUNTIF(Vertices[Out-Degree],"&gt;="&amp;H42)</f>
        <v>0</v>
      </c>
      <c r="J38" s="78"/>
      <c r="K38" s="79">
        <f>COUNTIF(Vertices[Betweenness Centrality],"&gt;= "&amp;J38)-COUNTIF(Vertices[Betweenness Centrality],"&gt;="&amp;J42)</f>
        <v>0</v>
      </c>
      <c r="L38" s="78"/>
      <c r="M38" s="79">
        <f>COUNTIF(Vertices[Closeness Centrality],"&gt;= "&amp;L38)-COUNTIF(Vertices[Closeness Centrality],"&gt;="&amp;L42)</f>
        <v>0</v>
      </c>
      <c r="N38" s="78"/>
      <c r="O38" s="79">
        <f>COUNTIF(Vertices[Eigenvector Centrality],"&gt;= "&amp;N38)-COUNTIF(Vertices[Eigenvector Centrality],"&gt;="&amp;N42)</f>
        <v>0</v>
      </c>
      <c r="P38" s="78"/>
      <c r="Q38" s="79">
        <f>COUNTIF(Vertices[Eigenvector Centrality],"&gt;= "&amp;P38)-COUNTIF(Vertices[Eigenvector Centrality],"&gt;="&amp;P42)</f>
        <v>0</v>
      </c>
      <c r="R38" s="78"/>
      <c r="S38" s="80">
        <f>COUNTIF(Vertices[Clustering Coefficient],"&gt;= "&amp;R38)-COUNTIF(Vertices[Clustering Coefficient],"&gt;="&amp;R42)</f>
        <v>0</v>
      </c>
      <c r="T38" s="78"/>
      <c r="U38" s="79">
        <f ca="1">COUNTIF(Vertices[Clustering Coefficient],"&gt;= "&amp;T38)-COUNTIF(Vertices[Clustering Coefficient],"&gt;="&amp;T42)</f>
        <v>0</v>
      </c>
    </row>
    <row r="39" spans="1:21" ht="15">
      <c r="A39" s="81"/>
      <c r="B39" s="81"/>
      <c r="D39" s="33"/>
      <c r="E39" s="3">
        <f>COUNTIF(Vertices[Degree],"&gt;= "&amp;D39)-COUNTIF(Vertices[Degree],"&gt;="&amp;D42)</f>
        <v>0</v>
      </c>
      <c r="F39" s="78"/>
      <c r="G39" s="79">
        <f>COUNTIF(Vertices[In-Degree],"&gt;= "&amp;F39)-COUNTIF(Vertices[In-Degree],"&gt;="&amp;F42)</f>
        <v>0</v>
      </c>
      <c r="H39" s="78"/>
      <c r="I39" s="79">
        <f>COUNTIF(Vertices[Out-Degree],"&gt;= "&amp;H39)-COUNTIF(Vertices[Out-Degree],"&gt;="&amp;H42)</f>
        <v>0</v>
      </c>
      <c r="J39" s="78"/>
      <c r="K39" s="79">
        <f>COUNTIF(Vertices[Betweenness Centrality],"&gt;= "&amp;J39)-COUNTIF(Vertices[Betweenness Centrality],"&gt;="&amp;J42)</f>
        <v>0</v>
      </c>
      <c r="L39" s="78"/>
      <c r="M39" s="79">
        <f>COUNTIF(Vertices[Closeness Centrality],"&gt;= "&amp;L39)-COUNTIF(Vertices[Closeness Centrality],"&gt;="&amp;L42)</f>
        <v>0</v>
      </c>
      <c r="N39" s="78"/>
      <c r="O39" s="79">
        <f>COUNTIF(Vertices[Eigenvector Centrality],"&gt;= "&amp;N39)-COUNTIF(Vertices[Eigenvector Centrality],"&gt;="&amp;N42)</f>
        <v>0</v>
      </c>
      <c r="P39" s="78"/>
      <c r="Q39" s="79">
        <f>COUNTIF(Vertices[Eigenvector Centrality],"&gt;= "&amp;P39)-COUNTIF(Vertices[Eigenvector Centrality],"&gt;="&amp;P42)</f>
        <v>0</v>
      </c>
      <c r="R39" s="78"/>
      <c r="S39" s="80">
        <f>COUNTIF(Vertices[Clustering Coefficient],"&gt;= "&amp;R39)-COUNTIF(Vertices[Clustering Coefficient],"&gt;="&amp;R42)</f>
        <v>0</v>
      </c>
      <c r="T39" s="78"/>
      <c r="U39" s="79">
        <f ca="1">COUNTIF(Vertices[Clustering Coefficient],"&gt;= "&amp;T39)-COUNTIF(Vertices[Clustering Coefficient],"&gt;="&amp;T42)</f>
        <v>0</v>
      </c>
    </row>
    <row r="40" spans="1:21" ht="15">
      <c r="A40" s="81"/>
      <c r="B40" s="81"/>
      <c r="D40" s="33"/>
      <c r="E40" s="3">
        <f>COUNTIF(Vertices[Degree],"&gt;= "&amp;D40)-COUNTIF(Vertices[Degree],"&gt;="&amp;D42)</f>
        <v>0</v>
      </c>
      <c r="F40" s="78"/>
      <c r="G40" s="79">
        <f>COUNTIF(Vertices[In-Degree],"&gt;= "&amp;F40)-COUNTIF(Vertices[In-Degree],"&gt;="&amp;F42)</f>
        <v>0</v>
      </c>
      <c r="H40" s="78"/>
      <c r="I40" s="79">
        <f>COUNTIF(Vertices[Out-Degree],"&gt;= "&amp;H40)-COUNTIF(Vertices[Out-Degree],"&gt;="&amp;H42)</f>
        <v>0</v>
      </c>
      <c r="J40" s="78"/>
      <c r="K40" s="79">
        <f>COUNTIF(Vertices[Betweenness Centrality],"&gt;= "&amp;J40)-COUNTIF(Vertices[Betweenness Centrality],"&gt;="&amp;J42)</f>
        <v>0</v>
      </c>
      <c r="L40" s="78"/>
      <c r="M40" s="79">
        <f>COUNTIF(Vertices[Closeness Centrality],"&gt;= "&amp;L40)-COUNTIF(Vertices[Closeness Centrality],"&gt;="&amp;L42)</f>
        <v>0</v>
      </c>
      <c r="N40" s="78"/>
      <c r="O40" s="79">
        <f>COUNTIF(Vertices[Eigenvector Centrality],"&gt;= "&amp;N40)-COUNTIF(Vertices[Eigenvector Centrality],"&gt;="&amp;N42)</f>
        <v>0</v>
      </c>
      <c r="P40" s="78"/>
      <c r="Q40" s="79">
        <f>COUNTIF(Vertices[Eigenvector Centrality],"&gt;= "&amp;P40)-COUNTIF(Vertices[Eigenvector Centrality],"&gt;="&amp;P42)</f>
        <v>0</v>
      </c>
      <c r="R40" s="78"/>
      <c r="S40" s="80">
        <f>COUNTIF(Vertices[Clustering Coefficient],"&gt;= "&amp;R40)-COUNTIF(Vertices[Clustering Coefficient],"&gt;="&amp;R42)</f>
        <v>0</v>
      </c>
      <c r="T40" s="78"/>
      <c r="U40" s="79">
        <f ca="1">COUNTIF(Vertices[Clustering Coefficient],"&gt;= "&amp;T40)-COUNTIF(Vertices[Clustering Coefficient],"&gt;="&amp;T42)</f>
        <v>0</v>
      </c>
    </row>
    <row r="41" spans="1:21" ht="15">
      <c r="A41" s="81"/>
      <c r="B41" s="81"/>
      <c r="D41" s="33"/>
      <c r="E41" s="3">
        <f>COUNTIF(Vertices[Degree],"&gt;= "&amp;D41)-COUNTIF(Vertices[Degree],"&gt;="&amp;D42)</f>
        <v>0</v>
      </c>
      <c r="F41" s="78"/>
      <c r="G41" s="79">
        <f>COUNTIF(Vertices[In-Degree],"&gt;= "&amp;F41)-COUNTIF(Vertices[In-Degree],"&gt;="&amp;F42)</f>
        <v>0</v>
      </c>
      <c r="H41" s="78"/>
      <c r="I41" s="79">
        <f>COUNTIF(Vertices[Out-Degree],"&gt;= "&amp;H41)-COUNTIF(Vertices[Out-Degree],"&gt;="&amp;H42)</f>
        <v>0</v>
      </c>
      <c r="J41" s="78"/>
      <c r="K41" s="79">
        <f>COUNTIF(Vertices[Betweenness Centrality],"&gt;= "&amp;J41)-COUNTIF(Vertices[Betweenness Centrality],"&gt;="&amp;J42)</f>
        <v>0</v>
      </c>
      <c r="L41" s="78"/>
      <c r="M41" s="79">
        <f>COUNTIF(Vertices[Closeness Centrality],"&gt;= "&amp;L41)-COUNTIF(Vertices[Closeness Centrality],"&gt;="&amp;L42)</f>
        <v>0</v>
      </c>
      <c r="N41" s="78"/>
      <c r="O41" s="79">
        <f>COUNTIF(Vertices[Eigenvector Centrality],"&gt;= "&amp;N41)-COUNTIF(Vertices[Eigenvector Centrality],"&gt;="&amp;N42)</f>
        <v>0</v>
      </c>
      <c r="P41" s="78"/>
      <c r="Q41" s="79">
        <f>COUNTIF(Vertices[Eigenvector Centrality],"&gt;= "&amp;P41)-COUNTIF(Vertices[Eigenvector Centrality],"&gt;="&amp;P42)</f>
        <v>0</v>
      </c>
      <c r="R41" s="78"/>
      <c r="S41" s="80">
        <f>COUNTIF(Vertices[Clustering Coefficient],"&gt;= "&amp;R41)-COUNTIF(Vertices[Clustering Coefficient],"&gt;="&amp;R42)</f>
        <v>0</v>
      </c>
      <c r="T41" s="78"/>
      <c r="U41" s="79">
        <f ca="1">COUNTIF(Vertices[Clustering Coefficient],"&gt;= "&amp;T41)-COUNTIF(Vertices[Clustering Coefficient],"&gt;="&amp;T42)</f>
        <v>0</v>
      </c>
    </row>
    <row r="42" spans="1:21" ht="15">
      <c r="A42" s="35"/>
      <c r="B42" s="35"/>
      <c r="D42" s="33">
        <f>D28+($D$50-$D$2)/BinDivisor</f>
        <v>0</v>
      </c>
      <c r="E42" s="3">
        <f>COUNTIF(Vertices[Degree],"&gt;= "&amp;D42)-COUNTIF(Vertices[Degree],"&gt;="&amp;D43)</f>
        <v>0</v>
      </c>
      <c r="F42" s="38">
        <f>F28+($F$50-$F$2)/BinDivisor</f>
        <v>0</v>
      </c>
      <c r="G42" s="39">
        <f>COUNTIF(Vertices[In-Degree],"&gt;= "&amp;F42)-COUNTIF(Vertices[In-Degree],"&gt;="&amp;F43)</f>
        <v>0</v>
      </c>
      <c r="H42" s="38">
        <f>H28+($H$50-$H$2)/BinDivisor</f>
        <v>0</v>
      </c>
      <c r="I42" s="39">
        <f>COUNTIF(Vertices[Out-Degree],"&gt;= "&amp;H42)-COUNTIF(Vertices[Out-Degree],"&gt;="&amp;H43)</f>
        <v>0</v>
      </c>
      <c r="J42" s="38">
        <f>J28+($J$50-$J$2)/BinDivisor</f>
        <v>0</v>
      </c>
      <c r="K42" s="39">
        <f>COUNTIF(Vertices[Betweenness Centrality],"&gt;= "&amp;J42)-COUNTIF(Vertices[Betweenness Centrality],"&gt;="&amp;J43)</f>
        <v>0</v>
      </c>
      <c r="L42" s="38">
        <f>L28+($L$50-$L$2)/BinDivisor</f>
        <v>0</v>
      </c>
      <c r="M42" s="39">
        <f>COUNTIF(Vertices[Closeness Centrality],"&gt;= "&amp;L42)-COUNTIF(Vertices[Closeness Centrality],"&gt;="&amp;L43)</f>
        <v>0</v>
      </c>
      <c r="N42" s="38">
        <f>N28+($N$50-$N$2)/BinDivisor</f>
        <v>0</v>
      </c>
      <c r="O42" s="39">
        <f>COUNTIF(Vertices[Eigenvector Centrality],"&gt;= "&amp;N42)-COUNTIF(Vertices[Eigenvector Centrality],"&gt;="&amp;N43)</f>
        <v>0</v>
      </c>
      <c r="P42" s="38">
        <f>P28+($P$50-$P$2)/BinDivisor</f>
        <v>0</v>
      </c>
      <c r="Q42" s="39">
        <f>COUNTIF(Vertices[PageRank],"&gt;= "&amp;P42)-COUNTIF(Vertices[PageRank],"&gt;="&amp;P43)</f>
        <v>0</v>
      </c>
      <c r="R42" s="38">
        <f>R28+($R$50-$R$2)/BinDivisor</f>
        <v>0</v>
      </c>
      <c r="S42" s="44">
        <f>COUNTIF(Vertices[Clustering Coefficient],"&gt;= "&amp;R42)-COUNTIF(Vertices[Clustering Coefficient],"&gt;="&amp;R43)</f>
        <v>0</v>
      </c>
      <c r="T42" s="38" t="e">
        <f ca="1">T28+($T$50-$T$2)/BinDivisor</f>
        <v>#REF!</v>
      </c>
      <c r="U42" s="39" t="e">
        <f ca="1" t="shared" si="0"/>
        <v>#REF!</v>
      </c>
    </row>
    <row r="43" spans="1:21" ht="15">
      <c r="A43" s="35"/>
      <c r="B43" s="35"/>
      <c r="D43" s="33">
        <f aca="true" t="shared" si="10" ref="D43:D49">D42+($D$50-$D$2)/BinDivisor</f>
        <v>0</v>
      </c>
      <c r="E43" s="3">
        <f>COUNTIF(Vertices[Degree],"&gt;= "&amp;D43)-COUNTIF(Vertices[Degree],"&gt;="&amp;D44)</f>
        <v>0</v>
      </c>
      <c r="F43" s="40">
        <f aca="true" t="shared" si="11" ref="F43:F49">F42+($F$50-$F$2)/BinDivisor</f>
        <v>0</v>
      </c>
      <c r="G43" s="41">
        <f>COUNTIF(Vertices[In-Degree],"&gt;= "&amp;F43)-COUNTIF(Vertices[In-Degree],"&gt;="&amp;F44)</f>
        <v>0</v>
      </c>
      <c r="H43" s="40">
        <f aca="true" t="shared" si="12" ref="H43:H49">H42+($H$50-$H$2)/BinDivisor</f>
        <v>0</v>
      </c>
      <c r="I43" s="41">
        <f>COUNTIF(Vertices[Out-Degree],"&gt;= "&amp;H43)-COUNTIF(Vertices[Out-Degree],"&gt;="&amp;H44)</f>
        <v>0</v>
      </c>
      <c r="J43" s="40">
        <f aca="true" t="shared" si="13" ref="J43:J49">J42+($J$50-$J$2)/BinDivisor</f>
        <v>0</v>
      </c>
      <c r="K43" s="41">
        <f>COUNTIF(Vertices[Betweenness Centrality],"&gt;= "&amp;J43)-COUNTIF(Vertices[Betweenness Centrality],"&gt;="&amp;J44)</f>
        <v>0</v>
      </c>
      <c r="L43" s="40">
        <f aca="true" t="shared" si="14" ref="L43:L49">L42+($L$50-$L$2)/BinDivisor</f>
        <v>0</v>
      </c>
      <c r="M43" s="41">
        <f>COUNTIF(Vertices[Closeness Centrality],"&gt;= "&amp;L43)-COUNTIF(Vertices[Closeness Centrality],"&gt;="&amp;L44)</f>
        <v>0</v>
      </c>
      <c r="N43" s="40">
        <f aca="true" t="shared" si="15" ref="N43:N49">N42+($N$50-$N$2)/BinDivisor</f>
        <v>0</v>
      </c>
      <c r="O43" s="41">
        <f>COUNTIF(Vertices[Eigenvector Centrality],"&gt;= "&amp;N43)-COUNTIF(Vertices[Eigenvector Centrality],"&gt;="&amp;N44)</f>
        <v>0</v>
      </c>
      <c r="P43" s="40">
        <f aca="true" t="shared" si="16" ref="P43:P49">P42+($P$50-$P$2)/BinDivisor</f>
        <v>0</v>
      </c>
      <c r="Q43" s="41">
        <f>COUNTIF(Vertices[PageRank],"&gt;= "&amp;P43)-COUNTIF(Vertices[PageRank],"&gt;="&amp;P44)</f>
        <v>0</v>
      </c>
      <c r="R43" s="40">
        <f aca="true" t="shared" si="17" ref="R43:R49">R42+($R$50-$R$2)/BinDivisor</f>
        <v>0</v>
      </c>
      <c r="S43" s="45">
        <f>COUNTIF(Vertices[Clustering Coefficient],"&gt;= "&amp;R43)-COUNTIF(Vertices[Clustering Coefficient],"&gt;="&amp;R44)</f>
        <v>0</v>
      </c>
      <c r="T43" s="40" t="e">
        <f aca="true" t="shared" si="18" ref="T43:T49">T42+($T$50-$T$2)/BinDivisor</f>
        <v>#REF!</v>
      </c>
      <c r="U43" s="41" t="e">
        <f ca="1" t="shared" si="0"/>
        <v>#REF!</v>
      </c>
    </row>
    <row r="44" spans="1:21" ht="15">
      <c r="A44" s="35"/>
      <c r="B44" s="35"/>
      <c r="D44" s="33">
        <f t="shared" si="10"/>
        <v>0</v>
      </c>
      <c r="E44" s="3">
        <f>COUNTIF(Vertices[Degree],"&gt;= "&amp;D44)-COUNTIF(Vertices[Degree],"&gt;="&amp;D45)</f>
        <v>0</v>
      </c>
      <c r="F44" s="38">
        <f t="shared" si="11"/>
        <v>0</v>
      </c>
      <c r="G44" s="39">
        <f>COUNTIF(Vertices[In-Degree],"&gt;= "&amp;F44)-COUNTIF(Vertices[In-Degree],"&gt;="&amp;F45)</f>
        <v>0</v>
      </c>
      <c r="H44" s="38">
        <f t="shared" si="12"/>
        <v>0</v>
      </c>
      <c r="I44" s="39">
        <f>COUNTIF(Vertices[Out-Degree],"&gt;= "&amp;H44)-COUNTIF(Vertices[Out-Degree],"&gt;="&amp;H45)</f>
        <v>0</v>
      </c>
      <c r="J44" s="38">
        <f t="shared" si="13"/>
        <v>0</v>
      </c>
      <c r="K44" s="39">
        <f>COUNTIF(Vertices[Betweenness Centrality],"&gt;= "&amp;J44)-COUNTIF(Vertices[Betweenness Centrality],"&gt;="&amp;J45)</f>
        <v>0</v>
      </c>
      <c r="L44" s="38">
        <f t="shared" si="14"/>
        <v>0</v>
      </c>
      <c r="M44" s="39">
        <f>COUNTIF(Vertices[Closeness Centrality],"&gt;= "&amp;L44)-COUNTIF(Vertices[Closeness Centrality],"&gt;="&amp;L45)</f>
        <v>0</v>
      </c>
      <c r="N44" s="38">
        <f t="shared" si="15"/>
        <v>0</v>
      </c>
      <c r="O44" s="39">
        <f>COUNTIF(Vertices[Eigenvector Centrality],"&gt;= "&amp;N44)-COUNTIF(Vertices[Eigenvector Centrality],"&gt;="&amp;N45)</f>
        <v>0</v>
      </c>
      <c r="P44" s="38">
        <f t="shared" si="16"/>
        <v>0</v>
      </c>
      <c r="Q44" s="39">
        <f>COUNTIF(Vertices[PageRank],"&gt;= "&amp;P44)-COUNTIF(Vertices[PageRank],"&gt;="&amp;P45)</f>
        <v>0</v>
      </c>
      <c r="R44" s="38">
        <f t="shared" si="17"/>
        <v>0</v>
      </c>
      <c r="S44" s="44">
        <f>COUNTIF(Vertices[Clustering Coefficient],"&gt;= "&amp;R44)-COUNTIF(Vertices[Clustering Coefficient],"&gt;="&amp;R45)</f>
        <v>0</v>
      </c>
      <c r="T44" s="38" t="e">
        <f ca="1" t="shared" si="18"/>
        <v>#REF!</v>
      </c>
      <c r="U44" s="39" t="e">
        <f ca="1" t="shared" si="0"/>
        <v>#REF!</v>
      </c>
    </row>
    <row r="45" spans="1:21" ht="15">
      <c r="A45" s="35"/>
      <c r="B45" s="35"/>
      <c r="D45" s="33">
        <f t="shared" si="10"/>
        <v>0</v>
      </c>
      <c r="E45" s="3">
        <f>COUNTIF(Vertices[Degree],"&gt;= "&amp;D45)-COUNTIF(Vertices[Degree],"&gt;="&amp;D46)</f>
        <v>0</v>
      </c>
      <c r="F45" s="40">
        <f t="shared" si="11"/>
        <v>0</v>
      </c>
      <c r="G45" s="41">
        <f>COUNTIF(Vertices[In-Degree],"&gt;= "&amp;F45)-COUNTIF(Vertices[In-Degree],"&gt;="&amp;F46)</f>
        <v>0</v>
      </c>
      <c r="H45" s="40">
        <f t="shared" si="12"/>
        <v>0</v>
      </c>
      <c r="I45" s="41">
        <f>COUNTIF(Vertices[Out-Degree],"&gt;= "&amp;H45)-COUNTIF(Vertices[Out-Degree],"&gt;="&amp;H46)</f>
        <v>0</v>
      </c>
      <c r="J45" s="40">
        <f t="shared" si="13"/>
        <v>0</v>
      </c>
      <c r="K45" s="41">
        <f>COUNTIF(Vertices[Betweenness Centrality],"&gt;= "&amp;J45)-COUNTIF(Vertices[Betweenness Centrality],"&gt;="&amp;J46)</f>
        <v>0</v>
      </c>
      <c r="L45" s="40">
        <f t="shared" si="14"/>
        <v>0</v>
      </c>
      <c r="M45" s="41">
        <f>COUNTIF(Vertices[Closeness Centrality],"&gt;= "&amp;L45)-COUNTIF(Vertices[Closeness Centrality],"&gt;="&amp;L46)</f>
        <v>0</v>
      </c>
      <c r="N45" s="40">
        <f t="shared" si="15"/>
        <v>0</v>
      </c>
      <c r="O45" s="41">
        <f>COUNTIF(Vertices[Eigenvector Centrality],"&gt;= "&amp;N45)-COUNTIF(Vertices[Eigenvector Centrality],"&gt;="&amp;N46)</f>
        <v>0</v>
      </c>
      <c r="P45" s="40">
        <f t="shared" si="16"/>
        <v>0</v>
      </c>
      <c r="Q45" s="41">
        <f>COUNTIF(Vertices[PageRank],"&gt;= "&amp;P45)-COUNTIF(Vertices[PageRank],"&gt;="&amp;P46)</f>
        <v>0</v>
      </c>
      <c r="R45" s="40">
        <f t="shared" si="17"/>
        <v>0</v>
      </c>
      <c r="S45" s="45">
        <f>COUNTIF(Vertices[Clustering Coefficient],"&gt;= "&amp;R45)-COUNTIF(Vertices[Clustering Coefficient],"&gt;="&amp;R46)</f>
        <v>0</v>
      </c>
      <c r="T45" s="40" t="e">
        <f ca="1" t="shared" si="18"/>
        <v>#REF!</v>
      </c>
      <c r="U45" s="41" t="e">
        <f ca="1" t="shared" si="0"/>
        <v>#REF!</v>
      </c>
    </row>
    <row r="46" spans="1:21" ht="15">
      <c r="A46" s="35"/>
      <c r="B46" s="35"/>
      <c r="D46" s="33">
        <f t="shared" si="10"/>
        <v>0</v>
      </c>
      <c r="E46" s="3">
        <f>COUNTIF(Vertices[Degree],"&gt;= "&amp;D46)-COUNTIF(Vertices[Degree],"&gt;="&amp;D47)</f>
        <v>0</v>
      </c>
      <c r="F46" s="38">
        <f t="shared" si="11"/>
        <v>0</v>
      </c>
      <c r="G46" s="39">
        <f>COUNTIF(Vertices[In-Degree],"&gt;= "&amp;F46)-COUNTIF(Vertices[In-Degree],"&gt;="&amp;F47)</f>
        <v>0</v>
      </c>
      <c r="H46" s="38">
        <f t="shared" si="12"/>
        <v>0</v>
      </c>
      <c r="I46" s="39">
        <f>COUNTIF(Vertices[Out-Degree],"&gt;= "&amp;H46)-COUNTIF(Vertices[Out-Degree],"&gt;="&amp;H47)</f>
        <v>0</v>
      </c>
      <c r="J46" s="38">
        <f t="shared" si="13"/>
        <v>0</v>
      </c>
      <c r="K46" s="39">
        <f>COUNTIF(Vertices[Betweenness Centrality],"&gt;= "&amp;J46)-COUNTIF(Vertices[Betweenness Centrality],"&gt;="&amp;J47)</f>
        <v>0</v>
      </c>
      <c r="L46" s="38">
        <f t="shared" si="14"/>
        <v>0</v>
      </c>
      <c r="M46" s="39">
        <f>COUNTIF(Vertices[Closeness Centrality],"&gt;= "&amp;L46)-COUNTIF(Vertices[Closeness Centrality],"&gt;="&amp;L47)</f>
        <v>0</v>
      </c>
      <c r="N46" s="38">
        <f t="shared" si="15"/>
        <v>0</v>
      </c>
      <c r="O46" s="39">
        <f>COUNTIF(Vertices[Eigenvector Centrality],"&gt;= "&amp;N46)-COUNTIF(Vertices[Eigenvector Centrality],"&gt;="&amp;N47)</f>
        <v>0</v>
      </c>
      <c r="P46" s="38">
        <f t="shared" si="16"/>
        <v>0</v>
      </c>
      <c r="Q46" s="39">
        <f>COUNTIF(Vertices[PageRank],"&gt;= "&amp;P46)-COUNTIF(Vertices[PageRank],"&gt;="&amp;P47)</f>
        <v>0</v>
      </c>
      <c r="R46" s="38">
        <f t="shared" si="17"/>
        <v>0</v>
      </c>
      <c r="S46" s="44">
        <f>COUNTIF(Vertices[Clustering Coefficient],"&gt;= "&amp;R46)-COUNTIF(Vertices[Clustering Coefficient],"&gt;="&amp;R47)</f>
        <v>0</v>
      </c>
      <c r="T46" s="38" t="e">
        <f ca="1" t="shared" si="18"/>
        <v>#REF!</v>
      </c>
      <c r="U46" s="39" t="e">
        <f ca="1" t="shared" si="0"/>
        <v>#REF!</v>
      </c>
    </row>
    <row r="47" spans="1:21" ht="15">
      <c r="A47" s="35"/>
      <c r="B47" s="35"/>
      <c r="D47" s="33">
        <f t="shared" si="10"/>
        <v>0</v>
      </c>
      <c r="E47" s="3">
        <f>COUNTIF(Vertices[Degree],"&gt;= "&amp;D47)-COUNTIF(Vertices[Degree],"&gt;="&amp;D48)</f>
        <v>0</v>
      </c>
      <c r="F47" s="40">
        <f t="shared" si="11"/>
        <v>0</v>
      </c>
      <c r="G47" s="41">
        <f>COUNTIF(Vertices[In-Degree],"&gt;= "&amp;F47)-COUNTIF(Vertices[In-Degree],"&gt;="&amp;F48)</f>
        <v>0</v>
      </c>
      <c r="H47" s="40">
        <f t="shared" si="12"/>
        <v>0</v>
      </c>
      <c r="I47" s="41">
        <f>COUNTIF(Vertices[Out-Degree],"&gt;= "&amp;H47)-COUNTIF(Vertices[Out-Degree],"&gt;="&amp;H48)</f>
        <v>0</v>
      </c>
      <c r="J47" s="40">
        <f t="shared" si="13"/>
        <v>0</v>
      </c>
      <c r="K47" s="41">
        <f>COUNTIF(Vertices[Betweenness Centrality],"&gt;= "&amp;J47)-COUNTIF(Vertices[Betweenness Centrality],"&gt;="&amp;J48)</f>
        <v>0</v>
      </c>
      <c r="L47" s="40">
        <f t="shared" si="14"/>
        <v>0</v>
      </c>
      <c r="M47" s="41">
        <f>COUNTIF(Vertices[Closeness Centrality],"&gt;= "&amp;L47)-COUNTIF(Vertices[Closeness Centrality],"&gt;="&amp;L48)</f>
        <v>0</v>
      </c>
      <c r="N47" s="40">
        <f t="shared" si="15"/>
        <v>0</v>
      </c>
      <c r="O47" s="41">
        <f>COUNTIF(Vertices[Eigenvector Centrality],"&gt;= "&amp;N47)-COUNTIF(Vertices[Eigenvector Centrality],"&gt;="&amp;N48)</f>
        <v>0</v>
      </c>
      <c r="P47" s="40">
        <f t="shared" si="16"/>
        <v>0</v>
      </c>
      <c r="Q47" s="41">
        <f>COUNTIF(Vertices[PageRank],"&gt;= "&amp;P47)-COUNTIF(Vertices[PageRank],"&gt;="&amp;P48)</f>
        <v>0</v>
      </c>
      <c r="R47" s="40">
        <f t="shared" si="17"/>
        <v>0</v>
      </c>
      <c r="S47" s="45">
        <f>COUNTIF(Vertices[Clustering Coefficient],"&gt;= "&amp;R47)-COUNTIF(Vertices[Clustering Coefficient],"&gt;="&amp;R48)</f>
        <v>0</v>
      </c>
      <c r="T47" s="40" t="e">
        <f ca="1" t="shared" si="18"/>
        <v>#REF!</v>
      </c>
      <c r="U47" s="41" t="e">
        <f ca="1" t="shared" si="0"/>
        <v>#REF!</v>
      </c>
    </row>
    <row r="48" spans="1:21" ht="15">
      <c r="A48" s="35"/>
      <c r="B48" s="35"/>
      <c r="D48" s="33">
        <f t="shared" si="10"/>
        <v>0</v>
      </c>
      <c r="E48" s="3">
        <f>COUNTIF(Vertices[Degree],"&gt;= "&amp;D48)-COUNTIF(Vertices[Degree],"&gt;="&amp;D49)</f>
        <v>0</v>
      </c>
      <c r="F48" s="38">
        <f t="shared" si="11"/>
        <v>0</v>
      </c>
      <c r="G48" s="39">
        <f>COUNTIF(Vertices[In-Degree],"&gt;= "&amp;F48)-COUNTIF(Vertices[In-Degree],"&gt;="&amp;F49)</f>
        <v>0</v>
      </c>
      <c r="H48" s="38">
        <f t="shared" si="12"/>
        <v>0</v>
      </c>
      <c r="I48" s="39">
        <f>COUNTIF(Vertices[Out-Degree],"&gt;= "&amp;H48)-COUNTIF(Vertices[Out-Degree],"&gt;="&amp;H49)</f>
        <v>0</v>
      </c>
      <c r="J48" s="38">
        <f t="shared" si="13"/>
        <v>0</v>
      </c>
      <c r="K48" s="39">
        <f>COUNTIF(Vertices[Betweenness Centrality],"&gt;= "&amp;J48)-COUNTIF(Vertices[Betweenness Centrality],"&gt;="&amp;J49)</f>
        <v>0</v>
      </c>
      <c r="L48" s="38">
        <f t="shared" si="14"/>
        <v>0</v>
      </c>
      <c r="M48" s="39">
        <f>COUNTIF(Vertices[Closeness Centrality],"&gt;= "&amp;L48)-COUNTIF(Vertices[Closeness Centrality],"&gt;="&amp;L49)</f>
        <v>0</v>
      </c>
      <c r="N48" s="38">
        <f t="shared" si="15"/>
        <v>0</v>
      </c>
      <c r="O48" s="39">
        <f>COUNTIF(Vertices[Eigenvector Centrality],"&gt;= "&amp;N48)-COUNTIF(Vertices[Eigenvector Centrality],"&gt;="&amp;N49)</f>
        <v>0</v>
      </c>
      <c r="P48" s="38">
        <f t="shared" si="16"/>
        <v>0</v>
      </c>
      <c r="Q48" s="39">
        <f>COUNTIF(Vertices[PageRank],"&gt;= "&amp;P48)-COUNTIF(Vertices[PageRank],"&gt;="&amp;P49)</f>
        <v>0</v>
      </c>
      <c r="R48" s="38">
        <f t="shared" si="17"/>
        <v>0</v>
      </c>
      <c r="S48" s="44">
        <f>COUNTIF(Vertices[Clustering Coefficient],"&gt;= "&amp;R48)-COUNTIF(Vertices[Clustering Coefficient],"&gt;="&amp;R49)</f>
        <v>0</v>
      </c>
      <c r="T48" s="38" t="e">
        <f ca="1" t="shared" si="18"/>
        <v>#REF!</v>
      </c>
      <c r="U48" s="39" t="e">
        <f ca="1" t="shared" si="0"/>
        <v>#REF!</v>
      </c>
    </row>
    <row r="49" spans="1:21" ht="15">
      <c r="A49" s="35"/>
      <c r="B49" s="35"/>
      <c r="D49" s="33">
        <f t="shared" si="10"/>
        <v>0</v>
      </c>
      <c r="E49" s="3">
        <f>COUNTIF(Vertices[Degree],"&gt;= "&amp;D49)-COUNTIF(Vertices[Degree],"&gt;="&amp;#REF!)</f>
        <v>0</v>
      </c>
      <c r="F49" s="40">
        <f t="shared" si="11"/>
        <v>0</v>
      </c>
      <c r="G49" s="41">
        <f>COUNTIF(Vertices[In-Degree],"&gt;= "&amp;F49)-COUNTIF(Vertices[In-Degree],"&gt;="&amp;#REF!)</f>
        <v>0</v>
      </c>
      <c r="H49" s="40">
        <f t="shared" si="12"/>
        <v>0</v>
      </c>
      <c r="I49" s="41">
        <f>COUNTIF(Vertices[Out-Degree],"&gt;= "&amp;H49)-COUNTIF(Vertices[Out-Degree],"&gt;="&amp;#REF!)</f>
        <v>0</v>
      </c>
      <c r="J49" s="40">
        <f t="shared" si="13"/>
        <v>0</v>
      </c>
      <c r="K49" s="41">
        <f>COUNTIF(Vertices[Betweenness Centrality],"&gt;= "&amp;J49)-COUNTIF(Vertices[Betweenness Centrality],"&gt;="&amp;#REF!)</f>
        <v>0</v>
      </c>
      <c r="L49" s="40">
        <f t="shared" si="14"/>
        <v>0</v>
      </c>
      <c r="M49" s="41">
        <f>COUNTIF(Vertices[Closeness Centrality],"&gt;= "&amp;L49)-COUNTIF(Vertices[Closeness Centrality],"&gt;="&amp;#REF!)</f>
        <v>0</v>
      </c>
      <c r="N49" s="40">
        <f t="shared" si="15"/>
        <v>0</v>
      </c>
      <c r="O49" s="41">
        <f>COUNTIF(Vertices[Eigenvector Centrality],"&gt;= "&amp;N49)-COUNTIF(Vertices[Eigenvector Centrality],"&gt;="&amp;#REF!)</f>
        <v>0</v>
      </c>
      <c r="P49" s="40">
        <f t="shared" si="16"/>
        <v>0</v>
      </c>
      <c r="Q49" s="41">
        <f>COUNTIF(Vertices[PageRank],"&gt;= "&amp;P49)-COUNTIF(Vertices[PageRank],"&gt;="&amp;#REF!)</f>
        <v>0</v>
      </c>
      <c r="R49" s="40">
        <f t="shared" si="17"/>
        <v>0</v>
      </c>
      <c r="S49" s="45">
        <f>COUNTIF(Vertices[Clustering Coefficient],"&gt;= "&amp;R49)-COUNTIF(Vertices[Clustering Coefficient],"&gt;="&amp;#REF!)</f>
        <v>0</v>
      </c>
      <c r="T49" s="40" t="e">
        <f ca="1" t="shared" si="18"/>
        <v>#REF!</v>
      </c>
      <c r="U49" s="41" t="e">
        <f ca="1">COUNTIF(INDIRECT(DynamicFilterSourceColumnRange),"&gt;= "&amp;T49)-COUNTIF(INDIRECT(DynamicFilterSourceColumnRange),"&gt;="&amp;#REF!)</f>
        <v>#REF!</v>
      </c>
    </row>
    <row r="50" spans="4:21" ht="15">
      <c r="D50" s="33">
        <f>MAX(Vertices[Degree])</f>
        <v>0</v>
      </c>
      <c r="E50" s="3">
        <f>COUNTIF(Vertices[Degree],"&gt;= "&amp;D50)-COUNTIF(Vertices[Degree],"&gt;="&amp;#REF!)</f>
        <v>0</v>
      </c>
      <c r="F50" s="42">
        <f>MAX(Vertices[In-Degree])</f>
        <v>0</v>
      </c>
      <c r="G50" s="43">
        <f>COUNTIF(Vertices[In-Degree],"&gt;= "&amp;F50)-COUNTIF(Vertices[In-Degree],"&gt;="&amp;#REF!)</f>
        <v>0</v>
      </c>
      <c r="H50" s="42">
        <f>MAX(Vertices[Out-Degree])</f>
        <v>0</v>
      </c>
      <c r="I50" s="43">
        <f>COUNTIF(Vertices[Out-Degree],"&gt;= "&amp;H50)-COUNTIF(Vertices[Out-Degree],"&gt;="&amp;#REF!)</f>
        <v>0</v>
      </c>
      <c r="J50" s="42">
        <f>MAX(Vertices[Betweenness Centrality])</f>
        <v>0</v>
      </c>
      <c r="K50" s="43">
        <f>COUNTIF(Vertices[Betweenness Centrality],"&gt;= "&amp;J50)-COUNTIF(Vertices[Betweenness Centrality],"&gt;="&amp;#REF!)</f>
        <v>0</v>
      </c>
      <c r="L50" s="42">
        <f>MAX(Vertices[Closeness Centrality])</f>
        <v>0</v>
      </c>
      <c r="M50" s="43">
        <f>COUNTIF(Vertices[Closeness Centrality],"&gt;= "&amp;L50)-COUNTIF(Vertices[Closeness Centrality],"&gt;="&amp;#REF!)</f>
        <v>0</v>
      </c>
      <c r="N50" s="42">
        <f>MAX(Vertices[Eigenvector Centrality])</f>
        <v>0</v>
      </c>
      <c r="O50" s="43">
        <f>COUNTIF(Vertices[Eigenvector Centrality],"&gt;= "&amp;N50)-COUNTIF(Vertices[Eigenvector Centrality],"&gt;="&amp;#REF!)</f>
        <v>0</v>
      </c>
      <c r="P50" s="42">
        <f>MAX(Vertices[PageRank])</f>
        <v>0</v>
      </c>
      <c r="Q50" s="43">
        <f>COUNTIF(Vertices[PageRank],"&gt;= "&amp;P50)-COUNTIF(Vertices[PageRank],"&gt;="&amp;#REF!)</f>
        <v>0</v>
      </c>
      <c r="R50" s="42">
        <f>MAX(Vertices[Clustering Coefficient])</f>
        <v>0</v>
      </c>
      <c r="S50" s="46">
        <f>COUNTIF(Vertices[Clustering Coefficient],"&gt;= "&amp;R50)-COUNTIF(Vertices[Clustering Coefficient],"&gt;="&amp;#REF!)</f>
        <v>0</v>
      </c>
      <c r="T50" s="42" t="e">
        <f ca="1">MAX(INDIRECT(DynamicFilterSourceColumnRange))</f>
        <v>#REF!</v>
      </c>
      <c r="U50" s="43" t="e">
        <f ca="1">COUNTIF(INDIRECT(DynamicFilterSourceColumnRange),"&gt;= "&amp;T50)-COUNTIF(INDIRECT(DynamicFilterSourceColumnRange),"&gt;="&amp;#REF!)</f>
        <v>#REF!</v>
      </c>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IF(COUNT(Vertices[Degree])&gt;0,D50,NoMetricMessage)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t="str">
        <f>IF(COUNT(Vertices[In-Degree])&gt;0,F2,NoMetricMessage)</f>
        <v>Not Available</v>
      </c>
    </row>
    <row r="81" spans="1:2" ht="15">
      <c r="A81" s="34" t="s">
        <v>89</v>
      </c>
      <c r="B81" s="47" t="str">
        <f>IF(COUNT(Vertices[In-Degree])&gt;0,F50,NoMetricMessage)</f>
        <v>Not Available</v>
      </c>
    </row>
    <row r="82" spans="1:2" ht="15">
      <c r="A82" s="34" t="s">
        <v>90</v>
      </c>
      <c r="B82" s="48" t="str">
        <f>_xlfn.IFERROR(AVERAGE(Vertices[In-Degree]),NoMetricMessage)</f>
        <v>Not Available</v>
      </c>
    </row>
    <row r="83" spans="1:2" ht="15">
      <c r="A83" s="34" t="s">
        <v>91</v>
      </c>
      <c r="B83" s="48" t="str">
        <f>_xlfn.IFERROR(MEDIAN(Vertices[In-Degree]),NoMetricMessage)</f>
        <v>Not Available</v>
      </c>
    </row>
    <row r="94" spans="1:2" ht="15">
      <c r="A94" s="34" t="s">
        <v>94</v>
      </c>
      <c r="B94" s="47" t="str">
        <f>IF(COUNT(Vertices[Out-Degree])&gt;0,H2,NoMetricMessage)</f>
        <v>Not Available</v>
      </c>
    </row>
    <row r="95" spans="1:2" ht="15">
      <c r="A95" s="34" t="s">
        <v>95</v>
      </c>
      <c r="B95" s="47" t="str">
        <f>IF(COUNT(Vertices[Out-Degree])&gt;0,H50,NoMetricMessage)</f>
        <v>Not Available</v>
      </c>
    </row>
    <row r="96" spans="1:2" ht="15">
      <c r="A96" s="34" t="s">
        <v>96</v>
      </c>
      <c r="B96" s="48" t="str">
        <f>_xlfn.IFERROR(AVERAGE(Vertices[Out-Degree]),NoMetricMessage)</f>
        <v>Not Available</v>
      </c>
    </row>
    <row r="97" spans="1:2" ht="15">
      <c r="A97" s="34" t="s">
        <v>97</v>
      </c>
      <c r="B97" s="48" t="str">
        <f>_xlfn.IFERROR(MEDIAN(Vertices[Out-Degree]),NoMetricMessage)</f>
        <v>Not Available</v>
      </c>
    </row>
    <row r="108" spans="1:2" ht="15">
      <c r="A108" s="34" t="s">
        <v>100</v>
      </c>
      <c r="B108" s="48" t="str">
        <f>IF(COUNT(Vertices[Betweenness Centrality])&gt;0,J2,NoMetricMessage)</f>
        <v>Not Available</v>
      </c>
    </row>
    <row r="109" spans="1:2" ht="15">
      <c r="A109" s="34" t="s">
        <v>101</v>
      </c>
      <c r="B109" s="48" t="str">
        <f>IF(COUNT(Vertices[Betweenness Centrality])&gt;0,J50,NoMetricMessage)</f>
        <v>Not Available</v>
      </c>
    </row>
    <row r="110" spans="1:2" ht="15">
      <c r="A110" s="34" t="s">
        <v>102</v>
      </c>
      <c r="B110" s="48" t="str">
        <f>_xlfn.IFERROR(AVERAGE(Vertices[Betweenness Centrality]),NoMetricMessage)</f>
        <v>Not Available</v>
      </c>
    </row>
    <row r="111" spans="1:2" ht="15">
      <c r="A111" s="34" t="s">
        <v>103</v>
      </c>
      <c r="B111" s="48" t="str">
        <f>_xlfn.IFERROR(MEDIAN(Vertices[Betweenness Centrality]),NoMetricMessage)</f>
        <v>Not Available</v>
      </c>
    </row>
    <row r="122" spans="1:2" ht="15">
      <c r="A122" s="34" t="s">
        <v>106</v>
      </c>
      <c r="B122" s="48" t="str">
        <f>IF(COUNT(Vertices[Closeness Centrality])&gt;0,L2,NoMetricMessage)</f>
        <v>Not Available</v>
      </c>
    </row>
    <row r="123" spans="1:2" ht="15">
      <c r="A123" s="34" t="s">
        <v>107</v>
      </c>
      <c r="B123" s="48" t="str">
        <f>IF(COUNT(Vertices[Closeness Centrality])&gt;0,L50,NoMetricMessage)</f>
        <v>Not Available</v>
      </c>
    </row>
    <row r="124" spans="1:2" ht="15">
      <c r="A124" s="34" t="s">
        <v>108</v>
      </c>
      <c r="B124" s="48" t="str">
        <f>_xlfn.IFERROR(AVERAGE(Vertices[Closeness Centrality]),NoMetricMessage)</f>
        <v>Not Available</v>
      </c>
    </row>
    <row r="125" spans="1:2" ht="15">
      <c r="A125" s="34" t="s">
        <v>109</v>
      </c>
      <c r="B125" s="48" t="str">
        <f>_xlfn.IFERROR(MEDIAN(Vertices[Closeness Centrality]),NoMetricMessage)</f>
        <v>Not Available</v>
      </c>
    </row>
    <row r="136" spans="1:2" ht="15">
      <c r="A136" s="34" t="s">
        <v>112</v>
      </c>
      <c r="B136" s="48" t="str">
        <f>IF(COUNT(Vertices[Eigenvector Centrality])&gt;0,N2,NoMetricMessage)</f>
        <v>Not Available</v>
      </c>
    </row>
    <row r="137" spans="1:2" ht="15">
      <c r="A137" s="34" t="s">
        <v>113</v>
      </c>
      <c r="B137" s="48" t="str">
        <f>IF(COUNT(Vertices[Eigenvector Centrality])&gt;0,N50,NoMetricMessage)</f>
        <v>Not Available</v>
      </c>
    </row>
    <row r="138" spans="1:2" ht="15">
      <c r="A138" s="34" t="s">
        <v>114</v>
      </c>
      <c r="B138" s="48" t="str">
        <f>_xlfn.IFERROR(AVERAGE(Vertices[Eigenvector Centrality]),NoMetricMessage)</f>
        <v>Not Available</v>
      </c>
    </row>
    <row r="139" spans="1:2" ht="15">
      <c r="A139" s="34" t="s">
        <v>115</v>
      </c>
      <c r="B139" s="48" t="str">
        <f>_xlfn.IFERROR(MEDIAN(Vertices[Eigenvector Centrality]),NoMetricMessage)</f>
        <v>Not Available</v>
      </c>
    </row>
    <row r="150" spans="1:2" ht="15">
      <c r="A150" s="34" t="s">
        <v>140</v>
      </c>
      <c r="B150" s="48" t="str">
        <f>IF(COUNT(Vertices[PageRank])&gt;0,P2,NoMetricMessage)</f>
        <v>Not Available</v>
      </c>
    </row>
    <row r="151" spans="1:2" ht="15">
      <c r="A151" s="34" t="s">
        <v>141</v>
      </c>
      <c r="B151" s="48" t="str">
        <f>IF(COUNT(Vertices[PageRank])&gt;0,P50,NoMetricMessage)</f>
        <v>Not Available</v>
      </c>
    </row>
    <row r="152" spans="1:2" ht="15">
      <c r="A152" s="34" t="s">
        <v>142</v>
      </c>
      <c r="B152" s="48" t="str">
        <f>_xlfn.IFERROR(AVERAGE(Vertices[PageRank]),NoMetricMessage)</f>
        <v>Not Available</v>
      </c>
    </row>
    <row r="153" spans="1:2" ht="15">
      <c r="A153" s="34" t="s">
        <v>143</v>
      </c>
      <c r="B153" s="48" t="str">
        <f>_xlfn.IFERROR(MEDIAN(Vertices[PageRank]),NoMetricMessage)</f>
        <v>Not Available</v>
      </c>
    </row>
    <row r="164" spans="1:2" ht="15">
      <c r="A164" s="34" t="s">
        <v>118</v>
      </c>
      <c r="B164" s="48" t="str">
        <f>IF(COUNT(Vertices[Clustering Coefficient])&gt;0,R2,NoMetricMessage)</f>
        <v>Not Available</v>
      </c>
    </row>
    <row r="165" spans="1:2" ht="15">
      <c r="A165" s="34" t="s">
        <v>119</v>
      </c>
      <c r="B165" s="48" t="str">
        <f>IF(COUNT(Vertices[Clustering Coefficient])&gt;0,R50,NoMetricMessage)</f>
        <v>Not Available</v>
      </c>
    </row>
    <row r="166" spans="1:2" ht="15">
      <c r="A166" s="34" t="s">
        <v>120</v>
      </c>
      <c r="B166" s="48" t="str">
        <f>_xlfn.IFERROR(AVERAGE(Vertices[Clustering Coefficient]),NoMetricMessage)</f>
        <v>Not Available</v>
      </c>
    </row>
    <row r="167" spans="1:2" ht="15">
      <c r="A167" s="34" t="s">
        <v>121</v>
      </c>
      <c r="B167" s="48"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6"/>
    <tablePart r:id="rId5"/>
    <tablePart r:id="rId3"/>
    <tablePart r:id="rId4"/>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customWidth="1"/>
    <col min="13" max="13" width="10.8515625" style="0"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s>
  <sheetData>
    <row r="1" spans="3:14" ht="15">
      <c r="C1" s="17" t="s">
        <v>39</v>
      </c>
      <c r="D1" s="18"/>
      <c r="E1" s="18"/>
      <c r="F1" s="18"/>
      <c r="G1" s="17"/>
      <c r="H1" s="15" t="s">
        <v>43</v>
      </c>
      <c r="I1" s="65"/>
      <c r="J1" s="65"/>
      <c r="K1" s="34" t="s">
        <v>42</v>
      </c>
      <c r="L1" s="19" t="s">
        <v>40</v>
      </c>
      <c r="M1" s="19"/>
      <c r="N1" s="16" t="s">
        <v>41</v>
      </c>
    </row>
    <row r="2" spans="1:57" ht="30" customHeight="1">
      <c r="A2" s="82" t="s">
        <v>0</v>
      </c>
      <c r="B2" s="82" t="s">
        <v>1</v>
      </c>
      <c r="C2" s="13" t="s">
        <v>2</v>
      </c>
      <c r="D2" s="13" t="s">
        <v>3</v>
      </c>
      <c r="E2" s="13" t="s">
        <v>130</v>
      </c>
      <c r="F2" s="13" t="s">
        <v>4</v>
      </c>
      <c r="G2" s="13" t="s">
        <v>11</v>
      </c>
      <c r="H2" s="11" t="s">
        <v>46</v>
      </c>
      <c r="I2" s="13" t="s">
        <v>160</v>
      </c>
      <c r="J2" s="13" t="s">
        <v>161</v>
      </c>
      <c r="K2" s="13" t="s">
        <v>165</v>
      </c>
      <c r="L2" s="13" t="s">
        <v>12</v>
      </c>
      <c r="M2" s="13" t="s">
        <v>38</v>
      </c>
      <c r="N2" s="13" t="s">
        <v>26</v>
      </c>
      <c r="O2" s="84" t="s">
        <v>174</v>
      </c>
      <c r="P2" s="84" t="s">
        <v>175</v>
      </c>
      <c r="Q2" s="84" t="s">
        <v>176</v>
      </c>
      <c r="R2" s="84" t="s">
        <v>177</v>
      </c>
      <c r="S2" s="84" t="s">
        <v>178</v>
      </c>
      <c r="T2" s="84" t="s">
        <v>179</v>
      </c>
      <c r="U2" s="84" t="s">
        <v>180</v>
      </c>
      <c r="V2" s="84" t="s">
        <v>181</v>
      </c>
      <c r="W2" s="84" t="s">
        <v>182</v>
      </c>
      <c r="X2" s="84" t="s">
        <v>183</v>
      </c>
      <c r="Y2" s="84" t="s">
        <v>184</v>
      </c>
      <c r="Z2" s="84" t="s">
        <v>185</v>
      </c>
      <c r="AA2" s="84" t="s">
        <v>186</v>
      </c>
      <c r="AB2" s="84" t="s">
        <v>187</v>
      </c>
      <c r="AC2" s="84" t="s">
        <v>188</v>
      </c>
      <c r="AD2" s="84" t="s">
        <v>189</v>
      </c>
      <c r="AE2" s="84" t="s">
        <v>190</v>
      </c>
      <c r="AF2" s="84" t="s">
        <v>191</v>
      </c>
      <c r="AG2" s="84" t="s">
        <v>192</v>
      </c>
      <c r="AH2" s="84" t="s">
        <v>193</v>
      </c>
      <c r="AI2" s="84" t="s">
        <v>194</v>
      </c>
      <c r="AJ2" s="84" t="s">
        <v>195</v>
      </c>
      <c r="AK2" s="84" t="s">
        <v>196</v>
      </c>
      <c r="AL2" s="84" t="s">
        <v>197</v>
      </c>
      <c r="AM2" s="84" t="s">
        <v>198</v>
      </c>
      <c r="AN2" s="84" t="s">
        <v>199</v>
      </c>
      <c r="AO2" s="84" t="s">
        <v>200</v>
      </c>
      <c r="AP2" s="84" t="s">
        <v>201</v>
      </c>
      <c r="AQ2" s="84" t="s">
        <v>202</v>
      </c>
      <c r="AR2" s="84" t="s">
        <v>203</v>
      </c>
      <c r="AS2" s="84" t="s">
        <v>204</v>
      </c>
      <c r="AT2" s="84" t="s">
        <v>205</v>
      </c>
      <c r="AU2" s="84" t="s">
        <v>206</v>
      </c>
      <c r="AV2" s="84" t="s">
        <v>207</v>
      </c>
      <c r="AW2" s="84" t="s">
        <v>208</v>
      </c>
      <c r="AX2" s="84" t="s">
        <v>209</v>
      </c>
      <c r="AY2" s="84" t="s">
        <v>210</v>
      </c>
      <c r="AZ2" s="84" t="s">
        <v>211</v>
      </c>
      <c r="BA2" s="84" t="s">
        <v>212</v>
      </c>
      <c r="BB2" s="84" t="s">
        <v>213</v>
      </c>
      <c r="BC2" t="s">
        <v>272</v>
      </c>
      <c r="BD2" s="13" t="s">
        <v>274</v>
      </c>
      <c r="BE2" s="13" t="s">
        <v>275</v>
      </c>
    </row>
    <row r="3" spans="1:57" ht="15" customHeight="1">
      <c r="A3" s="83"/>
      <c r="B3" s="83"/>
      <c r="C3" s="53"/>
      <c r="D3" s="54"/>
      <c r="E3" s="66"/>
      <c r="F3" s="55"/>
      <c r="G3" s="53"/>
      <c r="H3" s="57"/>
      <c r="I3" s="56"/>
      <c r="J3" s="56"/>
      <c r="K3" s="35"/>
      <c r="L3" s="62">
        <v>3</v>
      </c>
      <c r="M3" s="62"/>
      <c r="N3" s="63"/>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D3" s="84" t="e">
        <f>REPLACE(INDEX(GroupVertices[Group],MATCH(Edges11[[#This Row],[Vertex 1]],GroupVertices[Vertex],0)),1,1,"")</f>
        <v>#N/A</v>
      </c>
      <c r="BE3" s="84" t="e">
        <f>REPLACE(INDEX(GroupVertices[Group],MATCH(Edges11[[#This Row],[Vertex 2]],GroupVertices[Vertex],0)),1,1,"")</f>
        <v>#N/A</v>
      </c>
    </row>
    <row r="4" ht="15" customHeight="1"/>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
    <dataValidation allowBlank="1" showInputMessage="1" showErrorMessage="1" promptTitle="Vertex 2 Name" prompt="Enter the name of the edge's second vertex." sqref="B3"/>
    <dataValidation allowBlank="1" showInputMessage="1" showErrorMessage="1" promptTitle="Vertex 1 Name" prompt="Enter the name of the edge's first vertex." sqref="A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Color" prompt="To select an optional edge color, right-click and select Select Color on the right-click menu." sqref="C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ErrorMessage="1" sqref="N2:N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s>
  <printOptions/>
  <pageMargins left="0.7" right="0.7" top="0.75" bottom="0.75" header="0.3" footer="0.3"/>
  <pageSetup horizontalDpi="600" verticalDpi="600" orientation="portrait" r:id="rId4"/>
  <legacyDrawing r:id="rId2"/>
  <tableParts>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237</v>
      </c>
      <c r="K7" s="13" t="s">
        <v>238</v>
      </c>
    </row>
    <row r="8" spans="1:11" ht="409.5">
      <c r="A8"/>
      <c r="B8">
        <v>2</v>
      </c>
      <c r="C8">
        <v>2</v>
      </c>
      <c r="D8" t="s">
        <v>61</v>
      </c>
      <c r="E8" t="s">
        <v>61</v>
      </c>
      <c r="H8" t="s">
        <v>73</v>
      </c>
      <c r="J8" t="s">
        <v>239</v>
      </c>
      <c r="K8" s="13" t="s">
        <v>240</v>
      </c>
    </row>
    <row r="9" spans="1:11" ht="409.5">
      <c r="A9"/>
      <c r="B9">
        <v>3</v>
      </c>
      <c r="C9">
        <v>4</v>
      </c>
      <c r="D9" t="s">
        <v>62</v>
      </c>
      <c r="E9" t="s">
        <v>62</v>
      </c>
      <c r="H9" t="s">
        <v>74</v>
      </c>
      <c r="J9" t="s">
        <v>241</v>
      </c>
      <c r="K9" s="13" t="s">
        <v>242</v>
      </c>
    </row>
    <row r="10" spans="1:11" ht="409.5">
      <c r="A10"/>
      <c r="B10">
        <v>4</v>
      </c>
      <c r="D10" t="s">
        <v>63</v>
      </c>
      <c r="E10" t="s">
        <v>63</v>
      </c>
      <c r="H10" t="s">
        <v>75</v>
      </c>
      <c r="J10" t="s">
        <v>243</v>
      </c>
      <c r="K10" s="13" t="s">
        <v>244</v>
      </c>
    </row>
    <row r="11" spans="1:11" ht="15">
      <c r="A11"/>
      <c r="B11">
        <v>5</v>
      </c>
      <c r="D11" t="s">
        <v>46</v>
      </c>
      <c r="E11">
        <v>1</v>
      </c>
      <c r="H11" t="s">
        <v>76</v>
      </c>
      <c r="J11" t="s">
        <v>245</v>
      </c>
      <c r="K11" t="s">
        <v>246</v>
      </c>
    </row>
    <row r="12" spans="1:11" ht="15">
      <c r="A12"/>
      <c r="B12"/>
      <c r="D12" t="s">
        <v>64</v>
      </c>
      <c r="E12">
        <v>2</v>
      </c>
      <c r="H12">
        <v>0</v>
      </c>
      <c r="J12" t="s">
        <v>247</v>
      </c>
      <c r="K12" t="s">
        <v>248</v>
      </c>
    </row>
    <row r="13" spans="1:11" ht="15">
      <c r="A13"/>
      <c r="B13"/>
      <c r="D13">
        <v>1</v>
      </c>
      <c r="E13">
        <v>3</v>
      </c>
      <c r="H13">
        <v>1</v>
      </c>
      <c r="J13" t="s">
        <v>249</v>
      </c>
      <c r="K13" t="s">
        <v>250</v>
      </c>
    </row>
    <row r="14" spans="4:11" ht="15">
      <c r="D14">
        <v>2</v>
      </c>
      <c r="E14">
        <v>4</v>
      </c>
      <c r="H14">
        <v>2</v>
      </c>
      <c r="J14" t="s">
        <v>251</v>
      </c>
      <c r="K14" t="s">
        <v>252</v>
      </c>
    </row>
    <row r="15" spans="4:11" ht="15">
      <c r="D15">
        <v>3</v>
      </c>
      <c r="E15">
        <v>5</v>
      </c>
      <c r="H15">
        <v>3</v>
      </c>
      <c r="J15" t="s">
        <v>253</v>
      </c>
      <c r="K15" t="s">
        <v>254</v>
      </c>
    </row>
    <row r="16" spans="4:11" ht="15">
      <c r="D16">
        <v>4</v>
      </c>
      <c r="E16">
        <v>6</v>
      </c>
      <c r="H16">
        <v>4</v>
      </c>
      <c r="J16" t="s">
        <v>255</v>
      </c>
      <c r="K16" t="s">
        <v>256</v>
      </c>
    </row>
    <row r="17" spans="4:11" ht="15">
      <c r="D17">
        <v>5</v>
      </c>
      <c r="E17">
        <v>7</v>
      </c>
      <c r="H17">
        <v>5</v>
      </c>
      <c r="J17" t="s">
        <v>257</v>
      </c>
      <c r="K17" t="s">
        <v>258</v>
      </c>
    </row>
    <row r="18" spans="4:11" ht="15">
      <c r="D18">
        <v>6</v>
      </c>
      <c r="E18">
        <v>8</v>
      </c>
      <c r="H18">
        <v>6</v>
      </c>
      <c r="J18" t="s">
        <v>259</v>
      </c>
      <c r="K18" t="s">
        <v>260</v>
      </c>
    </row>
    <row r="19" spans="4:11" ht="15">
      <c r="D19">
        <v>7</v>
      </c>
      <c r="E19">
        <v>9</v>
      </c>
      <c r="H19">
        <v>7</v>
      </c>
      <c r="J19" t="s">
        <v>261</v>
      </c>
      <c r="K19" t="s">
        <v>262</v>
      </c>
    </row>
    <row r="20" spans="4:11" ht="15">
      <c r="D20">
        <v>8</v>
      </c>
      <c r="H20">
        <v>8</v>
      </c>
      <c r="J20" t="s">
        <v>263</v>
      </c>
      <c r="K20" t="s">
        <v>264</v>
      </c>
    </row>
    <row r="21" spans="4:11" ht="409.5">
      <c r="D21">
        <v>9</v>
      </c>
      <c r="H21">
        <v>9</v>
      </c>
      <c r="J21" t="s">
        <v>265</v>
      </c>
      <c r="K21" s="13" t="s">
        <v>266</v>
      </c>
    </row>
    <row r="22" spans="4:11" ht="409.5">
      <c r="D22">
        <v>10</v>
      </c>
      <c r="J22" t="s">
        <v>267</v>
      </c>
      <c r="K22" s="13" t="s">
        <v>268</v>
      </c>
    </row>
    <row r="23" spans="4:11" ht="409.5">
      <c r="D23">
        <v>11</v>
      </c>
      <c r="J23" t="s">
        <v>269</v>
      </c>
      <c r="K23" s="13" t="s">
        <v>284</v>
      </c>
    </row>
    <row r="24" spans="10:11" ht="409.5">
      <c r="J24" t="s">
        <v>270</v>
      </c>
      <c r="K24" s="13" t="s">
        <v>283</v>
      </c>
    </row>
    <row r="25" spans="10:11" ht="15">
      <c r="J25" t="s">
        <v>271</v>
      </c>
      <c r="K25" t="b">
        <v>0</v>
      </c>
    </row>
    <row r="26" spans="10:11" ht="15">
      <c r="J26" t="s">
        <v>281</v>
      </c>
      <c r="K26" t="s">
        <v>282</v>
      </c>
    </row>
  </sheetData>
  <printOptions/>
  <pageMargins left="0.7" right="0.7" top="0.75" bottom="0.75" header="0.3" footer="0.3"/>
  <pageSetup horizontalDpi="600" verticalDpi="600" orientation="portrait" r:id="rId4"/>
  <drawing r:id="rId3"/>
  <tableParts>
    <tablePart r:id="rId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7"/>
  <sheetViews>
    <sheetView tabSelected="1" workbookViewId="0" topLeftCell="A1"/>
  </sheetViews>
  <sheetFormatPr defaultColWidth="9.140625" defaultRowHeight="15"/>
  <cols>
    <col min="1" max="1" width="13.140625" style="0" customWidth="1"/>
    <col min="2" max="2" width="25.00390625" style="0" bestFit="1" customWidth="1"/>
  </cols>
  <sheetData>
    <row r="25" spans="1:2" ht="15">
      <c r="A25" s="87" t="s">
        <v>278</v>
      </c>
      <c r="B25" t="s">
        <v>277</v>
      </c>
    </row>
    <row r="26" spans="1:2" ht="15">
      <c r="A26" s="88" t="s">
        <v>279</v>
      </c>
      <c r="B26" s="3"/>
    </row>
    <row r="27" spans="1:2" ht="15">
      <c r="A27" s="88" t="s">
        <v>280</v>
      </c>
      <c r="B27" s="3"/>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273BD6AF-3F68-4474-BF3C-F8FE7CEB32A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2020-02-27T11:33:27Z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