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<sst xmlns="http://schemas.openxmlformats.org/spreadsheetml/2006/main" count="4973" uniqueCount="1241">
  <si>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</si>
  <si>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</si>
  <si>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</si>
  <si>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</si>
  <si>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</si>
  <si>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</si>
  <si>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</si>
  <si>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</si>
  <si>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</si>
  <si>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</si>
  <si>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</si>
  <si>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</si>
  <si>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</si>
  <si>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</si>
  <si>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</si>
  <si>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</si>
  <si>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</si>
  <si>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</si>
  <si>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</si>
  <si>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</si>
  <si>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</si>
  <si>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</si>
  <si>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</si>
  <si>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</si>
  <si>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</si>
  <si>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</si>
  <si>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</si>
  <si>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</si>
  <si>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</si>
  <si>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</si>
  <si>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</si>
  <si>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</si>
  <si>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</si>
  <si>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</si>
  <si>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</si>
  <si>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</si>
  <si>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</si>
  <si>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</si>
  <si>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</si>
  <si>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</si>
  <si>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</si>
  <si>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</si>
  <si>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</si>
  <si>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</si>
  <si>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</si>
  <si>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</si>
  <si>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</si>
  <si>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</si>
  <si>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</si>
  <si>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</si>
  <si>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</si>
  <si>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</si>
  <si>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</si>
  <si>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</si>
  <si>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</si>
  <si>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</si>
  <si>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</si>
  <si>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</si>
  <si>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</si>
  <si>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</si>
  <si>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</si>
  <si>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</si>
  <si>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</si>
  <si>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</si>
  <si>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</si>
  <si>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</si>
  <si>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</si>
  <si>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</si>
  <si>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</si>
  <si>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</si>
  <si>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</si>
  <si>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</si>
  <si>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</si>
  <si>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</si>
  <si>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</si>
  <si>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</si>
  <si>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</si>
  <si>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</si>
  <si>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</si>
  <si>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</si>
  <si>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</si>
  <si>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</si>
  <si>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</si>
  <si>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</si>
  <si>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</si>
  <si>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</si>
  <si>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</si>
  <si>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</si>
  <si>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</si>
  <si>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</si>
  <si>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</si>
  <si>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</si>
  <si>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</si>
  <si>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</si>
  <si>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</si>
  <si>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</si>
  <si>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</si>
  <si>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</si>
  <si>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</si>
  <si>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</si>
  <si>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</si>
  <si>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</si>
  <si>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</si>
  <si>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</si>
  <si>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</si>
  <si>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</si>
  <si>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</si>
  <si>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</si>
  <si>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</si>
  <si>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</si>
  <si>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</si>
  <si>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</si>
  <si>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</si>
  <si>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</si>
  <si>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</si>
  <si>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</si>
  <si>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</si>
  <si>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</si>
  <si>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</si>
  <si>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</si>
  <si>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</si>
  <si>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</si>
  <si>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</si>
  <si>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</si>
  <si>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</si>
  <si>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</si>
  <si>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</si>
  <si>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</si>
  <si>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</si>
  <si>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</si>
  <si>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</si>
  <si>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</si>
  <si>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</si>
  <si>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</si>
  <si>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</si>
  <si>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</si>
  <si>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</si>
  <si>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</si>
  <si>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</si>
  <si>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</si>
  <si>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</si>
  <si>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</si>
  <si>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</si>
  <si>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</si>
  <si>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</si>
  <si>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</si>
  <si>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</si>
  <si>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</si>
  <si>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</si>
  <si>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</si>
  <si>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</si>
  <si>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</si>
  <si>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</si>
  <si>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</si>
  <si>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</si>
  <si>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</si>
  <si>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</si>
  <si>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</si>
  <si>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</si>
  <si>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</si>
  <si>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</si>
  <si>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</si>
  <si>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</si>
  <si>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</si>
  <si>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</si>
  <si>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</si>
  <si>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</si>
  <si>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</si>
  <si>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</si>
  <si>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</si>
  <si>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</si>
  <si>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</si>
  <si>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</si>
  <si>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</si>
  <si>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</si>
  <si>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Workbook Settings 2</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</si>
  <si>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t>
  </si>
  <si>
    <t>Workbook Settings 3</t>
  </si>
  <si>
    <t>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t>
  </si>
  <si>
    <t>Workbook Settings 4</t>
  </si>
  <si>
    <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</si>
  <si>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</si>
  <si>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t>
  </si>
  <si>
    <t>Workbook Settings 6</t>
  </si>
  <si>
    <t>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t>
  </si>
  <si>
    <t>Workbook Settings 7</t>
  </si>
  <si>
    <t>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t>
  </si>
  <si>
    <t>Workbook Settings 8</t>
  </si>
  <si>
    <t>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t>
  </si>
  <si>
    <t>Workbook Settings 9</t>
  </si>
  <si>
    <t>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t>
  </si>
  <si>
    <t>Workbook Settings 10</t>
  </si>
  <si>
    <t>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t>
  </si>
  <si>
    <t>Workbook Settings 11</t>
  </si>
  <si>
    <t>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t>
  </si>
  <si>
    <t>Workbook Settings 12</t>
  </si>
  <si>
    <t>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t>
  </si>
  <si>
    <t>Workbook Settings 13</t>
  </si>
  <si>
    <t>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t>
  </si>
  <si>
    <t>Workbook Settings 14</t>
  </si>
  <si>
    <t>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t>
  </si>
  <si>
    <t>Workbook Settings 15</t>
  </si>
  <si>
    <t>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t>
  </si>
  <si>
    <t>Workbook Settings 16</t>
  </si>
  <si>
    <t>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t>
  </si>
  <si>
    <t>Workbook Settings 17</t>
  </si>
  <si>
    <t>Workbook Settings 18</t>
  </si>
  <si>
    <t>Workbook Settings 19</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</si>
  <si>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</si>
  <si>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</si>
  <si>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</si>
  <si>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</si>
  <si>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</si>
  <si>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</si>
  <si>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</si>
  <si>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</si>
  <si>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</si>
  <si>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</si>
  <si>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</si>
  <si>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</si>
  <si>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</si>
  <si>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</si>
  <si>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</si>
  <si>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</si>
  <si>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</si>
  <si>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</si>
  <si>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UCIfypgNfXhTaHAQru-uUyxg</t>
  </si>
  <si>
    <t>UCXluBqiQge_RLYUebJShy8w</t>
  </si>
  <si>
    <t>UCwChU2l1801enAbBJJq2c0g</t>
  </si>
  <si>
    <t>UCAwNUJZntOgEy085kqcyyTg</t>
  </si>
  <si>
    <t>UCqCZk9JftPi0q4Ihsz27kDQ</t>
  </si>
  <si>
    <t>UCcPcpbjgONtEip-VGOdTjjQ</t>
  </si>
  <si>
    <t>UCSLzh_2e-fC7yrOAj39TAAw</t>
  </si>
  <si>
    <t>UCwSB6LON4E0a7yTaZxepNZA</t>
  </si>
  <si>
    <t>UC2LxcXUNLqPhJrjxhuQMT3w</t>
  </si>
  <si>
    <t>UCJCl1Qw-Uor9xnVdfuhcH0Q</t>
  </si>
  <si>
    <t>UC7rNPh7zNnIm-1yWgTKmYrw</t>
  </si>
  <si>
    <t>UC5f6Lx2sf0O43HKt0G5_4YA</t>
  </si>
  <si>
    <t>UC2m5BR47ai-hasWinpJQIrQ</t>
  </si>
  <si>
    <t>UC_k3eP9m8U3bW2ByWs3BRlg</t>
  </si>
  <si>
    <t>UC4NI7ilrRqfiK8xMUG1dZ0w</t>
  </si>
  <si>
    <t>UCEQkX3yQvmG-23u9b8lvmuw</t>
  </si>
  <si>
    <t>UCNpJn9ONNVoW_DGiP6khUFg</t>
  </si>
  <si>
    <t>UCzIbFH6UUwsRNVzmNkSUjiw</t>
  </si>
  <si>
    <t>UC4v9ixY7tjtvkKVlE8vXygQ</t>
  </si>
  <si>
    <t>UCR035xkdm31BkKQVhUyqB9g</t>
  </si>
  <si>
    <t>UCZjlaVgXMjuKH5ebn207-lQ</t>
  </si>
  <si>
    <t>UCgTNsNpvgKhJTjwXB7aU01w</t>
  </si>
  <si>
    <t>UCvE3AycU51EI-M1VKvfL2QA</t>
  </si>
  <si>
    <t>UCAjsfSZRjfSov7JeArnUf4Q</t>
  </si>
  <si>
    <t>UCHprdtYyCzc5-fcSNXCUd7A</t>
  </si>
  <si>
    <t>UCHwSZKulthy0a03ykIPVEOQ</t>
  </si>
  <si>
    <t>UCX49f7UWiH1B6rW18m9Rhlw</t>
  </si>
  <si>
    <t>UCemdRq8VR5OiophHxaKdFfA</t>
  </si>
  <si>
    <t>UChq4mVpPVEDxRxXtT-rBX1w</t>
  </si>
  <si>
    <t>UCQ2Lgfym1M6v50JEm5P7uJw</t>
  </si>
  <si>
    <t>UCS0bq3n9kirVOTorva8UKJg</t>
  </si>
  <si>
    <t>UCXoIkjZ6kQ_h-NIKNxbOseg</t>
  </si>
  <si>
    <t>UCWKJSLASMS7LgiWB0B3U3VA</t>
  </si>
  <si>
    <t>UCsZFWQYkG-slxqG0PSAeuDg</t>
  </si>
  <si>
    <t>UCcKWKoA7pGXi1W7BUZ2xsfg</t>
  </si>
  <si>
    <t>UCAW8PZ9dS-LxMtpgSGl6srg</t>
  </si>
  <si>
    <t>UCKeFH_4Fq0vPHhSr-GO7kgg</t>
  </si>
  <si>
    <t>UCnOEYCZM5jwEFOFP1NYz82A</t>
  </si>
  <si>
    <t>UCOG_T9dGhVa3Sf4ay-_ZLhA</t>
  </si>
  <si>
    <t>UCy8XLhlIl992JrAP2hgCscQ</t>
  </si>
  <si>
    <t>UC2TB_zzNN7L2i_WPEaWM-LQ</t>
  </si>
  <si>
    <t>UCjWUEivaRP01IGG5QFmYZBA</t>
  </si>
  <si>
    <t>UCg_EfW_2gQANwFQOUyaDa2g</t>
  </si>
  <si>
    <t>UCx54iSl43fUz1XysXN5bugg</t>
  </si>
  <si>
    <t>UCEVgc19AwijyWr7r4Ujk9LQ</t>
  </si>
  <si>
    <t>UCSJfXviTNs8Tce09VU_uAKw</t>
  </si>
  <si>
    <t>UCSqoJhY0KeLismXnsp2wbGg</t>
  </si>
  <si>
    <t>UCaXUE4Eg9DIxjSu3GuKHHJA</t>
  </si>
  <si>
    <t>UCZPWJbdvBBrMxnzF6FiKm_A</t>
  </si>
  <si>
    <t>UCNW4s2hXa_zbtclkv5hF0XA</t>
  </si>
  <si>
    <t>UCQ0xORuuU7Ym_BOdcC7oH1A</t>
  </si>
  <si>
    <t>UCrCIH0x2X9Nq-qc3OyNPLZQ</t>
  </si>
  <si>
    <t>UClAJGOLHfWZyl6ZKqLEnJHg</t>
  </si>
  <si>
    <t>UCy7nI1ISKSL4DabMq45Yzgg</t>
  </si>
  <si>
    <t>UClnojW-58I9WE8weIj_0J9A</t>
  </si>
  <si>
    <t>UCAT9SfyewrfIMlREAUYjJjA</t>
  </si>
  <si>
    <t>UCxnol9Dl-jD2QSEVc2EZxzg</t>
  </si>
  <si>
    <t>UCcR3lvb6rzItuTw9H5_I2TQ</t>
  </si>
  <si>
    <t>UCL1rU-jRwC0itTwpu9z7Lmg</t>
  </si>
  <si>
    <t>UCPb6pOgqpY3ye-z9595hDyA</t>
  </si>
  <si>
    <t>UCtojG0-YFF6E_STBkGB9GlA</t>
  </si>
  <si>
    <t>UCVWdrNV8bxniNzRsFK-sBtg</t>
  </si>
  <si>
    <t>UC0-aV8W_jMNPr6pkPHoHklA</t>
  </si>
  <si>
    <t>UCnr_NEU1KQ6uBsB0-pj7Z2Q</t>
  </si>
  <si>
    <t>UCzoCYX25FsK-ndwsTo_rNlw</t>
  </si>
  <si>
    <t>UCn6p8O-NWPYAAvZ5MUzK9zw</t>
  </si>
  <si>
    <t>UCWDyZ4tze7sg8PvKfBwjZ6w</t>
  </si>
  <si>
    <t>UCGiyitvsoE0mvDymzZTN55A</t>
  </si>
  <si>
    <t>UCB6idNRhVqMo-V57OKOa7uQ</t>
  </si>
  <si>
    <t>UCqmW71_NOWovrUsgcCsJoaA</t>
  </si>
  <si>
    <t>UC5c65XLWE2VC5GyFqnIwIsw</t>
  </si>
  <si>
    <t>UC3HQFQ3A1f7bOQ6Op3sO6VA</t>
  </si>
  <si>
    <t>UCwP0bxHg-8LXbS1QMYzhSRA</t>
  </si>
  <si>
    <t>UCN7DbIpJ94hcULRngZR-qRA</t>
  </si>
  <si>
    <t>UCYdODoJdVvDp-9z2mt6wgyQ</t>
  </si>
  <si>
    <t>UCUZeBEoKiTTz0pPp5pii-aw</t>
  </si>
  <si>
    <t>UCy4crOLyffyAStwBkGRO9hg</t>
  </si>
  <si>
    <t>UCdf__4wGpIoAJUxaHzh52Rg</t>
  </si>
  <si>
    <t>UCqTGL2iGxZBMK9l4EWPg1Ug</t>
  </si>
  <si>
    <t>UCXptVAEtFVNWoBYkirxhSHg</t>
  </si>
  <si>
    <t>UCYbcr3YlItwbRXxWJhXfPMQ</t>
  </si>
  <si>
    <t>UCF5ChGDslgBBC95Q2q_mqTA</t>
  </si>
  <si>
    <t>UCanNtkxGuVo8RHmoYXqQdPQ</t>
  </si>
  <si>
    <t>UCIRd_KLhNQWScj1-la439iw</t>
  </si>
  <si>
    <t>UCnkFrB1A-54rSDf1RYW_lnw</t>
  </si>
  <si>
    <t>UCsllZ-JGcQe1GqrWliTwIaQ</t>
  </si>
  <si>
    <t>UC7SBoanzWGOIY8cJm5N5XwQ</t>
  </si>
  <si>
    <t>UCfSRxcEYb7rjFKHXBw1O2dA</t>
  </si>
  <si>
    <t>UC8_oQ7TS8UBU5j1es2pvHHg</t>
  </si>
  <si>
    <t>UCnRYGBsqdgTYMJN96h4DoTQ</t>
  </si>
  <si>
    <t>UC3htKE-dyoJeXF-fZ7JS_jw</t>
  </si>
  <si>
    <t>UC7nIPfgorPJhL52Ne5qkn4Q</t>
  </si>
  <si>
    <t>UCMqj6PcNzNbrIBmmVl0yoag</t>
  </si>
  <si>
    <t>UCr8qF5f_vLyTxQe2fw02d8w</t>
  </si>
  <si>
    <t>UCh-2TKI04EBmj1G6P1OB6Pw</t>
  </si>
  <si>
    <t>UC1l0Bbv3upJ90bFKIfT2JCA</t>
  </si>
  <si>
    <t>UCaIeo4JpCmSTtmQfmfH4eAg</t>
  </si>
  <si>
    <t>UCD3JkquUUlOui749jhE6Mvg</t>
  </si>
  <si>
    <t>UCLj0oRJSMJlFtBvj2MqARiQ</t>
  </si>
  <si>
    <t>UC1aILpkji8MPAKECCmV6exQ</t>
  </si>
  <si>
    <t>UCjXQ1_b7RUp86iL0t4I4XrQ</t>
  </si>
  <si>
    <t>UCBWw8SH9UeJw3XQVEBJtQrA</t>
  </si>
  <si>
    <t>UCSFVipfASWh43ZpnFG3Alvg</t>
  </si>
  <si>
    <t>UCmtBrY48_j-28UhxzpxRVyg</t>
  </si>
  <si>
    <t>UCkoGhJVmkMOztmnzPa30EWA</t>
  </si>
  <si>
    <t>UCUUcUvc-YNLzYoX7ztHzLsw</t>
  </si>
  <si>
    <t>UC-MVjybu6gbAbIDiQosKimA</t>
  </si>
  <si>
    <t>UC6E4aPR3UIKueoV4Zv4vCeA</t>
  </si>
  <si>
    <t>UCgquf9LuuyNk4tYNC7gZKgg</t>
  </si>
  <si>
    <t>UCPO2vYJeMPUThpD2I7nA5KQ</t>
  </si>
  <si>
    <t>UChTJoaRW4cXLkDd7UQsILEw</t>
  </si>
  <si>
    <t>UCHmOPF4RgEpc7Cn_fQchGLw</t>
  </si>
  <si>
    <t>UCruo99Y6FBB2DcBuWKn4lsw</t>
  </si>
  <si>
    <t>UChDxGApugufXgdbkew0BHEA</t>
  </si>
  <si>
    <t>UCGG7n9NThURR_CUkef32Y9Q</t>
  </si>
  <si>
    <t>UCQpqRbnxeGP47QFTnpEkY8Q</t>
  </si>
  <si>
    <t>UCxWv4IME8TBjpAxZTkah88g</t>
  </si>
  <si>
    <t>UC_V7nOjrL1MJU2JZ-6wyrXg</t>
  </si>
  <si>
    <t>UCbieuM_WCd6wC0enOietzdQ</t>
  </si>
  <si>
    <t>UCchgbiZujU7ZKwdY5B2hoeA</t>
  </si>
  <si>
    <t>UCoIUMLg-qptX6fVqZEBPm-w</t>
  </si>
  <si>
    <t>UCZj8Z6LdulS3k7YTTxz6iUQ</t>
  </si>
  <si>
    <t>UCM1pkppQ37_C-W8vXINMqaA</t>
  </si>
  <si>
    <t>UC07-dOwgza1IguKA86jqxNA</t>
  </si>
  <si>
    <t>UCTl32ukBGG3FGRX7ZfZwVTw</t>
  </si>
  <si>
    <t>UCckWkzE1dVhYCtAVrs3sC0g</t>
  </si>
  <si>
    <t>UCpNnv_kL4Jk8YG_VflnZpmg</t>
  </si>
  <si>
    <t>UCCd0rkFRNPa06VAEmnEJTAg</t>
  </si>
  <si>
    <t>UCAmn8fQuS8x3TBLBRXr4QYQ</t>
  </si>
  <si>
    <t>Replied Comment</t>
  </si>
  <si>
    <t>Commented Video</t>
  </si>
  <si>
    <t>Posted Video</t>
  </si>
  <si>
    <t>Reply</t>
  </si>
  <si>
    <t>lol what?</t>
  </si>
  <si>
    <t>lmao wtf</t>
  </si>
  <si>
    <t>how to get height&lt;br&gt;tell me #1 height medicine company</t>
  </si>
  <si>
    <t>組織的犯罪集団は、東京都墨田区吾妻橋１－４－２に本部を置くESP科学研究所（代表　石井美津子）、株式会社イー・エス・ピーです。国際組織犯罪防止条約が発効されましたので、この会社とこの会社の関連施設を厳重に処罰してください。この会社がバイオテロリズムの組織的犯罪集団です。</t>
  </si>
  <si>
    <t>Emily gacha  vsid  anrddha   serey  wrent  bireti   cxan</t>
  </si>
  <si>
    <t>Emily gacha 2  yaers</t>
  </si>
  <si>
    <t>Nice knowledge</t>
  </si>
  <si>
    <t>Obviously, it’s the WHO.</t>
  </si>
  <si>
    <t>Excellent information _xD83D__xDC4D__xD83D__xDE0A_</t>
  </si>
  <si>
    <t>fuck online classes</t>
  </si>
  <si>
    <t>how can i download this video</t>
  </si>
  <si>
    <t>I understood it</t>
  </si>
  <si>
    <t>Useful video</t>
  </si>
  <si>
    <t>Nice video</t>
  </si>
  <si>
    <t>Me too!</t>
  </si>
  <si>
    <t>now I can distinguish comunicable disease and non comunicable disease</t>
  </si>
  <si>
    <t>Thank you, this video is very helpful to me :)</t>
  </si>
  <si>
    <t>hi top set people _xD83E__xDD23_</t>
  </si>
  <si>
    <t>Great Video!</t>
  </si>
  <si>
    <t>Bad video</t>
  </si>
  <si>
    <t>Good</t>
  </si>
  <si>
    <t>Lol</t>
  </si>
  <si>
    <t>Thank you mam</t>
  </si>
  <si>
    <t>Nice video _xD83D__xDCF7__xD83D__xDCF7__xD83D__xDCF7__xD83D__xDCF7__xD83D__xDCF7__xD83D__xDCF7__xD83D__xDCF7_</t>
  </si>
  <si>
    <t>L</t>
  </si>
  <si>
    <t>So right to say thanks to Doctor ojie on YouTube for helping terminate my herpes permanently, through is natural herbs medication.</t>
  </si>
  <si>
    <t>Hello thank you for this</t>
  </si>
  <si>
    <t>Finally I got cured of 4 years chronic lower respiratory disease, I&amp;#39;m now free ♥️♥️ ❤️ I appreciate Dr. Gbenga for his help.</t>
  </si>
  <si>
    <t>Thank you, for the explanation. This video is very useful</t>
  </si>
  <si>
    <t>Thanks</t>
  </si>
  <si>
    <t>This is awesome , great work.</t>
  </si>
  <si>
    <t>Hello</t>
  </si>
  <si>
    <t>Pagal</t>
  </si>
  <si>
    <t>Thank you! Help us to disseminate it!</t>
  </si>
  <si>
    <t>Stefanie Rimpel &lt;br&gt;Interesting topic, wow, follow this link to get more insights on this subject. &lt;br&gt;&lt;a href="https://gurudeseyesubai.org/hidden-causes-of-disease-3/"&gt;https://gurudeseyesubai.org/hidden-causes-of-disease-3/&lt;/a&gt;</t>
  </si>
  <si>
    <t>I love this video. Simple, yet informative! Thanks for sharing.</t>
  </si>
  <si>
    <t>Send an email to cayona@&lt;a href="http://paho.org/"&gt;paho.org&lt;/a&gt; and I will send it to you</t>
  </si>
  <si>
    <t>Can I download it from somewhere? I would like to use it to show to my medical students.</t>
  </si>
  <si>
    <t>&lt;a href="http://www.paho.org/nmh"&gt;www.paho.org/nmh&lt;/a&gt;</t>
  </si>
  <si>
    <t>More information required plz about chronic diseases prevention</t>
  </si>
  <si>
    <t>Wow good video I liked it because there were pictures</t>
  </si>
  <si>
    <t>it is the best lecture, deserved to be benefited</t>
  </si>
  <si>
    <t>We hired a company to do the video and worked with a designer.</t>
  </si>
  <si>
    <t>@Arantxa Cayón oo!!!_xD83D__xDE0A_</t>
  </si>
  <si>
    <t>@Arantxa Cayón for making a single 3min. Video we need a company....... So expensive nnaa_xD83E__xDD14_</t>
  </si>
  <si>
    <t>Awesome video !&lt;br&gt;What is the program you used to create these type of animation ?</t>
  </si>
  <si>
    <t>N</t>
  </si>
  <si>
    <t>yes me ;/</t>
  </si>
  <si>
    <t>Yep</t>
  </si>
  <si>
    <t>Homework? Anyone?</t>
  </si>
  <si>
    <t>Will like know what you learn from this too. Check the hidden causes of diseases. &lt;a href="https://gurudeseyesubai.org/hidden-causes-of-disease-3/"&gt;https://gurudeseyesubai.org/hidden-causes-of-disease-3/&lt;/a&gt;</t>
  </si>
  <si>
    <t>I love this video as well its highlight the main behavioral risk factors of NCD&amp;#39;s as well as the policy that should be put in place to deal with NCD&amp;#39;s which is getting more than 71% of all death worldwide. Thank you!!!</t>
  </si>
  <si>
    <t>Glad it did. Please see this too on some hidden causes &lt;a href="https://gurudeseyesubai.org/hidden-causes-of-disease-3/"&gt;https://gurudeseyesubai.org/hidden-causes-of-disease-3/&lt;/a&gt;</t>
  </si>
  <si>
    <t>Thank you. this video really helped me _xD83D__xDE0A_</t>
  </si>
  <si>
    <t>Thank you very much, the video is very helpful _xD83D__xDE0A_</t>
  </si>
  <si>
    <t>If higher taxes on junk food de-incentivizes people to partake of junk food, then what does raising income taxes do?</t>
  </si>
  <si>
    <t>So, the video is telling us that people are too stupid to make informed choices so the GOVERNMENT has to step in to FORCE people to comply through re-education, punitive taxation etc. What happens if people STILL want to have freewill? Gulags? &lt;br&gt;HOW VERY COMMUNIST!&lt;br&gt;Why not CUT taxes on people so they have more expendable INCOME, decrease corporate taxes and offer credits to employers to incentivize INCREASING employment numbers since people on government assistance are the MOST likely to make poor health choices?&lt;br&gt;Liberals would NEVER allow THAT!&lt;br&gt;That would take power/control over people&amp;#39;s lives away from from liberals by helping to make people economically independent by putting their lives and decisions in their OWN hands through economic independence and making MILLIONS of dependent people realize the detrimental effects excessive/punitive taxation has on citizens!&lt;br&gt;In America, the federal government only contributes about 10% to the local school budgets. BUT, the government holds MASSIVE sway over their policies because the schools have become dependent on the funds.&lt;br&gt;The schools probably spend 1/3-1/2 of the money they get just in compliance with federal regulations, but they are addicted to the money.&lt;br&gt;The SAME is true with people getting handout-it keeps them dependent which makes them COMPLIANT, just the way their communist overlords want them!</t>
  </si>
  <si>
    <t>Qatar airways India ltd Tel</t>
  </si>
  <si>
    <t>i like trains</t>
  </si>
  <si>
    <t>Me too _xD83D__xDE02__xD83D__xDE02_ , really it&amp;#39;s too funny so I gave u a like _xD83D__xDCAF__xD83D__xDC4D_</t>
  </si>
  <si>
    <t>Really it&amp;#39;s too funny _xD83D__xDE02__xD83D__xDE02__xD83D__xDE02_ so I gave u a like _xD83D__xDCAF__xD83D__xDC4D_, by the way my name is PRIYA</t>
  </si>
  <si>
    <t>I like this video because the pictures are very funny！_xD83D__xDE02__xD83D__xDE02__xD83D__xDE02_</t>
  </si>
  <si>
    <t>Thank you for this video. It&amp;#39;s very helpful.</t>
  </si>
  <si>
    <t>me</t>
  </si>
  <si>
    <t>Whos watching this during corona break</t>
  </si>
  <si>
    <t>go do your school work.</t>
  </si>
  <si>
    <t>Me</t>
  </si>
  <si>
    <t>@Kent Robinson make him lol</t>
  </si>
  <si>
    <t>from solon?</t>
  </si>
  <si>
    <t>Me _xD83E__xDD23_</t>
  </si>
  <si>
    <t>bro, how did u know?</t>
  </si>
  <si>
    <t>Wow_xD83E__xDD23__xD83E__xDD23_</t>
  </si>
  <si>
    <t>Me to</t>
  </si>
  <si>
    <t>My</t>
  </si>
  <si>
    <t>lol same</t>
  </si>
  <si>
    <t>Lmao me</t>
  </si>
  <si>
    <t>@Kent Robinson FUck off</t>
  </si>
  <si>
    <t>Mine did</t>
  </si>
  <si>
    <t>mmmeeeeeeeeeeee</t>
  </si>
  <si>
    <t>Love ur pfp</t>
  </si>
  <si>
    <t>Mine</t>
  </si>
  <si>
    <t>yup my teacher sent me to do this</t>
  </si>
  <si>
    <t>@Kent Robinson make me</t>
  </si>
  <si>
    <t>@the guy in the background Gameing haha nice</t>
  </si>
  <si>
    <t>@Dominic’s World _xD83D__xDE0E_</t>
  </si>
  <si>
    <t>@J. NVTN i have eyes everywhere _xD83D__xDC40_</t>
  </si>
  <si>
    <t>science teacher. for me</t>
  </si>
  <si>
    <t>my teacher sent me in google classrom</t>
  </si>
  <si>
    <t>Yes bro</t>
  </si>
  <si>
    <t>who else&amp;#39;s health teacher sent them this video in Google Classroom to watch it?</t>
  </si>
  <si>
    <t>Interesting topic, wow, follow this link to get more insights on this subject. &lt;br&gt;&lt;a href="https://gurudeseyesubai.org/hidden-causes-of-disease-3/"&gt;https://gurudeseyesubai.org/hidden-causes-of-disease-3/&lt;/a&gt;</t>
  </si>
  <si>
    <t>hey nice  vedio</t>
  </si>
  <si>
    <t>Thanks to explain _xD83D__xDE0A_</t>
  </si>
  <si>
    <t>Meee</t>
  </si>
  <si>
    <t>My teacher</t>
  </si>
  <si>
    <t>HOLY FUCK THIS SUCKS</t>
  </si>
  <si>
    <t>Who else got sent here from Google classroom ik THIS FUCKING SUCKS ASS</t>
  </si>
  <si>
    <t>_xD83D__xDC4E__xD83D__xDC4E__xD83D__xDC4E__xD83D__xDC4E__xD83D__xDC4E__xD83D__xDC4E__xD83D__xDC4E__xD83D__xDC4E__xD83D__xDC4E__xD83C__xDFFB_ like this if you love English</t>
  </si>
  <si>
    <t>Yeah</t>
  </si>
  <si>
    <t>I know this is  comment is old but help.....</t>
  </si>
  <si>
    <t>science teacher...</t>
  </si>
  <si>
    <t>@AriesChic Pinder with the assignment?</t>
  </si>
  <si>
    <t>Me hahah</t>
  </si>
  <si>
    <t>Who’s here because of health class?</t>
  </si>
  <si>
    <t>I like it</t>
  </si>
  <si>
    <t>mamniceteachingmam thanksmam</t>
  </si>
  <si>
    <t>super video very helpful</t>
  </si>
  <si>
    <t>thanks</t>
  </si>
  <si>
    <t>_xD83E__xDD13_</t>
  </si>
  <si>
    <t>Tnx yar for telling us,but it has no use to me but again THANK YOU _xD83D__xDE0A_</t>
  </si>
  <si>
    <t>If he can cure als then why didn&amp;#39;t he save Stephen Hawkings?</t>
  </si>
  <si>
    <t>@mͥสyͣuͫkhツ Ghøsh a lot of people don&amp;#39;t know about this great herbalist in africa, have Cure all kinds of disease</t>
  </si>
  <si>
    <t>I have been suffering from Herpes for the past 3 years and 8 months, and ever since then i have been taking series of treatment but there was no improvement until i came across testimonies of Dr odion on how he has been curing different people from different diseases all over the world, then i contacted him as well. After our conversation he sent me the medicine which i took according to his instructions. When i was done taking the herbal medicine i went for a medical checkup and to my greatest surprise i was cured from Herpes. My heart is so filled with joy. If you are suffering from Herpes or any other disease you can contact Dr Odion today on this email:drodionherbalhome12@&lt;a href="http://gmail.com/"&gt;gmail.com&lt;/a&gt; WhatsApp him on this Number +234 9019421176 Dr odion cures:&lt;br&gt;1. HIV / AIDS&lt;br&gt;2. HERPES 1/2&lt;br&gt;3. CANCER&lt;br&gt;4. ALS (Lou Gehrig&amp;#39;s disease)&lt;br&gt;5. Hepatitis B&lt;br&gt;6. chronici pancreatic&lt;br&gt;7. emphysema&lt;br&gt;8. COPD (chronic obstructive pulmonary disease</t>
  </si>
  <si>
    <t>Yo who is in my class right now watching this video. Reply to me</t>
  </si>
  <si>
    <t>nice teaching</t>
  </si>
  <si>
    <t>Nic</t>
  </si>
  <si>
    <t>Nice</t>
  </si>
  <si>
    <t>good video.</t>
  </si>
  <si>
    <t>I love these  video</t>
  </si>
  <si>
    <t>Who else&amp;#39;s healt teacher making u watch this</t>
  </si>
  <si>
    <t>Jzjsjs</t>
  </si>
  <si>
    <t>Hmm</t>
  </si>
  <si>
    <t>I like it for aaral</t>
  </si>
  <si>
    <t>btw why do they think it is easy to make one of the most profitible things just be replaced?</t>
  </si>
  <si>
    <t>&amp;quot;Country`s of the americas...&amp;quot; ~ The narrator of that video</t>
  </si>
  <si>
    <t>&lt;a href="https://www.youtube.com/watch?v=fK1_SH3X2ek&amp;amp;t=2m13s"&gt;2:13&lt;/a&gt; try telling that to us government!</t>
  </si>
  <si>
    <t>nO helP meeew</t>
  </si>
  <si>
    <t>I was forced to watch this because of my health teacher. help.</t>
  </si>
  <si>
    <t>Hi</t>
  </si>
  <si>
    <t>How else are watching this video because of exams _xD83D__xDC69_‍_xD83D__xDCBB_</t>
  </si>
  <si>
    <t>Same bro</t>
  </si>
  <si>
    <t>My teacher sent me this in google classroom</t>
  </si>
  <si>
    <t>Yo this is for a kid named Daniel Reply now</t>
  </si>
  <si>
    <t>same video was shown in my classrom</t>
  </si>
  <si>
    <t>you can be our teacher?</t>
  </si>
  <si>
    <t>Who&amp;#39;s health teacher forced you to watch this?</t>
  </si>
  <si>
    <t>hi classmates</t>
  </si>
  <si>
    <t>&amp;quot;this is the great epidemic of our age&amp;quot;&lt;br&gt;that would be the.....nevermind</t>
  </si>
  <si>
    <t>I disliked the video &amp;gt;:)</t>
  </si>
  <si>
    <t>Same</t>
  </si>
  <si>
    <t>My teacher is making me watch this</t>
  </si>
  <si>
    <t>My Springdales teacher send me this in Google classroom</t>
  </si>
  <si>
    <t>Thanks sir bhot acha btaya mere mama bhi kafi time sai hairfall ki samsaya sai suffer kr rhe thai and humne sab tarah ki medicines li aur test krwae magar kuch kam nahi aya phir hum ko kisi ne Ayurvedic medicine ka btaya jo hmne Planet Ayurveda sai mangvaya and unki davie lene k baad meri mama k bal bhi achey hogye hai… planet Ayurveda ka Thanks !!</t>
  </si>
  <si>
    <t>I have to watch this for health class and I got nothing from it</t>
  </si>
  <si>
    <t>Did this make you wonder how some boring moves and postures can improve our health? Yoga and natural remedies from planet ayurveda helps lifestyle diseases.</t>
  </si>
  <si>
    <t>english is fun</t>
  </si>
  <si>
    <t>MockALove</t>
  </si>
  <si>
    <t>Arrianah</t>
  </si>
  <si>
    <t>Aryan Hussain 499</t>
  </si>
  <si>
    <t>kigakome</t>
  </si>
  <si>
    <t>anurudda Pradeep</t>
  </si>
  <si>
    <t>Emily gacha</t>
  </si>
  <si>
    <t>Jacey Duane Aldaba</t>
  </si>
  <si>
    <t>Keerti Chaurasiya</t>
  </si>
  <si>
    <t>rvm</t>
  </si>
  <si>
    <t>prudence pineda</t>
  </si>
  <si>
    <t>nandini kore</t>
  </si>
  <si>
    <t>Lka Ajith</t>
  </si>
  <si>
    <t>vaishali sasane</t>
  </si>
  <si>
    <t>SkippyUnicorn</t>
  </si>
  <si>
    <t>Sigek Wedar</t>
  </si>
  <si>
    <t>Rezitha Devia</t>
  </si>
  <si>
    <t>kami uses rinnegan</t>
  </si>
  <si>
    <t>Ethan Waire</t>
  </si>
  <si>
    <t>nee</t>
  </si>
  <si>
    <t>Ayush Singh</t>
  </si>
  <si>
    <t>SteveNathn</t>
  </si>
  <si>
    <t>Saswati Ghosh Roy</t>
  </si>
  <si>
    <t>Jenine Grant</t>
  </si>
  <si>
    <t>Prem Kumar</t>
  </si>
  <si>
    <t>Jeffery West</t>
  </si>
  <si>
    <t>Study First Instrumental Music TV</t>
  </si>
  <si>
    <t>William Henry</t>
  </si>
  <si>
    <t>rekamega Sari</t>
  </si>
  <si>
    <t>Piera Phiri</t>
  </si>
  <si>
    <t>NORBERT DUKUZE</t>
  </si>
  <si>
    <t>Red Malabanan</t>
  </si>
  <si>
    <t>Neeru Dubey</t>
  </si>
  <si>
    <t>Arantxa Cayón</t>
  </si>
  <si>
    <t>chinaenye obicheta</t>
  </si>
  <si>
    <t>Stefanie Rimpel</t>
  </si>
  <si>
    <t>Abhinav Vaidya</t>
  </si>
  <si>
    <t>Nirajan Pradhan</t>
  </si>
  <si>
    <t>Jsh White</t>
  </si>
  <si>
    <t>Assad Africa</t>
  </si>
  <si>
    <t>Sarita Devi</t>
  </si>
  <si>
    <t>Moaz Yahia</t>
  </si>
  <si>
    <t>GODLIKE mactal</t>
  </si>
  <si>
    <t>natalia.</t>
  </si>
  <si>
    <t>Mia_ _Roses</t>
  </si>
  <si>
    <t>Jake Balls</t>
  </si>
  <si>
    <t>Ayodeji Olopade</t>
  </si>
  <si>
    <t>Benjamin Tuyitegereze</t>
  </si>
  <si>
    <t>Duratusyifah</t>
  </si>
  <si>
    <t>Vhyrafhellianty Vhyra</t>
  </si>
  <si>
    <t>Sensei</t>
  </si>
  <si>
    <t>Fatima Mehdi</t>
  </si>
  <si>
    <t>Noor Patel</t>
  </si>
  <si>
    <t>missunun</t>
  </si>
  <si>
    <t>Aiza Tibon</t>
  </si>
  <si>
    <t>mystkmyke</t>
  </si>
  <si>
    <t>Ashley H</t>
  </si>
  <si>
    <t>Kent Robinson</t>
  </si>
  <si>
    <t>kai fite</t>
  </si>
  <si>
    <t>the guy in the background Gameing</t>
  </si>
  <si>
    <t>Max Force</t>
  </si>
  <si>
    <t>Angela Oakley</t>
  </si>
  <si>
    <t>J. NVTN</t>
  </si>
  <si>
    <t>CHANA</t>
  </si>
  <si>
    <t>Julee Das</t>
  </si>
  <si>
    <t>Yuvraj Prasad</t>
  </si>
  <si>
    <t>Addi Ifill</t>
  </si>
  <si>
    <t>Cheese</t>
  </si>
  <si>
    <t>m18 87</t>
  </si>
  <si>
    <t>That's Interesting.</t>
  </si>
  <si>
    <t>Elliot and friends</t>
  </si>
  <si>
    <t>Synth Vipex Xx</t>
  </si>
  <si>
    <t>Static Screen</t>
  </si>
  <si>
    <t>Shakiera Clarke</t>
  </si>
  <si>
    <t>aashray bhattad</t>
  </si>
  <si>
    <t>Armando Urizar</t>
  </si>
  <si>
    <t>Andrew’s What if’s</t>
  </si>
  <si>
    <t>reese teves</t>
  </si>
  <si>
    <t>my account is gone</t>
  </si>
  <si>
    <t>Colten Pearson</t>
  </si>
  <si>
    <t>Pro 1234</t>
  </si>
  <si>
    <t>Hamza Daaboul</t>
  </si>
  <si>
    <t>Edward Copeland</t>
  </si>
  <si>
    <t>MARIA ASHNA KUMAR</t>
  </si>
  <si>
    <t>Sarita Rathord</t>
  </si>
  <si>
    <t>Zacharie-Kyle Percil</t>
  </si>
  <si>
    <t>animated life</t>
  </si>
  <si>
    <t>Tanu Sharma</t>
  </si>
  <si>
    <t>AriesChic Pinder</t>
  </si>
  <si>
    <t>Arielle kouadio</t>
  </si>
  <si>
    <t>GREENWH33L_YT</t>
  </si>
  <si>
    <t>Rebika Sangma</t>
  </si>
  <si>
    <t>Vishanth R</t>
  </si>
  <si>
    <t>Yokanantha Babu</t>
  </si>
  <si>
    <t>Shlesha Maniar</t>
  </si>
  <si>
    <t>ishaan mafia</t>
  </si>
  <si>
    <t>mͥสyͣuͫkhツ Ghøsh</t>
  </si>
  <si>
    <t>Eric</t>
  </si>
  <si>
    <t>Saad ElHayani</t>
  </si>
  <si>
    <t>ALDEN JOSIAH FERNANDES CLASS VI</t>
  </si>
  <si>
    <t>Sushila Kullu</t>
  </si>
  <si>
    <t>renuka pulchand</t>
  </si>
  <si>
    <t>Rahul Wankhede</t>
  </si>
  <si>
    <t>Yomanzzz</t>
  </si>
  <si>
    <t>Dark Gaming</t>
  </si>
  <si>
    <t>Aida Batac</t>
  </si>
  <si>
    <t>Gerald rogers</t>
  </si>
  <si>
    <t>Ryan McNeish</t>
  </si>
  <si>
    <t>FuriousShadow</t>
  </si>
  <si>
    <t>Error404</t>
  </si>
  <si>
    <t>Hana Tesfaye</t>
  </si>
  <si>
    <t>Kabita Devi</t>
  </si>
  <si>
    <t>Agent 190</t>
  </si>
  <si>
    <t>Aster Sanchez</t>
  </si>
  <si>
    <t>Collen</t>
  </si>
  <si>
    <t>Lander</t>
  </si>
  <si>
    <t>Radcliff Alabas</t>
  </si>
  <si>
    <t>Shadei</t>
  </si>
  <si>
    <t>s!mp_ chXn</t>
  </si>
  <si>
    <t>Bhavya Show</t>
  </si>
  <si>
    <t>Jagraj Singh</t>
  </si>
  <si>
    <t>Hamm SlayDog</t>
  </si>
  <si>
    <t>Sheetal Kataria</t>
  </si>
  <si>
    <t>JACEK DEPTUŁA</t>
  </si>
  <si>
    <t>Ugznj2-Nn7VaV6DAV0B4AaABAg</t>
  </si>
  <si>
    <t>UgwPucVAFEnNFxsrUrB4AaABAg</t>
  </si>
  <si>
    <t>UgzpYEHoXQHqlDzsetN4AaABAg</t>
  </si>
  <si>
    <t>UgxBk7VUoGkrZfkPX0B4AaABAg</t>
  </si>
  <si>
    <t>UggoXkmDIiEgSXgCoAEC</t>
  </si>
  <si>
    <t>UggMiaxZXEjAJ3gCoAEC</t>
  </si>
  <si>
    <t>UgzsBOx3ON05WwMmKCB4AaABAg</t>
  </si>
  <si>
    <t>Ugzdfrj9iCuNCxVrD3x4AaABAg</t>
  </si>
  <si>
    <t>UgzcrnK1kYFF4lIFFQV4AaABAg</t>
  </si>
  <si>
    <t>UgymxjBLREbCQqGfWjF4AaABAg</t>
  </si>
  <si>
    <t>UgzuhkDCWMOYFsNx9td4AaABAg</t>
  </si>
  <si>
    <t>UgypyQddKYvS8PkQG9l4AaABAg</t>
  </si>
  <si>
    <t>UgyG7pkw3_qD3XIySHd4AaABAg</t>
  </si>
  <si>
    <t>Ugygkm6YzbwbNe-n9tt4AaABAg</t>
  </si>
  <si>
    <t>Ugya1inrWUvvHowJAI94AaABAg</t>
  </si>
  <si>
    <t>Ugyy5RKSoMWxigwH-yx4AaABAg</t>
  </si>
  <si>
    <t>UgwDKLGFaQ5vIofNRo54AaABAg</t>
  </si>
  <si>
    <t>Ugy9rNk_rG2uiOPdzyh4AaABAg</t>
  </si>
  <si>
    <t>Ugzk2T4uEJtYGd9zIEZ4AaABAg</t>
  </si>
  <si>
    <t>UgzY3vImspwDUTKOFx94AaABAg</t>
  </si>
  <si>
    <t>UgyltWU6FV2kpylekn14AaABAg</t>
  </si>
  <si>
    <t>MWk8XJWEiO4</t>
  </si>
  <si>
    <t>uGHwpg-fJvc</t>
  </si>
  <si>
    <t>lruYVSGcxHs</t>
  </si>
  <si>
    <t>fK1_SH3X2ek</t>
  </si>
  <si>
    <t>eoRbJqpWwo0</t>
  </si>
  <si>
    <t>voM51OT9XVs</t>
  </si>
  <si>
    <t>X2WiIHZZfTU</t>
  </si>
  <si>
    <t>none</t>
  </si>
  <si>
    <t xml:space="preserve"> https://gurudeseyesubai.org/hidden-causes-of-disease-3/ https://gurudeseyesubai.org/hidden-causes-of-disease-3/</t>
  </si>
  <si>
    <t xml:space="preserve"> http://paho.org/</t>
  </si>
  <si>
    <t xml:space="preserve"> http://www.paho.org/nmh</t>
  </si>
  <si>
    <t xml:space="preserve"> http://gmail.com/</t>
  </si>
  <si>
    <t xml:space="preserve"> https://www.youtube.com/watch?v=fK1_SH3X2ek&amp;amp;t=2m13s</t>
  </si>
  <si>
    <t>gurudeseyesubai.org gurudeseyesubai.org</t>
  </si>
  <si>
    <t>paho.org</t>
  </si>
  <si>
    <t>gmail.com</t>
  </si>
  <si>
    <t>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</si>
  <si>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</si>
  <si>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</si>
  <si>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</si>
  <si>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</si>
  <si>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</si>
  <si>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</si>
  <si>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</si>
  <si>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</si>
  <si>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</si>
  <si>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</si>
  <si>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</si>
  <si>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</si>
  <si>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</si>
  <si>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</si>
  <si>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World Health Organization (WHO)</t>
  </si>
  <si>
    <t>Florida PASS Program</t>
  </si>
  <si>
    <t>PAHO TV</t>
  </si>
  <si>
    <t>acmedsci</t>
  </si>
  <si>
    <t>WoodrowWilsonCenter</t>
  </si>
  <si>
    <t>Women Deliver</t>
  </si>
  <si>
    <t>The official public health information Youtube channel of the World Health Organization (WHO)  
WHO Mission: Providing leadership on global health matters - Shaping the health research agenda - Setting norms and standards - Articulating evidence-based policy options -  Providing technical support to countries and monitoring - Assessing health trends. WHO has six regional offices and 147 country offices.
WHO reserves the right to delete comments that are: offensive or abusive, including aggressing a third-party organization or individual; containing anger, hate and/or violence; containing personal defamatory; ; considered as third-party promotion or marketing; including links to third-party web sites; spamming the conversations; inappropriately long; containing personal information, such as names, addresses, e-mail addresses or phone numbers; are out of context of the post on which they were posted;</t>
  </si>
  <si>
    <t>A boiling pot of cars, fun, and unnecessary opinions.</t>
  </si>
  <si>
    <t>Hi Everyone!
Follow me on instagram~
@just__kaylie (DailyPotato's OC)
@yokichuu</t>
  </si>
  <si>
    <t>Do your best and forget the rest</t>
  </si>
  <si>
    <t>Please subscribe i’m trying to get subs.(2)</t>
  </si>
  <si>
    <t>Video tutorials for Florida PASS Program courses.</t>
  </si>
  <si>
    <t xml:space="preserve">Hello! I'm SkippyUnicorn.
I am going to post roblox content for you all to enjoy, i might also make other contents but mostly its gonna be roblox.
Make sure your subscribed to me cus you should be C;
I love playing roblox and i want to share my experiances with you all :)
</t>
  </si>
  <si>
    <t>Hello everyone! This YouTube channel showcases almost purely gaming content, mostly Nintendo-oriented. I play a variety of games on a variety of consoles. Occasionally you might find me doing a podcast, game demos, unboxings, and even more in addition to what you see in this list. I would appreciate if you subscribed to me, it would mean a lot!
Current Series:
-   Mega Man X Highlights Blind LP (on pause)
Completed series:
-   Mario Kart 8 LP
-   MK8 Deluxe Battle Mode LP
-   New Super Mario Bros. U &amp; Luigi U 100%
-   DKC: Tropical Freeze 100% w/ Funky Kong
-   Mario Kart: Double Dash!! LP
-   Super Mario 64 100%
-   NSMB Speedrun Collab
-   Subspace Emissary Blind LP
-   Paper Mario: TTYD LP
-   Captain Toad: Treasure Tracker 100%
-   Super Paper Mario LP
Channel Art based off of work by Rjk0606.</t>
  </si>
  <si>
    <t xml:space="preserve">Video Lessons for MAPEH Junior High School
No copyright Music for Blogs
</t>
  </si>
  <si>
    <t>Testimonios de la vida cotidiana</t>
  </si>
  <si>
    <t>Public Service Announcements (PSAs) and other videos from the Pan American Health Organization, the oldest continuously functioning Public Health organization in the world, and regional office for the Americas of the World Health Organization.</t>
  </si>
  <si>
    <t>All my channel is about entertainment</t>
  </si>
  <si>
    <t>Ali Aar</t>
  </si>
  <si>
    <t>TANWER'S FAMILY _xD83D__xDC68_‍_xD83D__xDC68_‍_xD83D__xDC67_‍_xD83D__xDC66_</t>
  </si>
  <si>
    <t>MUHAMMAD HASSAN GAMER</t>
  </si>
  <si>
    <t xml:space="preserve"> i make videos .</t>
  </si>
  <si>
    <t>Hey guys
subscribe pleasee _xD83D__xDC49__xD83D__xDC48_ _xD83D__xDE05__xD83D__xDE05_</t>
  </si>
  <si>
    <t>Plz sub</t>
  </si>
  <si>
    <t>Hi I want to be cool plus I will try to make my videos appropriate so all  can watch. No walls in my videos</t>
  </si>
  <si>
    <t>Place a dispenser here
https://www.youtube.com/watch?v=dgUbRpdUN1w</t>
  </si>
  <si>
    <t>I am me...</t>
  </si>
  <si>
    <t>“e”</t>
  </si>
  <si>
    <t>I-</t>
  </si>
  <si>
    <t>Hello! Elliot and friends here! you will se videos in my channel mostly about Godzilla, Siren head , Roblox , Speedpaints maybe some Minecraft and more! You will be expecting a voice reveal at around 100 subscribers and face reveal around 250. I'll make video's maybe daily or weekly it will be more both for example Monday, Wednesday, Friday, Sunday. Or Tuesday, Thursday, Saturday. I'll me working on that type of schedule for the weeks and different videos each week so stay tuned for more videos! Hope to see you in another video! See ya later!</t>
  </si>
  <si>
    <t>Thank you for everyone who clicks on my
Video</t>
  </si>
  <si>
    <t xml:space="preserve">My upload schedule is a mess, I'm so sorry 
If you ever wanna talk I'm here!
He/they
Surprise shawty guess whose back </t>
  </si>
  <si>
    <t>Behold of spirits!!!!</t>
  </si>
  <si>
    <t>On this channel we have a fun time :D</t>
  </si>
  <si>
    <t xml:space="preserve">Krishna </t>
  </si>
  <si>
    <t>When I play games, I go into a new world!</t>
  </si>
  <si>
    <t>No videos yet but soon there will be. And if you sub you will be told my other channel.</t>
  </si>
  <si>
    <t xml:space="preserve">This is only for my friend's </t>
  </si>
  <si>
    <t>Bahamian| Single mother to an angel| God first☝️</t>
  </si>
  <si>
    <t>like and sub to me for some tuff clips</t>
  </si>
  <si>
    <t xml:space="preserve">Haha welcome. Im verey dum and sutpid. Also Asian and viet. </t>
  </si>
  <si>
    <t>_xD83E__xDD97_</t>
  </si>
  <si>
    <t>Current wins 10 road to 100!</t>
  </si>
  <si>
    <t>Why are you here. I have no vids stop subscribing to me</t>
  </si>
  <si>
    <t>yoooo whats poppin? cool me too I make videos sometimes and you better like them cuz if you don't you're not gonna like the outcome... (I will be very sad ) :(</t>
  </si>
  <si>
    <t>We are the independent body in the UK representing the diversity of medical science. Our mission is to advance biomedical and health research and its translation into benefits for society.
We are working to secure a future in which:
- UK and global health is improved by the best research.
- The UK leads the world in biomedical and health research, and is renowned for the quality of its research outputs, talent and collaborations.
- Independent, high quality medical science advice informs the decisions that affect society.
- More people have a say in the future of health and research.</t>
  </si>
  <si>
    <t>The Woodrow Wilson International Center for Scholars provides a strictly nonpartisan space for the worlds of policymaking and scholarship to interact. By conducting relevant and timely research and promoting dialogue from all perspectives, it works to address the critical current and emerging challenges confronting the United States and the world.</t>
  </si>
  <si>
    <t>Women Deliver believes that when the world invests in girls and women, everybody wins.
As a leading global advocate for girls’ and women’s health, right, and wellbeing, Women Deliver catalyzes action by bringing together diverse voices and interests to drive progress, with a particular focus on maternal, sexual, and reproductive health and rights.</t>
  </si>
  <si>
    <t>CIERPLIWIE
ciekawe, czy kółka kręcące się samochodu(!) odwrotnie będą za 1000 lat postrzegane</t>
  </si>
  <si>
    <t>who</t>
  </si>
  <si>
    <t>mykhaylokosykh</t>
  </si>
  <si>
    <t>floridapassorg</t>
  </si>
  <si>
    <t>stevenathn</t>
  </si>
  <si>
    <t>pahotv</t>
  </si>
  <si>
    <t>abhinavvaidya</t>
  </si>
  <si>
    <t>sayaastudios</t>
  </si>
  <si>
    <t>Open Channel URL in Browser</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</si>
  <si>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</si>
  <si>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</si>
  <si>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</si>
  <si>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</si>
  <si>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</si>
  <si>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</si>
  <si>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</si>
  <si>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</si>
  <si>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</si>
  <si>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</si>
  <si>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</si>
  <si>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</si>
  <si>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</si>
  <si>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</si>
  <si>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</si>
  <si>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</si>
  <si>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</si>
  <si>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</si>
  <si>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</si>
  <si>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</si>
  <si>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</si>
  <si>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</si>
  <si>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</si>
  <si>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</si>
  <si>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</si>
  <si>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</si>
  <si>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</si>
  <si>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</si>
  <si>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</si>
  <si>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</si>
  <si>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</si>
  <si>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</si>
  <si>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</si>
  <si>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</si>
  <si>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</si>
  <si>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</si>
  <si>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</si>
  <si>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disease</t>
  </si>
  <si>
    <t>teacher</t>
  </si>
  <si>
    <t>people</t>
  </si>
  <si>
    <t>org</t>
  </si>
  <si>
    <t>hidden</t>
  </si>
  <si>
    <t>like</t>
  </si>
  <si>
    <t>gurudeseyesubai</t>
  </si>
  <si>
    <t>health</t>
  </si>
  <si>
    <t>nice</t>
  </si>
  <si>
    <t>google</t>
  </si>
  <si>
    <t>help</t>
  </si>
  <si>
    <t>love</t>
  </si>
  <si>
    <t>herpes</t>
  </si>
  <si>
    <t>government</t>
  </si>
  <si>
    <t>diseases</t>
  </si>
  <si>
    <t>medicine</t>
  </si>
  <si>
    <t>classroom</t>
  </si>
  <si>
    <t>great</t>
  </si>
  <si>
    <t>good</t>
  </si>
  <si>
    <t>dr</t>
  </si>
  <si>
    <t>helpful</t>
  </si>
  <si>
    <t>lol</t>
  </si>
  <si>
    <t>wow</t>
  </si>
  <si>
    <t>taxes</t>
  </si>
  <si>
    <t>paho</t>
  </si>
  <si>
    <t>planet</t>
  </si>
  <si>
    <t>ayurveda</t>
  </si>
  <si>
    <t>class</t>
  </si>
  <si>
    <t>sai</t>
  </si>
  <si>
    <t>send</t>
  </si>
  <si>
    <t>watching</t>
  </si>
  <si>
    <t>odion</t>
  </si>
  <si>
    <t>well</t>
  </si>
  <si>
    <t>chronic</t>
  </si>
  <si>
    <t>telling</t>
  </si>
  <si>
    <t>bro</t>
  </si>
  <si>
    <t>fuck</t>
  </si>
  <si>
    <t>kent</t>
  </si>
  <si>
    <t>robinson</t>
  </si>
  <si>
    <t>funny</t>
  </si>
  <si>
    <t>dependent</t>
  </si>
  <si>
    <t>company</t>
  </si>
  <si>
    <t>natural</t>
  </si>
  <si>
    <t>btaya</t>
  </si>
  <si>
    <t>mama</t>
  </si>
  <si>
    <t>bhi</t>
  </si>
  <si>
    <t>ki</t>
  </si>
  <si>
    <t>ka</t>
  </si>
  <si>
    <t>forced</t>
  </si>
  <si>
    <t>classrom</t>
  </si>
  <si>
    <t>right</t>
  </si>
  <si>
    <t>reply</t>
  </si>
  <si>
    <t>cure</t>
  </si>
  <si>
    <t>suffering</t>
  </si>
  <si>
    <t>world</t>
  </si>
  <si>
    <t>medical</t>
  </si>
  <si>
    <t>cured</t>
  </si>
  <si>
    <t>email</t>
  </si>
  <si>
    <t>gmail</t>
  </si>
  <si>
    <t>science</t>
  </si>
  <si>
    <t>english</t>
  </si>
  <si>
    <t>sucks</t>
  </si>
  <si>
    <t>lmao</t>
  </si>
  <si>
    <t>school</t>
  </si>
  <si>
    <t>work</t>
  </si>
  <si>
    <t>pictures</t>
  </si>
  <si>
    <t>choices</t>
  </si>
  <si>
    <t>punitive</t>
  </si>
  <si>
    <t>taxation</t>
  </si>
  <si>
    <t>communist</t>
  </si>
  <si>
    <t>income</t>
  </si>
  <si>
    <t>liberals</t>
  </si>
  <si>
    <t>lives</t>
  </si>
  <si>
    <t>helping</t>
  </si>
  <si>
    <t>federal</t>
  </si>
  <si>
    <t>schools</t>
  </si>
  <si>
    <t>money</t>
  </si>
  <si>
    <t>junk</t>
  </si>
  <si>
    <t>food</t>
  </si>
  <si>
    <t>ncd</t>
  </si>
  <si>
    <t>arantxa</t>
  </si>
  <si>
    <t>cayón</t>
  </si>
  <si>
    <t>awesome</t>
  </si>
  <si>
    <t>information</t>
  </si>
  <si>
    <t>nmh</t>
  </si>
  <si>
    <t>download</t>
  </si>
  <si>
    <t>interesting</t>
  </si>
  <si>
    <t>topic</t>
  </si>
  <si>
    <t>link</t>
  </si>
  <si>
    <t>insights</t>
  </si>
  <si>
    <t>subject</t>
  </si>
  <si>
    <t>useful</t>
  </si>
  <si>
    <t>comunicable</t>
  </si>
  <si>
    <t>emily</t>
  </si>
  <si>
    <t>gacha</t>
  </si>
  <si>
    <t>height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</si>
  <si>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</si>
  <si>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</si>
  <si>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</si>
  <si>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</si>
  <si>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</si>
  <si>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</si>
  <si>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</si>
  <si>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</si>
  <si>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</si>
  <si>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</si>
  <si>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</si>
  <si>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</si>
  <si>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</si>
  <si>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</si>
  <si>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</si>
  <si>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</si>
  <si>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</si>
  <si>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</si>
  <si>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</si>
  <si>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</si>
  <si>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</si>
  <si>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</si>
  <si>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</si>
  <si>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</si>
  <si>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</si>
  <si>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</si>
  <si>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</si>
  <si>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</si>
  <si>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</si>
  <si>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</si>
  <si>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</si>
  <si>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</si>
  <si>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</si>
  <si>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</si>
  <si>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</si>
  <si>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</si>
  <si>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</si>
  <si>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</si>
  <si>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</si>
  <si>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</si>
  <si>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</si>
  <si>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</si>
  <si>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</si>
  <si>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</si>
  <si>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</si>
  <si>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</si>
  <si>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</si>
  <si>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</si>
  <si>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</si>
  <si>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</si>
  <si>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</si>
  <si>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</si>
  <si>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</si>
  <si>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</si>
  <si>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</si>
  <si>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</si>
  <si>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</si>
  <si>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</si>
  <si>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</si>
  <si>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</si>
  <si>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</si>
  <si>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</si>
  <si>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</si>
  <si>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Comment in Entire Graph</t>
  </si>
  <si>
    <t>https://gurudeseyesubai.org/hidden-causes-of-disease-3/</t>
  </si>
  <si>
    <t>http://gmail.com/</t>
  </si>
  <si>
    <t>https://www.youtube.com/watch?v=fK1_SH3X2ek&amp;amp;t=2m13s</t>
  </si>
  <si>
    <t>http://www.paho.org/nmh</t>
  </si>
  <si>
    <t>http://paho.org/</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</si>
  <si>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</si>
  <si>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</si>
  <si>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</si>
  <si>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</si>
  <si>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</si>
  <si>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</si>
  <si>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</si>
  <si>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</si>
  <si>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</si>
  <si>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</si>
  <si>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</si>
  <si>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</si>
  <si>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</si>
  <si>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</si>
  <si>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</si>
  <si>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</si>
  <si>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</si>
  <si>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</si>
  <si>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</si>
  <si>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</si>
  <si>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</si>
  <si>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</si>
  <si>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https://gurudeseyesubai.org/hidden-causes-of-disease-3/ http://gmail.com/ http://paho.org/ http://www.paho.org/nmh</t>
  </si>
  <si>
    <t>Top Domains In Comment in Entire Graph</t>
  </si>
  <si>
    <t>gurudeseyesubai.org</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</si>
  <si>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</si>
  <si>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</si>
  <si>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</si>
  <si>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</si>
  <si>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</si>
  <si>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</si>
  <si>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</si>
  <si>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</si>
  <si>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</si>
  <si>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</si>
  <si>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</si>
  <si>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gurudeseyesubai.org paho.org gmail.com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</si>
  <si>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</si>
  <si>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</si>
  <si>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</si>
  <si>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</si>
  <si>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</si>
  <si>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</si>
  <si>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</si>
  <si>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</si>
  <si>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</si>
  <si>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</si>
  <si>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</si>
  <si>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</si>
  <si>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</si>
  <si>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</si>
  <si>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</si>
  <si>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</si>
  <si>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</si>
  <si>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</si>
  <si>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</si>
  <si>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</si>
  <si>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</si>
  <si>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</si>
  <si>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</si>
  <si>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</si>
  <si>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people disease org like teacher health herpes government taxes paho</t>
  </si>
  <si>
    <t>kent robinson teacher bro lol</t>
  </si>
  <si>
    <t>disease great useful nice comunicable</t>
  </si>
  <si>
    <t>emily gacha height</t>
  </si>
  <si>
    <t>teacher google science</t>
  </si>
  <si>
    <t>hidden gurudeseyesubai org disease well ncd</t>
  </si>
  <si>
    <t>Top Word Pairs in Comment in Entire Graph</t>
  </si>
  <si>
    <t>gurudeseyesubai,org</t>
  </si>
  <si>
    <t>org,hidden</t>
  </si>
  <si>
    <t>hidden,disease</t>
  </si>
  <si>
    <t>google,classroom</t>
  </si>
  <si>
    <t>disease,gurudeseyesubai</t>
  </si>
  <si>
    <t>paho,org</t>
  </si>
  <si>
    <t>planet,ayurveda</t>
  </si>
  <si>
    <t>health,teacher</t>
  </si>
  <si>
    <t>dr,odion</t>
  </si>
  <si>
    <t>teacher,google</t>
  </si>
  <si>
    <t>Top Word Pairs in Comment in G1</t>
  </si>
  <si>
    <t>suffering,herpes</t>
  </si>
  <si>
    <t>arantxa,cayón</t>
  </si>
  <si>
    <t>funny,like</t>
  </si>
  <si>
    <t>Top Word Pairs in Comment in G2</t>
  </si>
  <si>
    <t>kent,robinson</t>
  </si>
  <si>
    <t>Top Word Pairs in Comment in G3</t>
  </si>
  <si>
    <t>comunicable,disease</t>
  </si>
  <si>
    <t>Top Word Pairs in Comment in G4</t>
  </si>
  <si>
    <t>emily,gacha</t>
  </si>
  <si>
    <t>Top Word Pairs in Comment in G5</t>
  </si>
  <si>
    <t>science,teacher</t>
  </si>
  <si>
    <t>Top Word Pairs in Comment in G6</t>
  </si>
  <si>
    <t>Top Word Pairs in Comment in G7</t>
  </si>
  <si>
    <t>Top Word Pairs in Comment in G8</t>
  </si>
  <si>
    <t>Top Word Pairs in Comment in G9</t>
  </si>
  <si>
    <t>Top Word Pairs in Comment in G10</t>
  </si>
  <si>
    <t>Top Word Pairs in Comment</t>
  </si>
  <si>
    <t>paho,org  gurudeseyesubai,org  org,hidden  hidden,disease  planet,ayurveda  dr,odion  google,classroom  suffering,herpes  arantxa,cayón  funny,like</t>
  </si>
  <si>
    <t>teacher,google  science,teacher</t>
  </si>
  <si>
    <t>gurudeseyesubai,org  org,hidden  hidden,disease  disease,gurudeseyesubai</t>
  </si>
  <si>
    <t>URLs In Comment by Count</t>
  </si>
  <si>
    <t>http://www.paho.org/nmh http://paho.org/</t>
  </si>
  <si>
    <t>URLs In Comment by Salience</t>
  </si>
  <si>
    <t>Domains In Comment by Count</t>
  </si>
  <si>
    <t>Domains In Comment by Salience</t>
  </si>
  <si>
    <t>Hashtags In Comment by Count</t>
  </si>
  <si>
    <t>Hashtags In Comment by Salience</t>
  </si>
  <si>
    <t>Top Words in Comment by Count</t>
  </si>
  <si>
    <t>download like show medical students</t>
  </si>
  <si>
    <t>like aaral</t>
  </si>
  <si>
    <t>yup teacher</t>
  </si>
  <si>
    <t>sucks google classroom ik fucking ass holy fuck</t>
  </si>
  <si>
    <t>emily gacha yaers vsid anrddha serey wrent bireti cxan</t>
  </si>
  <si>
    <t>paho org nmh send hired company worked designer email cayona</t>
  </si>
  <si>
    <t>health class arieschic pinder assignment</t>
  </si>
  <si>
    <t>comment help</t>
  </si>
  <si>
    <t>height #1 medicine company</t>
  </si>
  <si>
    <t>watching corona break</t>
  </si>
  <si>
    <t>best lecture deserved benefited</t>
  </si>
  <si>
    <t>hidden gurudeseyesubai org disease glad like learn check diseases</t>
  </si>
  <si>
    <t>well ncd love highlight main behavioral risk factors policy place</t>
  </si>
  <si>
    <t>springdales teacher send google classroom</t>
  </si>
  <si>
    <t>gurudeseyesubai org hidden disease interesting topic wow link insights subject</t>
  </si>
  <si>
    <t>health teacher forced</t>
  </si>
  <si>
    <t>science teacher fk1_sh3x2ek 2m13s 13 try telling government</t>
  </si>
  <si>
    <t>jzjsjs</t>
  </si>
  <si>
    <t>helped</t>
  </si>
  <si>
    <t>disliked gt</t>
  </si>
  <si>
    <t>nice knowledge</t>
  </si>
  <si>
    <t>herpes disease dr odion suffering people medicine gmail past months</t>
  </si>
  <si>
    <t>forced health teacher help</t>
  </si>
  <si>
    <t>qatar airways india ltd tel</t>
  </si>
  <si>
    <t>help meeew</t>
  </si>
  <si>
    <t>bro hahah</t>
  </si>
  <si>
    <t>health class</t>
  </si>
  <si>
    <t>kid named daniel reply bro</t>
  </si>
  <si>
    <t>english fun</t>
  </si>
  <si>
    <t>sai btaya mama bhi ki ka planet ayurveda sir bhot</t>
  </si>
  <si>
    <t>homework</t>
  </si>
  <si>
    <t>right doctor ojie helping terminate herpes permanently natural herbs medication</t>
  </si>
  <si>
    <t>wow good liked pictures</t>
  </si>
  <si>
    <t>watching exams</t>
  </si>
  <si>
    <t>set people</t>
  </si>
  <si>
    <t>excellent information</t>
  </si>
  <si>
    <t>school work</t>
  </si>
  <si>
    <t>組織的犯罪集団は 東京都墨田区吾妻橋１ ４ ２に本部を置くesp科学研究所 代表 石井美津子 株式会社イー エス ピーです 国際組織犯罪防止条約が発効されましたので</t>
  </si>
  <si>
    <t>classmates</t>
  </si>
  <si>
    <t>hey nice vedio</t>
  </si>
  <si>
    <t>solon</t>
  </si>
  <si>
    <t>yep</t>
  </si>
  <si>
    <t>like pictures funny</t>
  </si>
  <si>
    <t>hmm cure save stephen hawkings</t>
  </si>
  <si>
    <t>awesome program create type animation</t>
  </si>
  <si>
    <t>yeah</t>
  </si>
  <si>
    <t>health teacher google classroom nvtn eyes dominic world guy background</t>
  </si>
  <si>
    <t>understood</t>
  </si>
  <si>
    <t>bad</t>
  </si>
  <si>
    <t>pagal</t>
  </si>
  <si>
    <t>information required plz chronic diseases prevention</t>
  </si>
  <si>
    <t>like trains</t>
  </si>
  <si>
    <t>awesome great work</t>
  </si>
  <si>
    <t>teacher google classroom classrom</t>
  </si>
  <si>
    <t>great epidemic age nevermind</t>
  </si>
  <si>
    <t>explanation useful</t>
  </si>
  <si>
    <t>country americas narrator btw think easy profitible things replaced</t>
  </si>
  <si>
    <t>class right watching reply</t>
  </si>
  <si>
    <t>funny like arantxa cayón tnx yar telling priya single 3min</t>
  </si>
  <si>
    <t>explain</t>
  </si>
  <si>
    <t>mam</t>
  </si>
  <si>
    <t>people government taxes dependent choices punitive taxation communist income liberals</t>
  </si>
  <si>
    <t>boring moves postures improve health yoga natural remedies planet ayurveda</t>
  </si>
  <si>
    <t>comunicable disease distinguish</t>
  </si>
  <si>
    <t>love ur pfp</t>
  </si>
  <si>
    <t>love simple informative sharing</t>
  </si>
  <si>
    <t>nice nic</t>
  </si>
  <si>
    <t>like love english</t>
  </si>
  <si>
    <t>kent robinson fuck lmao</t>
  </si>
  <si>
    <t>kent robinson lol</t>
  </si>
  <si>
    <t>finally cured chronic lower respiratory disease appreciate dr gbenga help</t>
  </si>
  <si>
    <t>super helpful</t>
  </si>
  <si>
    <t>healt teacher</t>
  </si>
  <si>
    <t>teacher meee</t>
  </si>
  <si>
    <t>Top Words in Comment by Salience</t>
  </si>
  <si>
    <t>google classroom ik fucking ass holy fuck sucks</t>
  </si>
  <si>
    <t>yaers vsid anrddha serey wrent bireti cxan emily gacha</t>
  </si>
  <si>
    <t>glad like learn check diseases hidden gurudeseyesubai org disease</t>
  </si>
  <si>
    <t>stefanie rimpel gurudeseyesubai org hidden disease interesting topic wow link</t>
  </si>
  <si>
    <t>fk1_sh3x2ek 2m13s 13 try telling government science teacher</t>
  </si>
  <si>
    <t>herpes dr odion suffering medicine gmail past months series treatment</t>
  </si>
  <si>
    <t>classroom classrom teacher google</t>
  </si>
  <si>
    <t>government dependent choices punitive taxation communist liberals lives federal schools</t>
  </si>
  <si>
    <t>Top Word Pairs in Comment by Count</t>
  </si>
  <si>
    <t>download,like  like,show  show,medical  medical,students</t>
  </si>
  <si>
    <t>like,aaral</t>
  </si>
  <si>
    <t>nice,teaching</t>
  </si>
  <si>
    <t>yup,teacher</t>
  </si>
  <si>
    <t>google,classroom  classroom,ik  ik,fucking  fucking,sucks  sucks,ass  holy,fuck  fuck,sucks</t>
  </si>
  <si>
    <t>emily,gacha  gacha,yaers  gacha,vsid  vsid,anrddha  anrddha,serey  serey,wrent  wrent,bireti  bireti,cxan</t>
  </si>
  <si>
    <t>paho,org  org,nmh  hired,company  company,worked  worked,designer  nmh,paho  send,email  email,cayona  cayona,paho  org,paho</t>
  </si>
  <si>
    <t>health,class  arieschic,pinder  pinder,assignment</t>
  </si>
  <si>
    <t>comment,help</t>
  </si>
  <si>
    <t>lmao,wtf</t>
  </si>
  <si>
    <t>height,#1  #1,height  height,medicine  medicine,company</t>
  </si>
  <si>
    <t>watching,corona  corona,break</t>
  </si>
  <si>
    <t>best,lecture  lecture,deserved  deserved,benefited</t>
  </si>
  <si>
    <t>gurudeseyesubai,org  org,hidden  hidden,disease  disease,gurudeseyesubai  glad,hidden  hidden,gurudeseyesubai  like,learn  learn,check  check,hidden  hidden,diseases</t>
  </si>
  <si>
    <t>love,well  well,highlight  highlight,main  main,behavioral  behavioral,risk  risk,factors  factors,ncd  ncd,well  well,policy  policy,place</t>
  </si>
  <si>
    <t>springdales,teacher  teacher,send  send,google  google,classroom</t>
  </si>
  <si>
    <t>gurudeseyesubai,org  org,hidden  hidden,disease  interesting,topic  topic,wow  wow,link  link,insights  insights,subject  subject,gurudeseyesubai  disease,gurudeseyesubai</t>
  </si>
  <si>
    <t>health,teacher  teacher,forced</t>
  </si>
  <si>
    <t>science,teacher  fk1_sh3x2ek,2m13s  2m13s,13  13,try  try,telling  telling,government</t>
  </si>
  <si>
    <t>disliked,gt</t>
  </si>
  <si>
    <t>nice,knowledge</t>
  </si>
  <si>
    <t>dr,odion  suffering,herpes  herpes,past  past,months  months,series  series,treatment  treatment,improvement  improvement,testimonies  testimonies,dr  odion,curing</t>
  </si>
  <si>
    <t>forced,health  health,teacher  teacher,help</t>
  </si>
  <si>
    <t>qatar,airways  airways,india  india,ltd  ltd,tel</t>
  </si>
  <si>
    <t>help,meeew</t>
  </si>
  <si>
    <t>health,class</t>
  </si>
  <si>
    <t>kid,named  named,daniel  daniel,reply</t>
  </si>
  <si>
    <t>english,fun</t>
  </si>
  <si>
    <t>planet,ayurveda  sir,bhot  bhot,acha  acha,btaya  btaya,mere  mere,mama  mama,bhi  bhi,kafi  kafi,time  time,sai</t>
  </si>
  <si>
    <t>right,doctor  doctor,ojie  ojie,helping  helping,terminate  terminate,herpes  herpes,permanently  permanently,natural  natural,herbs  herbs,medication</t>
  </si>
  <si>
    <t>wow,good  good,liked  liked,pictures</t>
  </si>
  <si>
    <t>watching,exams</t>
  </si>
  <si>
    <t>set,people</t>
  </si>
  <si>
    <t>excellent,information</t>
  </si>
  <si>
    <t>school,work</t>
  </si>
  <si>
    <t>組織的犯罪集団は,東京都墨田区吾妻橋１  東京都墨田区吾妻橋１,４  ４,２に本部を置くesp科学研究所  ２に本部を置くesp科学研究所,代表  代表,石井美津子  石井美津子,株式会社イー  株式会社イー,エス  エス,ピーです  ピーです,国際組織犯罪防止条約が発効されましたので  国際組織犯罪防止条約が発効されましたので,この会社とこの会社の関連施設を厳重に処罰してください</t>
  </si>
  <si>
    <t>hey,nice  nice,vedio</t>
  </si>
  <si>
    <t>like,pictures  pictures,funny</t>
  </si>
  <si>
    <t>cure,save  save,stephen  stephen,hawkings</t>
  </si>
  <si>
    <t>awesome,program  program,create  create,type  type,animation</t>
  </si>
  <si>
    <t>health,teacher  teacher,google  google,classroom  nvtn,eyes  dominic,world  guy,background  background,gameing  gameing,haha  haha,nice  kent,robinson</t>
  </si>
  <si>
    <t>information,required  required,plz  plz,chronic  chronic,diseases  diseases,prevention</t>
  </si>
  <si>
    <t>like,trains</t>
  </si>
  <si>
    <t>awesome,great  great,work</t>
  </si>
  <si>
    <t>teacher,google  google,classroom  google,classrom</t>
  </si>
  <si>
    <t>great,epidemic  epidemic,age  age,nevermind</t>
  </si>
  <si>
    <t>explanation,useful</t>
  </si>
  <si>
    <t>fuck,online  online,classes</t>
  </si>
  <si>
    <t>country,americas  americas,narrator  btw,think  think,easy  easy,profitible  profitible,things  things,replaced</t>
  </si>
  <si>
    <t>class,right  right,watching  watching,reply</t>
  </si>
  <si>
    <t>funny,like  arantxa,cayón  tnx,yar  yar,telling  like,priya  cayón,single  single,3min  3min,company  company,expensive  expensive,nnaa</t>
  </si>
  <si>
    <t>punitive,taxation  junk,food  telling,people  people,stupid  stupid,informed  informed,choices  choices,government  government,step  step,force  force,people</t>
  </si>
  <si>
    <t>boring,moves  moves,postures  postures,improve  improve,health  health,yoga  yoga,natural  natural,remedies  remedies,planet  planet,ayurveda  ayurveda,helps</t>
  </si>
  <si>
    <t>comunicable,disease  distinguish,comunicable  disease,comunicable</t>
  </si>
  <si>
    <t>love,ur  ur,pfp</t>
  </si>
  <si>
    <t>love,simple  simple,informative  informative,sharing</t>
  </si>
  <si>
    <t>like,love  love,english</t>
  </si>
  <si>
    <t>kent,robinson  robinson,fuck</t>
  </si>
  <si>
    <t>kent,robinson  robinson,lol</t>
  </si>
  <si>
    <t>mamniceteachingmam,thanksmam</t>
  </si>
  <si>
    <t>finally,cured  cured,chronic  chronic,lower  lower,respiratory  respiratory,disease  disease,appreciate  appreciate,dr  dr,gbenga  gbenga,help</t>
  </si>
  <si>
    <t>super,helpful</t>
  </si>
  <si>
    <t>healt,teacher</t>
  </si>
  <si>
    <t>Top Word Pairs in Comment by Salience</t>
  </si>
  <si>
    <t>gacha,yaers  gacha,vsid  vsid,anrddha  anrddha,serey  serey,wrent  wrent,bireti  bireti,cxan  emily,gacha</t>
  </si>
  <si>
    <t>glad,hidden  hidden,gurudeseyesubai  like,learn  learn,check  check,hidden  hidden,diseases  diseases,gurudeseyesubai  gurudeseyesubai,org  org,hidden  hidden,disease</t>
  </si>
  <si>
    <t>stefanie,rimpel  rimpel,interesting  gurudeseyesubai,org  org,hidden  hidden,disease  interesting,topic  topic,wow  wow,link  link,insights  insights,subject</t>
  </si>
  <si>
    <t>fk1_sh3x2ek,2m13s  2m13s,13  13,try  try,telling  telling,government  science,teacher</t>
  </si>
  <si>
    <t>google,classroom  google,classrom  teacher,google</t>
  </si>
  <si>
    <t>Count of Published At</t>
  </si>
  <si>
    <t>Row Labels</t>
  </si>
  <si>
    <t>Grand Total</t>
  </si>
  <si>
    <t>2016</t>
  </si>
  <si>
    <t>Jul</t>
  </si>
  <si>
    <t>Dec</t>
  </si>
  <si>
    <t>2017</t>
  </si>
  <si>
    <t>Jan</t>
  </si>
  <si>
    <t>Apr</t>
  </si>
  <si>
    <t>May</t>
  </si>
  <si>
    <t>Oct</t>
  </si>
  <si>
    <t>Nov</t>
  </si>
  <si>
    <t>2018</t>
  </si>
  <si>
    <t>Feb</t>
  </si>
  <si>
    <t>Sep</t>
  </si>
  <si>
    <t>2019</t>
  </si>
  <si>
    <t>Mar</t>
  </si>
  <si>
    <t>Jun</t>
  </si>
  <si>
    <t>2020</t>
  </si>
  <si>
    <t>Aug</t>
  </si>
  <si>
    <t>2021</t>
  </si>
  <si>
    <t>128, 128, 128</t>
  </si>
  <si>
    <t>Red</t>
  </si>
  <si>
    <t>G1: people disease org like teacher health herpes government taxes paho</t>
  </si>
  <si>
    <t>G2: kent robinson teacher bro lol</t>
  </si>
  <si>
    <t>G3: disease great useful nice comunicable</t>
  </si>
  <si>
    <t>G4: emily gacha height</t>
  </si>
  <si>
    <t>G5: teacher google science</t>
  </si>
  <si>
    <t>G6: hidden gurudeseyesubai org disease well ncd</t>
  </si>
  <si>
    <t>G10: help</t>
  </si>
  <si>
    <t>GraphSource░YouTubeUser▓GraphTerm░NodeXL▓ImportDescription░The graph represents the network of YouTube videos whose title, keywords, description, categories, or author's username contain "NodeXL".  The network was obtained from YouTube on Tuesday, 15 June 2021 at 11:35 UTC.
The network was limited to 100 videos.
There is an edge for each user who comented an a video.  There is an edge for each user who replied to a comment.▓ImportSuggestedTitle░YouTube Users NodeXL▓ImportSuggestedFileNameNoExtension░2021-06-15 11-35-27 NodeXL YouTube Users NodeXL▓GroupingDescription░The graph's vertices were grouped by cluster using the Clauset-Newman-Moore cluster algorithm.▓LayoutAlgorithm░The graph was laid out using the Harel-Koren Fast Multiscale layout algorithm.▓GraphDirectedness░The graph is directed.</t>
  </si>
  <si>
    <t>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t>
  </si>
  <si>
    <t>YouTubeUser</t>
  </si>
  <si>
    <t>NodeXL</t>
  </si>
  <si>
    <t>The graph represents the network of YouTube videos whose title, keywords, description, categories, or author's username contain "NodeXL".  The network was obtained from YouTube on Tuesday, 15 June 2021 at 11:35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</si>
  <si>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</si>
  <si>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</si>
  <si>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Edge Weight▓1▓1▓0▓True▓Gray▓Red▓▓Edge Weight▓1▓1▓0▓3▓10▓False▓Edge Weight▓1▓1▓0▓40▓15▓False▓▓0▓0▓0▓True▓Black▓Black▓▓In-Degree▓0▓7▓0▓150▓1000▓False▓▓0▓0▓0▓0▓0▓False▓▓0▓0▓0▓0▓0▓False▓▓0▓0▓0▓0▓0▓False</t>
  </si>
  <si>
    <t xml:space="preserve">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t>
  </si>
  <si>
    <t>&lt;setting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</si>
  <si>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https://nodexlgraphgallery.org/Pages/Graph.aspx?graphID=256947</t>
  </si>
  <si>
    <t>https://nodexlgraphgallery.org/Images/Image.ashx?graphID=256947&amp;type=f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</si>
</sst>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22" fontId="0" fillId="0" borderId="0" xfId="0" applyNumberFormat="1" applyAlignment="1">
      <alignment horizontal="left" inden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357650"/>
        <c:axId val="9674531"/>
      </c:barChart>
      <c:catAx>
        <c:axId val="383576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74531"/>
        <c:crosses val="autoZero"/>
        <c:auto val="1"/>
        <c:lblOffset val="100"/>
        <c:noMultiLvlLbl val="0"/>
      </c:catAx>
      <c:valAx>
        <c:axId val="967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41"/>
                <c:pt idx="0">
                  <c:v>Jul
2016</c:v>
                </c:pt>
                <c:pt idx="1">
                  <c:v>Dec</c:v>
                </c:pt>
                <c:pt idx="2">
                  <c:v>Jan
2017</c:v>
                </c:pt>
                <c:pt idx="3">
                  <c:v>Apr</c:v>
                </c:pt>
                <c:pt idx="4">
                  <c:v>May</c:v>
                </c:pt>
                <c:pt idx="5">
                  <c:v>Oct</c:v>
                </c:pt>
                <c:pt idx="6">
                  <c:v>Nov</c:v>
                </c:pt>
                <c:pt idx="7">
                  <c:v>Dec</c:v>
                </c:pt>
                <c:pt idx="8">
                  <c:v>Jan
2018</c:v>
                </c:pt>
                <c:pt idx="9">
                  <c:v>Feb</c:v>
                </c:pt>
                <c:pt idx="10">
                  <c:v>Jul</c:v>
                </c:pt>
                <c:pt idx="11">
                  <c:v>Sep</c:v>
                </c:pt>
                <c:pt idx="12">
                  <c:v>Nov</c:v>
                </c:pt>
                <c:pt idx="13">
                  <c:v>Dec</c:v>
                </c:pt>
                <c:pt idx="14">
                  <c:v>Jan
2019</c:v>
                </c:pt>
                <c:pt idx="15">
                  <c:v>Feb</c:v>
                </c:pt>
                <c:pt idx="16">
                  <c:v>Mar</c:v>
                </c:pt>
                <c:pt idx="17">
                  <c:v>Apr</c:v>
                </c:pt>
                <c:pt idx="18">
                  <c:v>Jun</c:v>
                </c:pt>
                <c:pt idx="19">
                  <c:v>Sep</c:v>
                </c:pt>
                <c:pt idx="20">
                  <c:v>Oct</c:v>
                </c:pt>
                <c:pt idx="21">
                  <c:v>Nov</c:v>
                </c:pt>
                <c:pt idx="22">
                  <c:v>Dec</c:v>
                </c:pt>
                <c:pt idx="23">
                  <c:v>Jan
2020</c:v>
                </c:pt>
                <c:pt idx="24">
                  <c:v>Feb</c:v>
                </c:pt>
                <c:pt idx="25">
                  <c:v>Mar</c:v>
                </c:pt>
                <c:pt idx="26">
                  <c:v>Apr</c:v>
                </c:pt>
                <c:pt idx="27">
                  <c:v>May</c:v>
                </c:pt>
                <c:pt idx="28">
                  <c:v>Jun</c:v>
                </c:pt>
                <c:pt idx="29">
                  <c:v>Jul</c:v>
                </c:pt>
                <c:pt idx="30">
                  <c:v>Aug</c:v>
                </c:pt>
                <c:pt idx="31">
                  <c:v>Sep</c:v>
                </c:pt>
                <c:pt idx="32">
                  <c:v>Oct</c:v>
                </c:pt>
                <c:pt idx="33">
                  <c:v>Nov</c:v>
                </c:pt>
                <c:pt idx="34">
                  <c:v>Dec</c:v>
                </c:pt>
                <c:pt idx="35">
                  <c:v>Jan
2021</c:v>
                </c:pt>
                <c:pt idx="36">
                  <c:v>Feb</c:v>
                </c:pt>
                <c:pt idx="37">
                  <c:v>Mar</c:v>
                </c:pt>
                <c:pt idx="38">
                  <c:v>Apr</c:v>
                </c:pt>
                <c:pt idx="39">
                  <c:v>May</c:v>
                </c:pt>
                <c:pt idx="40">
                  <c:v>Jun</c:v>
                </c:pt>
              </c:strCache>
            </c:strRef>
          </c:cat>
          <c:val>
            <c:numRef>
              <c:f>'Time Series'!$B$26:$B$73</c:f>
              <c:numCache>
                <c:formatCode>General</c:formatCode>
                <c:ptCount val="41"/>
                <c:pt idx="0">
                  <c:v>1</c:v>
                </c:pt>
                <c:pt idx="1">
                  <c:v>1</c:v>
                </c:pt>
                <c:pt idx="2">
                  <c:v>1</c:v>
                </c:pt>
                <c:pt idx="3">
                  <c:v>3</c:v>
                </c:pt>
                <c:pt idx="4">
                  <c:v>1</c:v>
                </c:pt>
                <c:pt idx="5">
                  <c:v>2</c:v>
                </c:pt>
                <c:pt idx="6">
                  <c:v>2</c:v>
                </c:pt>
                <c:pt idx="7">
                  <c:v>1</c:v>
                </c:pt>
                <c:pt idx="8">
                  <c:v>2</c:v>
                </c:pt>
                <c:pt idx="9">
                  <c:v>2</c:v>
                </c:pt>
                <c:pt idx="10">
                  <c:v>1</c:v>
                </c:pt>
                <c:pt idx="11">
                  <c:v>1</c:v>
                </c:pt>
                <c:pt idx="12">
                  <c:v>1</c:v>
                </c:pt>
                <c:pt idx="13">
                  <c:v>2</c:v>
                </c:pt>
                <c:pt idx="14">
                  <c:v>1</c:v>
                </c:pt>
                <c:pt idx="15">
                  <c:v>3</c:v>
                </c:pt>
                <c:pt idx="16">
                  <c:v>3</c:v>
                </c:pt>
                <c:pt idx="17">
                  <c:v>4</c:v>
                </c:pt>
                <c:pt idx="18">
                  <c:v>1</c:v>
                </c:pt>
                <c:pt idx="19">
                  <c:v>1</c:v>
                </c:pt>
                <c:pt idx="20">
                  <c:v>1</c:v>
                </c:pt>
                <c:pt idx="21">
                  <c:v>1</c:v>
                </c:pt>
                <c:pt idx="22">
                  <c:v>1</c:v>
                </c:pt>
                <c:pt idx="23">
                  <c:v>2</c:v>
                </c:pt>
                <c:pt idx="24">
                  <c:v>1</c:v>
                </c:pt>
                <c:pt idx="25">
                  <c:v>3</c:v>
                </c:pt>
                <c:pt idx="26">
                  <c:v>18</c:v>
                </c:pt>
                <c:pt idx="27">
                  <c:v>10</c:v>
                </c:pt>
                <c:pt idx="28">
                  <c:v>5</c:v>
                </c:pt>
                <c:pt idx="29">
                  <c:v>2</c:v>
                </c:pt>
                <c:pt idx="30">
                  <c:v>8</c:v>
                </c:pt>
                <c:pt idx="31">
                  <c:v>3</c:v>
                </c:pt>
                <c:pt idx="32">
                  <c:v>16</c:v>
                </c:pt>
                <c:pt idx="33">
                  <c:v>7</c:v>
                </c:pt>
                <c:pt idx="34">
                  <c:v>5</c:v>
                </c:pt>
                <c:pt idx="35">
                  <c:v>4</c:v>
                </c:pt>
                <c:pt idx="36">
                  <c:v>13</c:v>
                </c:pt>
                <c:pt idx="37">
                  <c:v>6</c:v>
                </c:pt>
                <c:pt idx="38">
                  <c:v>9</c:v>
                </c:pt>
                <c:pt idx="39">
                  <c:v>10</c:v>
                </c:pt>
                <c:pt idx="40">
                  <c:v>5</c:v>
                </c:pt>
              </c:numCache>
            </c:numRef>
          </c:val>
        </c:ser>
        <c:axId val="27723276"/>
        <c:axId val="48182893"/>
      </c:barChart>
      <c:catAx>
        <c:axId val="27723276"/>
        <c:scaling>
          <c:orientation val="minMax"/>
        </c:scaling>
        <c:axPos val="b"/>
        <c:delete val="0"/>
        <c:numFmt formatCode="General" sourceLinked="1"/>
        <c:majorTickMark val="out"/>
        <c:minorTickMark val="none"/>
        <c:tickLblPos val="nextTo"/>
        <c:crossAx val="48182893"/>
        <c:crosses val="autoZero"/>
        <c:auto val="1"/>
        <c:lblOffset val="100"/>
        <c:noMultiLvlLbl val="0"/>
      </c:catAx>
      <c:valAx>
        <c:axId val="48182893"/>
        <c:scaling>
          <c:orientation val="minMax"/>
        </c:scaling>
        <c:axPos val="l"/>
        <c:majorGridlines/>
        <c:delete val="0"/>
        <c:numFmt formatCode="General" sourceLinked="1"/>
        <c:majorTickMark val="out"/>
        <c:minorTickMark val="none"/>
        <c:tickLblPos val="nextTo"/>
        <c:crossAx val="277232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961916"/>
        <c:axId val="45439517"/>
      </c:barChart>
      <c:catAx>
        <c:axId val="199619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39517"/>
        <c:crosses val="autoZero"/>
        <c:auto val="1"/>
        <c:lblOffset val="100"/>
        <c:noMultiLvlLbl val="0"/>
      </c:catAx>
      <c:valAx>
        <c:axId val="45439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61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02470"/>
        <c:axId val="56722231"/>
      </c:barChart>
      <c:catAx>
        <c:axId val="63024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22231"/>
        <c:crosses val="autoZero"/>
        <c:auto val="1"/>
        <c:lblOffset val="100"/>
        <c:noMultiLvlLbl val="0"/>
      </c:catAx>
      <c:valAx>
        <c:axId val="56722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2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38032"/>
        <c:axId val="31097969"/>
      </c:barChart>
      <c:catAx>
        <c:axId val="407380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97969"/>
        <c:crosses val="autoZero"/>
        <c:auto val="1"/>
        <c:lblOffset val="100"/>
        <c:noMultiLvlLbl val="0"/>
      </c:catAx>
      <c:valAx>
        <c:axId val="31097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8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446266"/>
        <c:axId val="35907531"/>
      </c:barChart>
      <c:catAx>
        <c:axId val="114462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907531"/>
        <c:crosses val="autoZero"/>
        <c:auto val="1"/>
        <c:lblOffset val="100"/>
        <c:noMultiLvlLbl val="0"/>
      </c:catAx>
      <c:valAx>
        <c:axId val="35907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6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32324"/>
        <c:axId val="22828869"/>
      </c:barChart>
      <c:catAx>
        <c:axId val="54732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28869"/>
        <c:crosses val="autoZero"/>
        <c:auto val="1"/>
        <c:lblOffset val="100"/>
        <c:noMultiLvlLbl val="0"/>
      </c:catAx>
      <c:valAx>
        <c:axId val="22828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2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3230"/>
        <c:axId val="37199071"/>
      </c:barChart>
      <c:catAx>
        <c:axId val="41332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99071"/>
        <c:crosses val="autoZero"/>
        <c:auto val="1"/>
        <c:lblOffset val="100"/>
        <c:noMultiLvlLbl val="0"/>
      </c:catAx>
      <c:valAx>
        <c:axId val="37199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3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356184"/>
        <c:axId val="60334745"/>
      </c:barChart>
      <c:catAx>
        <c:axId val="663561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334745"/>
        <c:crosses val="autoZero"/>
        <c:auto val="1"/>
        <c:lblOffset val="100"/>
        <c:noMultiLvlLbl val="0"/>
      </c:catAx>
      <c:valAx>
        <c:axId val="60334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1794"/>
        <c:axId val="55276147"/>
      </c:barChart>
      <c:catAx>
        <c:axId val="6141794"/>
        <c:scaling>
          <c:orientation val="minMax"/>
        </c:scaling>
        <c:axPos val="b"/>
        <c:delete val="1"/>
        <c:majorTickMark val="out"/>
        <c:minorTickMark val="none"/>
        <c:tickLblPos val="none"/>
        <c:crossAx val="55276147"/>
        <c:crosses val="autoZero"/>
        <c:auto val="1"/>
        <c:lblOffset val="100"/>
        <c:noMultiLvlLbl val="0"/>
      </c:catAx>
      <c:valAx>
        <c:axId val="55276147"/>
        <c:scaling>
          <c:orientation val="minMax"/>
        </c:scaling>
        <c:axPos val="l"/>
        <c:delete val="1"/>
        <c:majorTickMark val="out"/>
        <c:minorTickMark val="none"/>
        <c:tickLblPos val="none"/>
        <c:crossAx val="6141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4" refreshedBy="Digital Space Lab" refreshedVersion="7">
  <cacheSource type="worksheet">
    <worksheetSource ref="A2:AP166" sheet="Edges"/>
  </cacheSource>
  <cacheFields count="43">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64">
        <d v="2017-10-23T16:13:10.000"/>
        <d v="2017-12-03T00:57:32.000"/>
        <d v="2021-05-21T06:07:21.000"/>
        <d v="2017-11-01T12:50:09.000"/>
        <d v="2017-11-18T07:19:05.000"/>
        <d v="2020-04-23T09:02:40.000"/>
        <d v="2020-04-23T09:08:36.000"/>
        <d v="2018-02-25T15:16:56.000"/>
        <d v="2021-04-15T11:54:44.000"/>
        <d v="2020-11-08T16:11:57.000"/>
        <d v="2020-11-24T02:42:20.000"/>
        <d v="2018-02-05T04:56:10.000"/>
        <d v="2018-07-10T16:04:53.000"/>
        <d v="2018-12-27T15:07:23.000"/>
        <d v="2019-02-27T15:20:50.000"/>
        <d v="2021-03-02T13:10:55.000"/>
        <d v="2019-03-24T05:49:27.000"/>
        <d v="2019-04-03T16:37:49.000"/>
        <d v="2019-09-24T22:43:18.000"/>
        <d v="2020-08-26T17:41:21.000"/>
        <d v="2020-09-22T03:41:38.000"/>
        <d v="2020-11-10T13:06:25.000"/>
        <d v="2021-02-15T04:24:04.000"/>
        <d v="2021-02-24T10:16:57.000"/>
        <d v="2021-02-24T16:06:20.000"/>
        <d v="2021-03-03T09:10:52.000"/>
        <d v="2021-04-27T15:47:10.000"/>
        <d v="2021-05-03T02:46:08.000"/>
        <d v="2021-06-09T10:45:10.000"/>
        <d v="2019-04-09T13:32:30.000"/>
        <d v="2019-06-16T14:38:20.000"/>
        <d v="2019-12-06T16:04:35.000"/>
        <d v="2021-04-28T04:01:40.000"/>
        <d v="2020-05-21T07:24:08.000"/>
        <d v="2017-04-27T00:48:41.000"/>
        <d v="2020-04-06T01:46:47.000"/>
        <d v="2017-04-12T05:38:36.000"/>
        <d v="2018-01-18T01:02:13.000"/>
        <d v="2017-05-17T10:08:17.000"/>
        <d v="2019-01-27T17:48:42.000"/>
        <d v="2018-01-01T12:26:17.000"/>
        <d v="2018-09-09T14:15:17.000"/>
        <d v="2018-11-26T09:03:13.000"/>
        <d v="2020-08-12T11:26:51.000"/>
        <d v="2020-10-20T15:55:09.000"/>
        <d v="2020-10-20T15:56:25.000"/>
        <d v="2018-12-31T08:25:07.000"/>
        <d v="2019-02-09T08:54:36.000"/>
        <d v="2019-03-01T05:09:11.000"/>
        <d v="2019-10-13T03:27:17.000"/>
        <d v="2019-02-09T15:26:12.000"/>
        <d v="2020-04-05T11:49:09.000"/>
        <d v="2019-03-27T12:09:36.000"/>
        <d v="2020-04-05T11:48:21.000"/>
        <d v="2019-04-09T13:26:06.000"/>
        <d v="2019-04-09T14:55:18.000"/>
        <d v="2020-01-26T00:44:13.000"/>
        <d v="2020-01-26T01:10:53.000"/>
        <d v="2020-05-01T13:28:29.000"/>
        <d v="2020-02-09T16:36:38.000"/>
        <d v="2020-10-20T15:50:46.000"/>
        <d v="2020-10-20T15:51:55.000"/>
        <d v="2020-03-05T09:45:39.000"/>
        <d v="2020-03-05T15:24:49.000"/>
        <d v="2020-04-01T17:40:43.000"/>
        <d v="2020-03-31T15:50:59.000"/>
        <d v="2020-04-03T19:48:43.000"/>
        <d v="2020-04-08T20:59:26.000"/>
        <d v="2020-04-23T15:28:37.000"/>
        <d v="2020-04-23T15:36:32.000"/>
        <d v="2020-04-27T17:46:13.000"/>
        <d v="2020-05-08T19:05:18.000"/>
        <d v="2020-05-13T18:56:32.000"/>
        <d v="2020-06-09T20:03:00.000"/>
        <d v="2020-08-16T16:03:06.000"/>
        <d v="2020-08-21T06:54:20.000"/>
        <d v="2020-10-09T16:26:49.000"/>
        <d v="2020-10-16T22:20:48.000"/>
        <d v="2020-12-01T14:56:09.000"/>
        <d v="2021-02-02T10:57:01.000"/>
        <d v="2021-02-02T10:57:10.000"/>
        <d v="2021-02-10T01:39:37.000"/>
        <d v="2021-02-10T15:50:28.000"/>
        <d v="2021-02-22T15:09:11.000"/>
        <d v="2021-02-25T19:21:00.000"/>
        <d v="2021-03-02T10:56:22.000"/>
        <d v="2021-03-05T01:37:54.000"/>
        <d v="2021-04-24T22:36:32.000"/>
        <d v="2021-05-06T07:32:40.000"/>
        <d v="2020-04-03T20:05:08.000"/>
        <d v="2020-04-23T15:32:23.000"/>
        <d v="2020-04-23T15:32:28.000"/>
        <d v="2020-05-27T13:25:05.000"/>
        <d v="2020-06-06T02:49:18.000"/>
        <d v="2020-12-01T18:48:30.000"/>
        <d v="2021-01-25T05:38:21.000"/>
        <d v="2021-02-08T18:44:56.000"/>
        <d v="2021-04-21T21:57:41.000"/>
        <d v="2020-04-01T17:41:27.000"/>
        <d v="2020-04-06T01:46:31.000"/>
        <d v="2020-04-07T11:09:03.000"/>
        <d v="2020-04-29T08:24:10.000"/>
        <d v="2020-05-10T21:51:08.000"/>
        <d v="2020-05-10T21:52:05.000"/>
        <d v="2020-05-11T15:54:34.000"/>
        <d v="2020-05-11T15:55:10.000"/>
        <d v="2020-05-28T09:03:23.000"/>
        <d v="2020-06-07T15:29:46.000"/>
        <d v="2021-05-21T20:52:15.000"/>
        <d v="2021-05-21T20:53:11.000"/>
        <d v="2020-12-01T18:48:47.000"/>
        <d v="2021-04-21T21:59:38.000"/>
        <d v="2021-05-29T19:27:23.000"/>
        <d v="2021-06-14T15:51:13.000"/>
        <d v="2020-06-10T04:56:19.000"/>
        <d v="2020-06-25T06:27:24.000"/>
        <d v="2020-07-20T14:57:28.000"/>
        <d v="2020-07-21T06:51:01.000"/>
        <d v="2020-08-07T11:04:02.000"/>
        <d v="2020-08-19T07:20:36.000"/>
        <d v="2020-10-20T15:32:18.000"/>
        <d v="2020-10-31T08:29:17.000"/>
        <d v="2020-10-31T13:45:59.000"/>
        <d v="2020-08-23T00:31:57.000"/>
        <d v="2020-09-22T16:57:47.000"/>
        <d v="2020-09-29T07:49:54.000"/>
        <d v="2020-10-01T04:41:34.000"/>
        <d v="2020-10-01T04:41:46.000"/>
        <d v="2020-10-14T03:15:18.000"/>
        <d v="2020-10-22T07:09:58.000"/>
        <d v="2020-10-22T20:36:02.000"/>
        <d v="2020-10-28T02:27:17.000"/>
        <d v="2020-10-31T08:28:07.000"/>
        <d v="2020-11-05T06:35:19.000"/>
        <d v="2020-11-09T03:40:58.000"/>
        <d v="2020-11-20T00:20:21.000"/>
        <d v="2020-11-20T00:18:59.000"/>
        <d v="2020-12-01T18:48:16.000"/>
        <d v="2021-03-05T18:43:51.000"/>
        <d v="2020-12-08T01:31:37.000"/>
        <d v="2021-01-13T17:29:37.000"/>
        <d v="2021-01-23T16:14:54.000"/>
        <d v="2021-06-14T15:51:00.000"/>
        <d v="2021-01-25T05:38:52.000"/>
        <d v="2021-02-08T18:47:41.000"/>
        <d v="2021-02-13T11:07:59.000"/>
        <d v="2021-02-21T03:47:53.000"/>
        <d v="2021-03-11T03:25:33.000"/>
        <d v="2021-04-12T06:46:01.000"/>
        <d v="2021-04-13T02:42:15.000"/>
        <d v="2021-04-21T22:00:03.000"/>
        <d v="2021-05-03T16:39:00.000"/>
        <d v="2021-05-03T16:02:37.000"/>
        <d v="2021-05-05T09:25:57.000"/>
        <d v="2021-05-24T14:24:12.000"/>
        <d v="2021-06-04T20:31:09.000"/>
        <d v="2021-06-11T20:03:08.000"/>
        <d v="2020-08-11T10:00:13.000"/>
        <d v="2017-10-18T15:51:58.000"/>
        <d v="2017-01-12T22:01:50.000"/>
        <d v="2016-12-06T23:47:10.000"/>
        <d v="2019-11-06T20:16:59.000"/>
        <d v="2017-04-11T19:45:32.000"/>
        <d v="2016-07-06T22:58:03.000"/>
      </sharedItems>
      <fieldGroup par="42" base="25">
        <rangePr groupBy="months" autoEnd="1" autoStart="1" startDate="2016-07-06T22:58:03.000" endDate="2021-06-14T15:51:13.000"/>
        <groupItems count="14">
          <s v="&lt;7/6/2016"/>
          <s v="Jan"/>
          <s v="Feb"/>
          <s v="Mar"/>
          <s v="Apr"/>
          <s v="May"/>
          <s v="Jun"/>
          <s v="Jul"/>
          <s v="Aug"/>
          <s v="Sep"/>
          <s v="Oct"/>
          <s v="Nov"/>
          <s v="Dec"/>
          <s v="&gt;6/14/2021"/>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Years" databaseField="0">
      <sharedItems containsMixedTypes="0" count="0"/>
      <fieldGroup base="25">
        <rangePr groupBy="years" autoEnd="1" autoStart="1" startDate="2016-07-06T22:58:03.000" endDate="2021-06-14T15:51:13.000"/>
        <groupItems count="8">
          <s v="&lt;7/6/2016"/>
          <s v="2016"/>
          <s v="2017"/>
          <s v="2018"/>
          <s v="2019"/>
          <s v="2020"/>
          <s v="2021"/>
          <s v="&gt;6/14/2021"/>
        </groupItems>
      </fieldGroup>
    </cacheField>
  </cacheFields>
  <extLst>
    <ext xmlns:x14="http://schemas.microsoft.com/office/spreadsheetml/2009/9/main" uri="{725AE2AE-9491-48be-B2B4-4EB974FC3084}">
      <x14:pivotCacheDefinition pivotCacheId="1344481837"/>
    </ext>
  </extLst>
</pivotCacheDefinition>
</file>

<file path=xl/pivotCache/pivotCacheRecords1.xml><?xml version="1.0" encoding="utf-8"?>
<pivotCacheRecords xmlns="http://schemas.openxmlformats.org/spreadsheetml/2006/main" xmlns:r="http://schemas.openxmlformats.org/officeDocument/2006/relationships" count="164">
  <r>
    <s v="UCAmn8fQuS8x3TBLBRXr4QYQ"/>
    <s v="UC07-dOwgza1IguKA86jqxNA"/>
    <s v="128, 128, 128"/>
    <n v="3"/>
    <m/>
    <n v="40"/>
    <m/>
    <m/>
    <m/>
    <m/>
    <s v="No"/>
    <n v="3"/>
    <m/>
    <m/>
    <s v="Commented Video"/>
    <x v="0"/>
    <s v="english is fun"/>
    <s v="UCAmn8fQuS8x3TBLBRXr4QYQ"/>
    <s v="JACEK DEPTUŁA"/>
    <s v="http://www.youtube.com/channel/UCAmn8fQuS8x3TBLBRXr4QYQ"/>
    <m/>
    <s v="MWk8XJWEiO4"/>
    <s v="https://www.youtube.com/watch?v=MWk8XJWEiO4"/>
    <s v="none"/>
    <n v="1"/>
    <x v="0"/>
    <d v="2017-10-23T16:13:10.000"/>
    <m/>
    <m/>
    <s v=""/>
    <n v="1"/>
    <s v="4"/>
    <s v="4"/>
    <n v="1"/>
    <n v="33.333333333333336"/>
    <n v="0"/>
    <n v="0"/>
    <n v="0"/>
    <n v="0"/>
    <n v="2"/>
    <n v="66.66666666666667"/>
    <n v="3"/>
  </r>
  <r>
    <s v="UCIfypgNfXhTaHAQru-uUyxg"/>
    <s v="UCwChU2l1801enAbBJJq2c0g"/>
    <s v="128, 128, 128"/>
    <n v="3"/>
    <m/>
    <n v="40"/>
    <m/>
    <m/>
    <m/>
    <m/>
    <s v="No"/>
    <n v="4"/>
    <m/>
    <m/>
    <s v="Replied Comment"/>
    <x v="1"/>
    <s v="lol what?"/>
    <s v="UCIfypgNfXhTaHAQru-uUyxg"/>
    <s v="MockALove"/>
    <s v="http://www.youtube.com/channel/UCIfypgNfXhTaHAQru-uUyxg"/>
    <s v="Ugznj2-Nn7VaV6DAV0B4AaABAg"/>
    <s v="MWk8XJWEiO4"/>
    <s v="https://www.youtube.com/watch?v=MWk8XJWEiO4"/>
    <s v="none"/>
    <n v="0"/>
    <x v="1"/>
    <d v="2017-12-03T00:57:32.000"/>
    <m/>
    <m/>
    <s v=""/>
    <n v="1"/>
    <s v="4"/>
    <s v="4"/>
    <n v="0"/>
    <n v="0"/>
    <n v="0"/>
    <n v="0"/>
    <n v="0"/>
    <n v="0"/>
    <n v="2"/>
    <n v="100"/>
    <n v="2"/>
  </r>
  <r>
    <s v="UCXluBqiQge_RLYUebJShy8w"/>
    <s v="UCwChU2l1801enAbBJJq2c0g"/>
    <s v="128, 128, 128"/>
    <n v="3"/>
    <m/>
    <n v="40"/>
    <m/>
    <m/>
    <m/>
    <m/>
    <s v="No"/>
    <n v="5"/>
    <m/>
    <m/>
    <s v="Replied Comment"/>
    <x v="1"/>
    <s v="lmao wtf"/>
    <s v="UCXluBqiQge_RLYUebJShy8w"/>
    <s v="Arrianah"/>
    <s v="http://www.youtube.com/channel/UCXluBqiQge_RLYUebJShy8w"/>
    <s v="Ugznj2-Nn7VaV6DAV0B4AaABAg"/>
    <s v="MWk8XJWEiO4"/>
    <s v="https://www.youtube.com/watch?v=MWk8XJWEiO4"/>
    <s v="none"/>
    <n v="0"/>
    <x v="2"/>
    <d v="2021-05-21T06:07:21.000"/>
    <m/>
    <m/>
    <s v=""/>
    <n v="1"/>
    <s v="4"/>
    <s v="4"/>
    <n v="0"/>
    <n v="0"/>
    <n v="0"/>
    <n v="0"/>
    <n v="0"/>
    <n v="0"/>
    <n v="2"/>
    <n v="100"/>
    <n v="2"/>
  </r>
  <r>
    <s v="UCwChU2l1801enAbBJJq2c0g"/>
    <s v="UC07-dOwgza1IguKA86jqxNA"/>
    <s v="128, 128, 128"/>
    <n v="3"/>
    <m/>
    <n v="40"/>
    <m/>
    <m/>
    <m/>
    <m/>
    <s v="No"/>
    <n v="6"/>
    <m/>
    <m/>
    <s v="Commented Video"/>
    <x v="0"/>
    <s v="how to get height&lt;br&gt;tell me #1 height medicine company"/>
    <s v="UCwChU2l1801enAbBJJq2c0g"/>
    <s v="Aryan Hussain 499"/>
    <s v="http://www.youtube.com/channel/UCwChU2l1801enAbBJJq2c0g"/>
    <m/>
    <s v="MWk8XJWEiO4"/>
    <s v="https://www.youtube.com/watch?v=MWk8XJWEiO4"/>
    <s v="none"/>
    <n v="1"/>
    <x v="3"/>
    <d v="2017-11-01T12:50:09.000"/>
    <m/>
    <m/>
    <s v=""/>
    <n v="1"/>
    <s v="4"/>
    <s v="4"/>
    <n v="0"/>
    <n v="0"/>
    <n v="0"/>
    <n v="0"/>
    <n v="0"/>
    <n v="0"/>
    <n v="11"/>
    <n v="100"/>
    <n v="11"/>
  </r>
  <r>
    <s v="UCAwNUJZntOgEy085kqcyyTg"/>
    <s v="UC07-dOwgza1IguKA86jqxNA"/>
    <s v="128, 128, 128"/>
    <n v="3"/>
    <m/>
    <n v="40"/>
    <m/>
    <m/>
    <m/>
    <m/>
    <s v="No"/>
    <n v="7"/>
    <m/>
    <m/>
    <s v="Commented Video"/>
    <x v="0"/>
    <s v="組織的犯罪集団は、東京都墨田区吾妻橋１－４－２に本部を置くESP科学研究所（代表　石井美津子）、株式会社イー・エス・ピーです。国際組織犯罪防止条約が発効されましたので、この会社とこの会社の関連施設を厳重に処罰してください。この会社がバイオテロリズムの組織的犯罪集団です。"/>
    <s v="UCAwNUJZntOgEy085kqcyyTg"/>
    <s v="kigakome"/>
    <s v="http://www.youtube.com/channel/UCAwNUJZntOgEy085kqcyyTg"/>
    <m/>
    <s v="MWk8XJWEiO4"/>
    <s v="https://www.youtube.com/watch?v=MWk8XJWEiO4"/>
    <s v="none"/>
    <n v="1"/>
    <x v="4"/>
    <d v="2017-11-18T07:19:05.000"/>
    <m/>
    <m/>
    <s v=""/>
    <n v="1"/>
    <s v="4"/>
    <s v="4"/>
    <n v="0"/>
    <n v="0"/>
    <n v="0"/>
    <n v="0"/>
    <n v="0"/>
    <n v="0"/>
    <n v="12"/>
    <n v="100"/>
    <n v="12"/>
  </r>
  <r>
    <s v="UCqCZk9JftPi0q4Ihsz27kDQ"/>
    <s v="UCcPcpbjgONtEip-VGOdTjjQ"/>
    <s v="171, 85, 85"/>
    <n v="3"/>
    <m/>
    <n v="40"/>
    <m/>
    <m/>
    <m/>
    <m/>
    <s v="No"/>
    <n v="8"/>
    <m/>
    <m/>
    <s v="Replied Comment"/>
    <x v="1"/>
    <s v="Emily gacha  vsid  anrddha   serey  wrent  bireti   cxan"/>
    <s v="UCqCZk9JftPi0q4Ihsz27kDQ"/>
    <s v="anurudda Pradeep"/>
    <s v="http://www.youtube.com/channel/UCqCZk9JftPi0q4Ihsz27kDQ"/>
    <s v="UgwPucVAFEnNFxsrUrB4AaABAg"/>
    <s v="MWk8XJWEiO4"/>
    <s v="https://www.youtube.com/watch?v=MWk8XJWEiO4"/>
    <s v="none"/>
    <n v="1"/>
    <x v="5"/>
    <d v="2020-04-23T09:02:40.000"/>
    <m/>
    <m/>
    <s v=""/>
    <n v="2"/>
    <s v="4"/>
    <s v="4"/>
    <n v="0"/>
    <n v="0"/>
    <n v="0"/>
    <n v="0"/>
    <n v="0"/>
    <n v="0"/>
    <n v="8"/>
    <n v="100"/>
    <n v="8"/>
  </r>
  <r>
    <s v="UCqCZk9JftPi0q4Ihsz27kDQ"/>
    <s v="UCcPcpbjgONtEip-VGOdTjjQ"/>
    <s v="171, 85, 85"/>
    <n v="3"/>
    <m/>
    <n v="40"/>
    <m/>
    <m/>
    <m/>
    <m/>
    <s v="No"/>
    <n v="9"/>
    <m/>
    <m/>
    <s v="Replied Comment"/>
    <x v="1"/>
    <s v="Emily gacha 2  yaers"/>
    <s v="UCqCZk9JftPi0q4Ihsz27kDQ"/>
    <s v="anurudda Pradeep"/>
    <s v="http://www.youtube.com/channel/UCqCZk9JftPi0q4Ihsz27kDQ"/>
    <s v="UgwPucVAFEnNFxsrUrB4AaABAg"/>
    <s v="MWk8XJWEiO4"/>
    <s v="https://www.youtube.com/watch?v=MWk8XJWEiO4"/>
    <s v="none"/>
    <n v="0"/>
    <x v="6"/>
    <d v="2020-04-23T09:08:36.000"/>
    <m/>
    <m/>
    <s v=""/>
    <n v="2"/>
    <s v="4"/>
    <s v="4"/>
    <n v="0"/>
    <n v="0"/>
    <n v="0"/>
    <n v="0"/>
    <n v="0"/>
    <n v="0"/>
    <n v="4"/>
    <n v="100"/>
    <n v="4"/>
  </r>
  <r>
    <s v="UCcPcpbjgONtEip-VGOdTjjQ"/>
    <s v="UC07-dOwgza1IguKA86jqxNA"/>
    <s v="128, 128, 128"/>
    <n v="3"/>
    <m/>
    <n v="40"/>
    <m/>
    <m/>
    <m/>
    <m/>
    <s v="No"/>
    <n v="10"/>
    <m/>
    <m/>
    <s v="Commented Video"/>
    <x v="0"/>
    <s v="Nice knowledge"/>
    <s v="UCcPcpbjgONtEip-VGOdTjjQ"/>
    <s v="Emily gacha"/>
    <s v="http://www.youtube.com/channel/UCcPcpbjgONtEip-VGOdTjjQ"/>
    <m/>
    <s v="MWk8XJWEiO4"/>
    <s v="https://www.youtube.com/watch?v=MWk8XJWEiO4"/>
    <s v="none"/>
    <n v="3"/>
    <x v="7"/>
    <d v="2018-02-25T15:16:56.000"/>
    <m/>
    <m/>
    <s v=""/>
    <n v="1"/>
    <s v="4"/>
    <s v="4"/>
    <n v="1"/>
    <n v="50"/>
    <n v="0"/>
    <n v="0"/>
    <n v="0"/>
    <n v="0"/>
    <n v="1"/>
    <n v="50"/>
    <n v="2"/>
  </r>
  <r>
    <s v="UCSLzh_2e-fC7yrOAj39TAAw"/>
    <s v="UCwSB6LON4E0a7yTaZxepNZA"/>
    <s v="128, 128, 128"/>
    <n v="3"/>
    <m/>
    <n v="40"/>
    <m/>
    <m/>
    <m/>
    <m/>
    <s v="No"/>
    <n v="11"/>
    <m/>
    <m/>
    <s v="Replied Comment"/>
    <x v="1"/>
    <s v="Obviously, it’s the WHO."/>
    <s v="UCSLzh_2e-fC7yrOAj39TAAw"/>
    <s v="Jacey Duane Aldaba"/>
    <s v="http://www.youtube.com/channel/UCSLzh_2e-fC7yrOAj39TAAw"/>
    <s v="UgzpYEHoXQHqlDzsetN4AaABAg"/>
    <s v="MWk8XJWEiO4"/>
    <s v="https://www.youtube.com/watch?v=MWk8XJWEiO4"/>
    <s v="none"/>
    <n v="0"/>
    <x v="8"/>
    <d v="2021-04-15T11:54:44.000"/>
    <m/>
    <m/>
    <s v=""/>
    <n v="1"/>
    <s v="4"/>
    <s v="4"/>
    <n v="0"/>
    <n v="0"/>
    <n v="0"/>
    <n v="0"/>
    <n v="0"/>
    <n v="0"/>
    <n v="5"/>
    <n v="100"/>
    <n v="5"/>
  </r>
  <r>
    <s v="UCwSB6LON4E0a7yTaZxepNZA"/>
    <s v="UC07-dOwgza1IguKA86jqxNA"/>
    <s v="128, 128, 128"/>
    <n v="3"/>
    <m/>
    <n v="40"/>
    <m/>
    <m/>
    <m/>
    <m/>
    <s v="No"/>
    <n v="12"/>
    <m/>
    <m/>
    <s v="Commented Video"/>
    <x v="0"/>
    <s v="Excellent information 👍😊"/>
    <s v="UCwSB6LON4E0a7yTaZxepNZA"/>
    <s v="Keerti Chaurasiya"/>
    <s v="http://www.youtube.com/channel/UCwSB6LON4E0a7yTaZxepNZA"/>
    <m/>
    <s v="MWk8XJWEiO4"/>
    <s v="https://www.youtube.com/watch?v=MWk8XJWEiO4"/>
    <s v="none"/>
    <n v="0"/>
    <x v="9"/>
    <d v="2020-11-08T16:11:57.000"/>
    <m/>
    <m/>
    <s v=""/>
    <n v="1"/>
    <s v="4"/>
    <s v="4"/>
    <n v="1"/>
    <n v="50"/>
    <n v="0"/>
    <n v="0"/>
    <n v="0"/>
    <n v="0"/>
    <n v="1"/>
    <n v="50"/>
    <n v="2"/>
  </r>
  <r>
    <s v="UC2LxcXUNLqPhJrjxhuQMT3w"/>
    <s v="UC07-dOwgza1IguKA86jqxNA"/>
    <s v="128, 128, 128"/>
    <n v="3"/>
    <m/>
    <n v="40"/>
    <m/>
    <m/>
    <m/>
    <m/>
    <s v="No"/>
    <n v="13"/>
    <m/>
    <m/>
    <s v="Commented Video"/>
    <x v="0"/>
    <s v="fuck online classes"/>
    <s v="UC2LxcXUNLqPhJrjxhuQMT3w"/>
    <s v="rvm"/>
    <s v="http://www.youtube.com/channel/UC2LxcXUNLqPhJrjxhuQMT3w"/>
    <m/>
    <s v="MWk8XJWEiO4"/>
    <s v="https://www.youtube.com/watch?v=MWk8XJWEiO4"/>
    <s v="none"/>
    <n v="0"/>
    <x v="10"/>
    <d v="2020-11-24T02:42:20.000"/>
    <m/>
    <m/>
    <s v=""/>
    <n v="1"/>
    <s v="4"/>
    <s v="4"/>
    <n v="0"/>
    <n v="0"/>
    <n v="1"/>
    <n v="33.333333333333336"/>
    <n v="0"/>
    <n v="0"/>
    <n v="2"/>
    <n v="66.66666666666667"/>
    <n v="3"/>
  </r>
  <r>
    <s v="UCJCl1Qw-Uor9xnVdfuhcH0Q"/>
    <s v="UCTl32ukBGG3FGRX7ZfZwVTw"/>
    <s v="128, 128, 128"/>
    <n v="3"/>
    <m/>
    <n v="40"/>
    <m/>
    <m/>
    <m/>
    <m/>
    <s v="No"/>
    <n v="14"/>
    <m/>
    <m/>
    <s v="Commented Video"/>
    <x v="0"/>
    <s v="how can i download this video"/>
    <s v="UCJCl1Qw-Uor9xnVdfuhcH0Q"/>
    <s v="prudence pineda"/>
    <s v="http://www.youtube.com/channel/UCJCl1Qw-Uor9xnVdfuhcH0Q"/>
    <m/>
    <s v="uGHwpg-fJvc"/>
    <s v="https://www.youtube.com/watch?v=uGHwpg-fJvc"/>
    <s v="none"/>
    <n v="2"/>
    <x v="11"/>
    <d v="2018-02-05T04:56:10.000"/>
    <m/>
    <m/>
    <s v=""/>
    <n v="1"/>
    <s v="3"/>
    <s v="3"/>
    <n v="0"/>
    <n v="0"/>
    <n v="0"/>
    <n v="0"/>
    <n v="0"/>
    <n v="0"/>
    <n v="6"/>
    <n v="100"/>
    <n v="6"/>
  </r>
  <r>
    <s v="UC7rNPh7zNnIm-1yWgTKmYrw"/>
    <s v="UCTl32ukBGG3FGRX7ZfZwVTw"/>
    <s v="128, 128, 128"/>
    <n v="3"/>
    <m/>
    <n v="40"/>
    <m/>
    <m/>
    <m/>
    <m/>
    <s v="No"/>
    <n v="15"/>
    <m/>
    <m/>
    <s v="Commented Video"/>
    <x v="0"/>
    <s v="I understood it"/>
    <s v="UC7rNPh7zNnIm-1yWgTKmYrw"/>
    <s v="nandini kore"/>
    <s v="http://www.youtube.com/channel/UC7rNPh7zNnIm-1yWgTKmYrw"/>
    <m/>
    <s v="uGHwpg-fJvc"/>
    <s v="https://www.youtube.com/watch?v=uGHwpg-fJvc"/>
    <s v="none"/>
    <n v="2"/>
    <x v="12"/>
    <d v="2018-07-10T16:04:53.000"/>
    <m/>
    <m/>
    <s v=""/>
    <n v="1"/>
    <s v="3"/>
    <s v="3"/>
    <n v="0"/>
    <n v="0"/>
    <n v="0"/>
    <n v="0"/>
    <n v="0"/>
    <n v="0"/>
    <n v="3"/>
    <n v="100"/>
    <n v="3"/>
  </r>
  <r>
    <s v="UC5f6Lx2sf0O43HKt0G5_4YA"/>
    <s v="UCTl32ukBGG3FGRX7ZfZwVTw"/>
    <s v="128, 128, 128"/>
    <n v="3"/>
    <m/>
    <n v="40"/>
    <m/>
    <m/>
    <m/>
    <m/>
    <s v="No"/>
    <n v="16"/>
    <m/>
    <m/>
    <s v="Commented Video"/>
    <x v="0"/>
    <s v="Useful video"/>
    <s v="UC5f6Lx2sf0O43HKt0G5_4YA"/>
    <s v="Lka Ajith"/>
    <s v="http://www.youtube.com/channel/UC5f6Lx2sf0O43HKt0G5_4YA"/>
    <m/>
    <s v="uGHwpg-fJvc"/>
    <s v="https://www.youtube.com/watch?v=uGHwpg-fJvc"/>
    <s v="none"/>
    <n v="4"/>
    <x v="13"/>
    <d v="2018-12-27T15:07:23.000"/>
    <m/>
    <m/>
    <s v=""/>
    <n v="1"/>
    <s v="3"/>
    <s v="3"/>
    <n v="1"/>
    <n v="50"/>
    <n v="0"/>
    <n v="0"/>
    <n v="0"/>
    <n v="0"/>
    <n v="1"/>
    <n v="50"/>
    <n v="2"/>
  </r>
  <r>
    <s v="UC2m5BR47ai-hasWinpJQIrQ"/>
    <s v="UCTl32ukBGG3FGRX7ZfZwVTw"/>
    <s v="128, 128, 128"/>
    <n v="3"/>
    <m/>
    <n v="40"/>
    <m/>
    <m/>
    <m/>
    <m/>
    <s v="No"/>
    <n v="17"/>
    <m/>
    <m/>
    <s v="Commented Video"/>
    <x v="0"/>
    <s v="Nice video"/>
    <s v="UC2m5BR47ai-hasWinpJQIrQ"/>
    <s v="vaishali sasane"/>
    <s v="http://www.youtube.com/channel/UC2m5BR47ai-hasWinpJQIrQ"/>
    <m/>
    <s v="uGHwpg-fJvc"/>
    <s v="https://www.youtube.com/watch?v=uGHwpg-fJvc"/>
    <s v="none"/>
    <n v="2"/>
    <x v="14"/>
    <d v="2019-02-27T15:20:50.000"/>
    <m/>
    <m/>
    <s v=""/>
    <n v="1"/>
    <s v="3"/>
    <s v="3"/>
    <n v="1"/>
    <n v="50"/>
    <n v="0"/>
    <n v="0"/>
    <n v="0"/>
    <n v="0"/>
    <n v="1"/>
    <n v="50"/>
    <n v="2"/>
  </r>
  <r>
    <s v="UC_k3eP9m8U3bW2ByWs3BRlg"/>
    <s v="UC4NI7ilrRqfiK8xMUG1dZ0w"/>
    <s v="128, 128, 128"/>
    <n v="3"/>
    <m/>
    <n v="40"/>
    <m/>
    <m/>
    <m/>
    <m/>
    <s v="No"/>
    <n v="18"/>
    <m/>
    <m/>
    <s v="Replied Comment"/>
    <x v="1"/>
    <s v="Me too!"/>
    <s v="UC_k3eP9m8U3bW2ByWs3BRlg"/>
    <s v="SkippyUnicorn"/>
    <s v="http://www.youtube.com/channel/UC_k3eP9m8U3bW2ByWs3BRlg"/>
    <s v="UgxBk7VUoGkrZfkPX0B4AaABAg"/>
    <s v="uGHwpg-fJvc"/>
    <s v="https://www.youtube.com/watch?v=uGHwpg-fJvc"/>
    <s v="none"/>
    <n v="0"/>
    <x v="15"/>
    <d v="2021-03-02T13:10:55.000"/>
    <m/>
    <m/>
    <s v=""/>
    <n v="1"/>
    <s v="3"/>
    <s v="3"/>
    <n v="0"/>
    <n v="0"/>
    <n v="0"/>
    <n v="0"/>
    <n v="0"/>
    <n v="0"/>
    <n v="2"/>
    <n v="100"/>
    <n v="2"/>
  </r>
  <r>
    <s v="UC4NI7ilrRqfiK8xMUG1dZ0w"/>
    <s v="UCTl32ukBGG3FGRX7ZfZwVTw"/>
    <s v="128, 128, 128"/>
    <n v="3"/>
    <m/>
    <n v="40"/>
    <m/>
    <m/>
    <m/>
    <m/>
    <s v="No"/>
    <n v="19"/>
    <m/>
    <m/>
    <s v="Commented Video"/>
    <x v="0"/>
    <s v="now I can distinguish comunicable disease and non comunicable disease"/>
    <s v="UC4NI7ilrRqfiK8xMUG1dZ0w"/>
    <s v="Sigek Wedar"/>
    <s v="http://www.youtube.com/channel/UC4NI7ilrRqfiK8xMUG1dZ0w"/>
    <m/>
    <s v="uGHwpg-fJvc"/>
    <s v="https://www.youtube.com/watch?v=uGHwpg-fJvc"/>
    <s v="none"/>
    <n v="4"/>
    <x v="16"/>
    <d v="2019-03-24T05:49:42.000"/>
    <m/>
    <m/>
    <s v=""/>
    <n v="1"/>
    <s v="3"/>
    <s v="3"/>
    <n v="0"/>
    <n v="0"/>
    <n v="0"/>
    <n v="0"/>
    <n v="0"/>
    <n v="0"/>
    <n v="10"/>
    <n v="100"/>
    <n v="10"/>
  </r>
  <r>
    <s v="UCEQkX3yQvmG-23u9b8lvmuw"/>
    <s v="UCTl32ukBGG3FGRX7ZfZwVTw"/>
    <s v="128, 128, 128"/>
    <n v="3"/>
    <m/>
    <n v="40"/>
    <m/>
    <m/>
    <m/>
    <m/>
    <s v="No"/>
    <n v="20"/>
    <m/>
    <m/>
    <s v="Commented Video"/>
    <x v="0"/>
    <s v="Thank you, this video is very helpful to me :)"/>
    <s v="UCEQkX3yQvmG-23u9b8lvmuw"/>
    <s v="Rezitha Devia"/>
    <s v="http://www.youtube.com/channel/UCEQkX3yQvmG-23u9b8lvmuw"/>
    <m/>
    <s v="uGHwpg-fJvc"/>
    <s v="https://www.youtube.com/watch?v=uGHwpg-fJvc"/>
    <s v="none"/>
    <n v="4"/>
    <x v="17"/>
    <d v="2019-04-03T16:37:49.000"/>
    <m/>
    <m/>
    <s v=""/>
    <n v="1"/>
    <s v="3"/>
    <s v="3"/>
    <n v="2"/>
    <n v="22.22222222222222"/>
    <n v="0"/>
    <n v="0"/>
    <n v="0"/>
    <n v="0"/>
    <n v="7"/>
    <n v="77.77777777777777"/>
    <n v="9"/>
  </r>
  <r>
    <s v="UCNpJn9ONNVoW_DGiP6khUFg"/>
    <s v="UCTl32ukBGG3FGRX7ZfZwVTw"/>
    <s v="128, 128, 128"/>
    <n v="3"/>
    <m/>
    <n v="40"/>
    <m/>
    <m/>
    <m/>
    <m/>
    <s v="No"/>
    <n v="21"/>
    <m/>
    <m/>
    <s v="Commented Video"/>
    <x v="0"/>
    <s v="hi top set people 🤣"/>
    <s v="UCNpJn9ONNVoW_DGiP6khUFg"/>
    <s v="kami uses rinnegan"/>
    <s v="http://www.youtube.com/channel/UCNpJn9ONNVoW_DGiP6khUFg"/>
    <m/>
    <s v="uGHwpg-fJvc"/>
    <s v="https://www.youtube.com/watch?v=uGHwpg-fJvc"/>
    <s v="none"/>
    <n v="5"/>
    <x v="18"/>
    <d v="2019-09-24T22:43:27.000"/>
    <m/>
    <m/>
    <s v=""/>
    <n v="1"/>
    <s v="3"/>
    <s v="3"/>
    <n v="1"/>
    <n v="25"/>
    <n v="0"/>
    <n v="0"/>
    <n v="0"/>
    <n v="0"/>
    <n v="3"/>
    <n v="75"/>
    <n v="4"/>
  </r>
  <r>
    <s v="UCzIbFH6UUwsRNVzmNkSUjiw"/>
    <s v="UCTl32ukBGG3FGRX7ZfZwVTw"/>
    <s v="128, 128, 128"/>
    <n v="3"/>
    <m/>
    <n v="40"/>
    <m/>
    <m/>
    <m/>
    <m/>
    <s v="No"/>
    <n v="22"/>
    <m/>
    <m/>
    <s v="Commented Video"/>
    <x v="0"/>
    <s v="Great Video!"/>
    <s v="UCzIbFH6UUwsRNVzmNkSUjiw"/>
    <s v="Ethan Waire"/>
    <s v="http://www.youtube.com/channel/UCzIbFH6UUwsRNVzmNkSUjiw"/>
    <m/>
    <s v="uGHwpg-fJvc"/>
    <s v="https://www.youtube.com/watch?v=uGHwpg-fJvc"/>
    <s v="none"/>
    <n v="3"/>
    <x v="19"/>
    <d v="2020-08-26T17:41:21.000"/>
    <m/>
    <m/>
    <s v=""/>
    <n v="1"/>
    <s v="3"/>
    <s v="3"/>
    <n v="1"/>
    <n v="50"/>
    <n v="0"/>
    <n v="0"/>
    <n v="0"/>
    <n v="0"/>
    <n v="1"/>
    <n v="50"/>
    <n v="2"/>
  </r>
  <r>
    <s v="UC4v9ixY7tjtvkKVlE8vXygQ"/>
    <s v="UCTl32ukBGG3FGRX7ZfZwVTw"/>
    <s v="128, 128, 128"/>
    <n v="3"/>
    <m/>
    <n v="40"/>
    <m/>
    <m/>
    <m/>
    <m/>
    <s v="No"/>
    <n v="23"/>
    <m/>
    <m/>
    <s v="Commented Video"/>
    <x v="0"/>
    <s v="Bad video"/>
    <s v="UC4v9ixY7tjtvkKVlE8vXygQ"/>
    <s v="nee"/>
    <s v="http://www.youtube.com/channel/UC4v9ixY7tjtvkKVlE8vXygQ"/>
    <m/>
    <s v="uGHwpg-fJvc"/>
    <s v="https://www.youtube.com/watch?v=uGHwpg-fJvc"/>
    <s v="none"/>
    <n v="5"/>
    <x v="20"/>
    <d v="2020-09-22T03:41:38.000"/>
    <m/>
    <m/>
    <s v=""/>
    <n v="1"/>
    <s v="3"/>
    <s v="3"/>
    <n v="0"/>
    <n v="0"/>
    <n v="1"/>
    <n v="50"/>
    <n v="0"/>
    <n v="0"/>
    <n v="1"/>
    <n v="50"/>
    <n v="2"/>
  </r>
  <r>
    <s v="UCR035xkdm31BkKQVhUyqB9g"/>
    <s v="UCTl32ukBGG3FGRX7ZfZwVTw"/>
    <s v="128, 128, 128"/>
    <n v="3"/>
    <m/>
    <n v="40"/>
    <m/>
    <m/>
    <m/>
    <m/>
    <s v="No"/>
    <n v="24"/>
    <m/>
    <m/>
    <s v="Commented Video"/>
    <x v="0"/>
    <s v="Good"/>
    <s v="UCR035xkdm31BkKQVhUyqB9g"/>
    <s v="Ayush Singh"/>
    <s v="http://www.youtube.com/channel/UCR035xkdm31BkKQVhUyqB9g"/>
    <m/>
    <s v="uGHwpg-fJvc"/>
    <s v="https://www.youtube.com/watch?v=uGHwpg-fJvc"/>
    <s v="none"/>
    <n v="1"/>
    <x v="21"/>
    <d v="2020-11-10T13:06:25.000"/>
    <m/>
    <m/>
    <s v=""/>
    <n v="1"/>
    <s v="3"/>
    <s v="3"/>
    <n v="1"/>
    <n v="100"/>
    <n v="0"/>
    <n v="0"/>
    <n v="0"/>
    <n v="0"/>
    <n v="0"/>
    <n v="0"/>
    <n v="1"/>
  </r>
  <r>
    <s v="UCZjlaVgXMjuKH5ebn207-lQ"/>
    <s v="UCTl32ukBGG3FGRX7ZfZwVTw"/>
    <s v="128, 128, 128"/>
    <n v="3"/>
    <m/>
    <n v="40"/>
    <m/>
    <m/>
    <m/>
    <m/>
    <s v="No"/>
    <n v="25"/>
    <m/>
    <m/>
    <s v="Commented Video"/>
    <x v="0"/>
    <s v="Lol"/>
    <s v="UCZjlaVgXMjuKH5ebn207-lQ"/>
    <s v="SteveNathn"/>
    <s v="http://www.youtube.com/channel/UCZjlaVgXMjuKH5ebn207-lQ"/>
    <m/>
    <s v="uGHwpg-fJvc"/>
    <s v="https://www.youtube.com/watch?v=uGHwpg-fJvc"/>
    <s v="none"/>
    <n v="1"/>
    <x v="22"/>
    <d v="2021-02-15T04:24:04.000"/>
    <m/>
    <m/>
    <s v=""/>
    <n v="1"/>
    <s v="3"/>
    <s v="3"/>
    <n v="0"/>
    <n v="0"/>
    <n v="0"/>
    <n v="0"/>
    <n v="0"/>
    <n v="0"/>
    <n v="1"/>
    <n v="100"/>
    <n v="1"/>
  </r>
  <r>
    <s v="UCgTNsNpvgKhJTjwXB7aU01w"/>
    <s v="UCTl32ukBGG3FGRX7ZfZwVTw"/>
    <s v="128, 128, 128"/>
    <n v="3"/>
    <m/>
    <n v="40"/>
    <m/>
    <m/>
    <m/>
    <m/>
    <s v="No"/>
    <n v="26"/>
    <m/>
    <m/>
    <s v="Commented Video"/>
    <x v="0"/>
    <s v="Thank you mam"/>
    <s v="UCgTNsNpvgKhJTjwXB7aU01w"/>
    <s v="Saswati Ghosh Roy"/>
    <s v="http://www.youtube.com/channel/UCgTNsNpvgKhJTjwXB7aU01w"/>
    <m/>
    <s v="uGHwpg-fJvc"/>
    <s v="https://www.youtube.com/watch?v=uGHwpg-fJvc"/>
    <s v="none"/>
    <n v="0"/>
    <x v="23"/>
    <d v="2021-02-24T10:16:57.000"/>
    <m/>
    <m/>
    <s v=""/>
    <n v="1"/>
    <s v="3"/>
    <s v="3"/>
    <n v="1"/>
    <n v="33.333333333333336"/>
    <n v="0"/>
    <n v="0"/>
    <n v="0"/>
    <n v="0"/>
    <n v="2"/>
    <n v="66.66666666666667"/>
    <n v="3"/>
  </r>
  <r>
    <s v="UCvE3AycU51EI-M1VKvfL2QA"/>
    <s v="UCTl32ukBGG3FGRX7ZfZwVTw"/>
    <s v="128, 128, 128"/>
    <n v="3"/>
    <m/>
    <n v="40"/>
    <m/>
    <m/>
    <m/>
    <m/>
    <s v="No"/>
    <n v="27"/>
    <m/>
    <m/>
    <s v="Commented Video"/>
    <x v="0"/>
    <s v="Nice video 📷📷📷📷📷📷📷"/>
    <s v="UCvE3AycU51EI-M1VKvfL2QA"/>
    <s v="Jenine Grant"/>
    <s v="http://www.youtube.com/channel/UCvE3AycU51EI-M1VKvfL2QA"/>
    <m/>
    <s v="uGHwpg-fJvc"/>
    <s v="https://www.youtube.com/watch?v=uGHwpg-fJvc"/>
    <s v="none"/>
    <n v="1"/>
    <x v="24"/>
    <d v="2021-02-24T16:06:20.000"/>
    <m/>
    <m/>
    <s v=""/>
    <n v="1"/>
    <s v="3"/>
    <s v="3"/>
    <n v="1"/>
    <n v="50"/>
    <n v="0"/>
    <n v="0"/>
    <n v="0"/>
    <n v="0"/>
    <n v="1"/>
    <n v="50"/>
    <n v="2"/>
  </r>
  <r>
    <s v="UCAjsfSZRjfSov7JeArnUf4Q"/>
    <s v="UCTl32ukBGG3FGRX7ZfZwVTw"/>
    <s v="128, 128, 128"/>
    <n v="3"/>
    <m/>
    <n v="40"/>
    <m/>
    <m/>
    <m/>
    <m/>
    <s v="No"/>
    <n v="28"/>
    <m/>
    <m/>
    <s v="Commented Video"/>
    <x v="0"/>
    <s v="L"/>
    <s v="UCAjsfSZRjfSov7JeArnUf4Q"/>
    <s v="Prem Kumar"/>
    <s v="http://www.youtube.com/channel/UCAjsfSZRjfSov7JeArnUf4Q"/>
    <m/>
    <s v="uGHwpg-fJvc"/>
    <s v="https://www.youtube.com/watch?v=uGHwpg-fJvc"/>
    <s v="none"/>
    <n v="0"/>
    <x v="25"/>
    <d v="2021-03-03T09:10:52.000"/>
    <m/>
    <m/>
    <s v=""/>
    <n v="1"/>
    <s v="3"/>
    <s v="3"/>
    <n v="0"/>
    <n v="0"/>
    <n v="0"/>
    <n v="0"/>
    <n v="0"/>
    <n v="0"/>
    <n v="1"/>
    <n v="100"/>
    <n v="1"/>
  </r>
  <r>
    <s v="UCHprdtYyCzc5-fcSNXCUd7A"/>
    <s v="UCTl32ukBGG3FGRX7ZfZwVTw"/>
    <s v="128, 128, 128"/>
    <n v="3"/>
    <m/>
    <n v="40"/>
    <m/>
    <m/>
    <m/>
    <m/>
    <s v="No"/>
    <n v="29"/>
    <m/>
    <m/>
    <s v="Commented Video"/>
    <x v="0"/>
    <s v="So right to say thanks to Doctor ojie on YouTube for helping terminate my herpes permanently, through is natural herbs medication."/>
    <s v="UCHprdtYyCzc5-fcSNXCUd7A"/>
    <s v="Jeffery West"/>
    <s v="http://www.youtube.com/channel/UCHprdtYyCzc5-fcSNXCUd7A"/>
    <m/>
    <s v="uGHwpg-fJvc"/>
    <s v="https://www.youtube.com/watch?v=uGHwpg-fJvc"/>
    <s v="none"/>
    <n v="0"/>
    <x v="26"/>
    <d v="2021-04-27T15:47:10.000"/>
    <m/>
    <m/>
    <s v=""/>
    <n v="1"/>
    <s v="3"/>
    <s v="3"/>
    <n v="2"/>
    <n v="9.523809523809524"/>
    <n v="0"/>
    <n v="0"/>
    <n v="0"/>
    <n v="0"/>
    <n v="19"/>
    <n v="90.47619047619048"/>
    <n v="21"/>
  </r>
  <r>
    <s v="UCHwSZKulthy0a03ykIPVEOQ"/>
    <s v="UCTl32ukBGG3FGRX7ZfZwVTw"/>
    <s v="128, 128, 128"/>
    <n v="3"/>
    <m/>
    <n v="40"/>
    <m/>
    <m/>
    <m/>
    <m/>
    <s v="No"/>
    <n v="30"/>
    <m/>
    <m/>
    <s v="Commented Video"/>
    <x v="0"/>
    <s v="Hello thank you for this"/>
    <s v="UCHwSZKulthy0a03ykIPVEOQ"/>
    <s v="Study First Instrumental Music TV"/>
    <s v="http://www.youtube.com/channel/UCHwSZKulthy0a03ykIPVEOQ"/>
    <m/>
    <s v="uGHwpg-fJvc"/>
    <s v="https://www.youtube.com/watch?v=uGHwpg-fJvc"/>
    <s v="none"/>
    <n v="0"/>
    <x v="27"/>
    <d v="2021-05-03T02:46:08.000"/>
    <m/>
    <m/>
    <s v=""/>
    <n v="1"/>
    <s v="3"/>
    <s v="3"/>
    <n v="1"/>
    <n v="20"/>
    <n v="0"/>
    <n v="0"/>
    <n v="0"/>
    <n v="0"/>
    <n v="4"/>
    <n v="80"/>
    <n v="5"/>
  </r>
  <r>
    <s v="UCX49f7UWiH1B6rW18m9Rhlw"/>
    <s v="UCTl32ukBGG3FGRX7ZfZwVTw"/>
    <s v="128, 128, 128"/>
    <n v="3"/>
    <m/>
    <n v="40"/>
    <m/>
    <m/>
    <m/>
    <m/>
    <s v="No"/>
    <n v="31"/>
    <m/>
    <m/>
    <s v="Commented Video"/>
    <x v="0"/>
    <s v="Finally I got cured of 4 years chronic lower respiratory disease, I&amp;#39;m now free ♥️♥️ ❤️ I appreciate Dr. Gbenga for his help."/>
    <s v="UCX49f7UWiH1B6rW18m9Rhlw"/>
    <s v="William Henry"/>
    <s v="http://www.youtube.com/channel/UCX49f7UWiH1B6rW18m9Rhlw"/>
    <m/>
    <s v="uGHwpg-fJvc"/>
    <s v="https://www.youtube.com/watch?v=uGHwpg-fJvc"/>
    <s v="none"/>
    <n v="0"/>
    <x v="28"/>
    <d v="2021-06-09T10:45:10.000"/>
    <m/>
    <m/>
    <s v=""/>
    <n v="1"/>
    <s v="3"/>
    <s v="3"/>
    <n v="2"/>
    <n v="8.695652173913043"/>
    <n v="1"/>
    <n v="4.3478260869565215"/>
    <n v="0"/>
    <n v="0"/>
    <n v="20"/>
    <n v="86.95652173913044"/>
    <n v="23"/>
  </r>
  <r>
    <s v="UCemdRq8VR5OiophHxaKdFfA"/>
    <s v="UCTl32ukBGG3FGRX7ZfZwVTw"/>
    <s v="128, 128, 128"/>
    <n v="3"/>
    <m/>
    <n v="40"/>
    <m/>
    <m/>
    <m/>
    <m/>
    <s v="No"/>
    <n v="32"/>
    <m/>
    <m/>
    <s v="Commented Video"/>
    <x v="0"/>
    <s v="Thank you, for the explanation. This video is very useful"/>
    <s v="UCemdRq8VR5OiophHxaKdFfA"/>
    <s v="rekamega Sari"/>
    <s v="http://www.youtube.com/channel/UCemdRq8VR5OiophHxaKdFfA"/>
    <m/>
    <s v="lruYVSGcxHs"/>
    <s v="https://www.youtube.com/watch?v=lruYVSGcxHs"/>
    <s v="none"/>
    <n v="0"/>
    <x v="29"/>
    <d v="2019-04-09T13:32:30.000"/>
    <m/>
    <m/>
    <s v=""/>
    <n v="1"/>
    <s v="3"/>
    <s v="3"/>
    <n v="2"/>
    <n v="20"/>
    <n v="0"/>
    <n v="0"/>
    <n v="0"/>
    <n v="0"/>
    <n v="8"/>
    <n v="80"/>
    <n v="10"/>
  </r>
  <r>
    <s v="UChq4mVpPVEDxRxXtT-rBX1w"/>
    <s v="UCTl32ukBGG3FGRX7ZfZwVTw"/>
    <s v="128, 128, 128"/>
    <n v="3"/>
    <m/>
    <n v="40"/>
    <m/>
    <m/>
    <m/>
    <m/>
    <s v="No"/>
    <n v="33"/>
    <m/>
    <m/>
    <s v="Commented Video"/>
    <x v="0"/>
    <s v="Thanks"/>
    <s v="UChq4mVpPVEDxRxXtT-rBX1w"/>
    <s v="Piera Phiri"/>
    <s v="http://www.youtube.com/channel/UChq4mVpPVEDxRxXtT-rBX1w"/>
    <m/>
    <s v="lruYVSGcxHs"/>
    <s v="https://www.youtube.com/watch?v=lruYVSGcxHs"/>
    <s v="none"/>
    <n v="0"/>
    <x v="30"/>
    <d v="2019-06-16T14:38:20.000"/>
    <m/>
    <m/>
    <s v=""/>
    <n v="1"/>
    <s v="3"/>
    <s v="3"/>
    <n v="0"/>
    <n v="0"/>
    <n v="0"/>
    <n v="0"/>
    <n v="0"/>
    <n v="0"/>
    <n v="1"/>
    <n v="100"/>
    <n v="1"/>
  </r>
  <r>
    <s v="UCQ2Lgfym1M6v50JEm5P7uJw"/>
    <s v="UCTl32ukBGG3FGRX7ZfZwVTw"/>
    <s v="128, 128, 128"/>
    <n v="3"/>
    <m/>
    <n v="40"/>
    <m/>
    <m/>
    <m/>
    <m/>
    <s v="No"/>
    <n v="34"/>
    <m/>
    <m/>
    <s v="Commented Video"/>
    <x v="0"/>
    <s v="This is awesome , great work."/>
    <s v="UCQ2Lgfym1M6v50JEm5P7uJw"/>
    <s v="NORBERT DUKUZE"/>
    <s v="http://www.youtube.com/channel/UCQ2Lgfym1M6v50JEm5P7uJw"/>
    <m/>
    <s v="lruYVSGcxHs"/>
    <s v="https://www.youtube.com/watch?v=lruYVSGcxHs"/>
    <s v="none"/>
    <n v="0"/>
    <x v="31"/>
    <d v="2019-12-06T16:04:35.000"/>
    <m/>
    <m/>
    <s v=""/>
    <n v="1"/>
    <s v="3"/>
    <s v="3"/>
    <n v="3"/>
    <n v="60"/>
    <n v="0"/>
    <n v="0"/>
    <n v="0"/>
    <n v="0"/>
    <n v="2"/>
    <n v="40"/>
    <n v="5"/>
  </r>
  <r>
    <s v="UCS0bq3n9kirVOTorva8UKJg"/>
    <s v="UCTl32ukBGG3FGRX7ZfZwVTw"/>
    <s v="128, 128, 128"/>
    <n v="3"/>
    <m/>
    <n v="40"/>
    <m/>
    <m/>
    <m/>
    <m/>
    <s v="No"/>
    <n v="35"/>
    <m/>
    <m/>
    <s v="Commented Video"/>
    <x v="0"/>
    <s v="Hello"/>
    <s v="UCS0bq3n9kirVOTorva8UKJg"/>
    <s v="Red Malabanan"/>
    <s v="http://www.youtube.com/channel/UCS0bq3n9kirVOTorva8UKJg"/>
    <m/>
    <s v="lruYVSGcxHs"/>
    <s v="https://www.youtube.com/watch?v=lruYVSGcxHs"/>
    <s v="none"/>
    <n v="0"/>
    <x v="32"/>
    <d v="2021-04-28T04:01:40.000"/>
    <m/>
    <m/>
    <s v=""/>
    <n v="1"/>
    <s v="3"/>
    <s v="3"/>
    <n v="0"/>
    <n v="0"/>
    <n v="0"/>
    <n v="0"/>
    <n v="0"/>
    <n v="0"/>
    <n v="1"/>
    <n v="100"/>
    <n v="1"/>
  </r>
  <r>
    <s v="UCXoIkjZ6kQ_h-NIKNxbOseg"/>
    <s v="UCcKWKoA7pGXi1W7BUZ2xsfg"/>
    <s v="128, 128, 128"/>
    <n v="3"/>
    <m/>
    <n v="40"/>
    <m/>
    <m/>
    <m/>
    <m/>
    <s v="No"/>
    <n v="36"/>
    <m/>
    <m/>
    <s v="Replied Comment"/>
    <x v="1"/>
    <s v="Pagal"/>
    <s v="UCXoIkjZ6kQ_h-NIKNxbOseg"/>
    <s v="Neeru Dubey"/>
    <s v="http://www.youtube.com/channel/UCXoIkjZ6kQ_h-NIKNxbOseg"/>
    <s v="UggoXkmDIiEgSXgCoAEC"/>
    <s v="fK1_SH3X2ek"/>
    <s v="https://www.youtube.com/watch?v=fK1_SH3X2ek"/>
    <s v="none"/>
    <n v="0"/>
    <x v="33"/>
    <d v="2020-05-21T07:24:08.000"/>
    <m/>
    <m/>
    <s v=""/>
    <n v="1"/>
    <s v="1"/>
    <s v="1"/>
    <n v="0"/>
    <n v="0"/>
    <n v="0"/>
    <n v="0"/>
    <n v="0"/>
    <n v="0"/>
    <n v="1"/>
    <n v="100"/>
    <n v="1"/>
  </r>
  <r>
    <s v="UCWKJSLASMS7LgiWB0B3U3VA"/>
    <s v="UCcKWKoA7pGXi1W7BUZ2xsfg"/>
    <s v="128, 128, 128"/>
    <n v="3"/>
    <m/>
    <n v="40"/>
    <m/>
    <m/>
    <m/>
    <m/>
    <s v="No"/>
    <n v="37"/>
    <m/>
    <m/>
    <s v="Replied Comment"/>
    <x v="1"/>
    <s v="Thank you! Help us to disseminate it!"/>
    <s v="UCWKJSLASMS7LgiWB0B3U3VA"/>
    <s v="Arantxa Cayón"/>
    <s v="http://www.youtube.com/channel/UCWKJSLASMS7LgiWB0B3U3VA"/>
    <s v="UggoXkmDIiEgSXgCoAEC"/>
    <s v="fK1_SH3X2ek"/>
    <s v="https://www.youtube.com/watch?v=fK1_SH3X2ek"/>
    <s v="none"/>
    <n v="0"/>
    <x v="34"/>
    <d v="2017-04-27T00:48:41.000"/>
    <m/>
    <m/>
    <s v=""/>
    <n v="1"/>
    <s v="1"/>
    <s v="1"/>
    <n v="1"/>
    <n v="14.285714285714286"/>
    <n v="0"/>
    <n v="0"/>
    <n v="0"/>
    <n v="0"/>
    <n v="6"/>
    <n v="85.71428571428571"/>
    <n v="7"/>
  </r>
  <r>
    <s v="UCsZFWQYkG-slxqG0PSAeuDg"/>
    <s v="UCcKWKoA7pGXi1W7BUZ2xsfg"/>
    <s v="128, 128, 128"/>
    <n v="3"/>
    <m/>
    <n v="40"/>
    <m/>
    <m/>
    <m/>
    <m/>
    <s v="No"/>
    <n v="38"/>
    <m/>
    <m/>
    <s v="Replied Comment"/>
    <x v="1"/>
    <s v="Stefanie Rimpel &lt;br&gt;Interesting topic, wow, follow this link to get more insights on this subject. &lt;br&gt;&lt;a href=&quot;https://gurudeseyesubai.org/hidden-causes-of-disease-3/&quot;&gt;https://gurudeseyesubai.org/hidden-causes-of-disease-3/&lt;/a&gt;"/>
    <s v="UCsZFWQYkG-slxqG0PSAeuDg"/>
    <s v="chinaenye obicheta"/>
    <s v="http://www.youtube.com/channel/UCsZFWQYkG-slxqG0PSAeuDg"/>
    <s v="UggoXkmDIiEgSXgCoAEC"/>
    <s v="fK1_SH3X2ek"/>
    <s v="https://www.youtube.com/watch?v=fK1_SH3X2ek"/>
    <s v="none"/>
    <n v="1"/>
    <x v="35"/>
    <d v="2020-04-06T01:46:47.000"/>
    <s v=" https://gurudeseyesubai.org/hidden-causes-of-disease-3/ https://gurudeseyesubai.org/hidden-causes-of-disease-3/"/>
    <s v="gurudeseyesubai.org gurudeseyesubai.org"/>
    <s v=""/>
    <n v="1"/>
    <s v="1"/>
    <s v="1"/>
    <n v="2"/>
    <n v="5.555555555555555"/>
    <n v="0"/>
    <n v="0"/>
    <n v="0"/>
    <n v="0"/>
    <n v="34"/>
    <n v="94.44444444444444"/>
    <n v="36"/>
  </r>
  <r>
    <s v="UCcKWKoA7pGXi1W7BUZ2xsfg"/>
    <s v="UCpNnv_kL4Jk8YG_VflnZpmg"/>
    <s v="128, 128, 128"/>
    <n v="3"/>
    <m/>
    <n v="40"/>
    <m/>
    <m/>
    <m/>
    <m/>
    <s v="No"/>
    <n v="39"/>
    <m/>
    <m/>
    <s v="Commented Video"/>
    <x v="0"/>
    <s v="I love this video. Simple, yet informative! Thanks for sharing."/>
    <s v="UCcKWKoA7pGXi1W7BUZ2xsfg"/>
    <s v="Stefanie Rimpel"/>
    <s v="http://www.youtube.com/channel/UCcKWKoA7pGXi1W7BUZ2xsfg"/>
    <m/>
    <s v="fK1_SH3X2ek"/>
    <s v="https://www.youtube.com/watch?v=fK1_SH3X2ek"/>
    <s v="none"/>
    <n v="22"/>
    <x v="36"/>
    <d v="2017-04-12T05:38:36.000"/>
    <m/>
    <m/>
    <s v=""/>
    <n v="1"/>
    <s v="1"/>
    <s v="1"/>
    <n v="1"/>
    <n v="10"/>
    <n v="0"/>
    <n v="0"/>
    <n v="0"/>
    <n v="0"/>
    <n v="9"/>
    <n v="90"/>
    <n v="10"/>
  </r>
  <r>
    <s v="UCWKJSLASMS7LgiWB0B3U3VA"/>
    <s v="UCAW8PZ9dS-LxMtpgSGl6srg"/>
    <s v="128, 128, 128"/>
    <n v="3"/>
    <m/>
    <n v="40"/>
    <m/>
    <m/>
    <m/>
    <m/>
    <s v="No"/>
    <n v="40"/>
    <m/>
    <m/>
    <s v="Replied Comment"/>
    <x v="1"/>
    <s v="Send an email to cayona@&lt;a href=&quot;http://paho.org/&quot;&gt;paho.org&lt;/a&gt; and I will send it to you"/>
    <s v="UCWKJSLASMS7LgiWB0B3U3VA"/>
    <s v="Arantxa Cayón"/>
    <s v="http://www.youtube.com/channel/UCWKJSLASMS7LgiWB0B3U3VA"/>
    <s v="UggMiaxZXEjAJ3gCoAEC"/>
    <s v="fK1_SH3X2ek"/>
    <s v="https://www.youtube.com/watch?v=fK1_SH3X2ek"/>
    <s v="none"/>
    <n v="1"/>
    <x v="37"/>
    <d v="2018-01-18T01:02:13.000"/>
    <s v=" http://paho.org/"/>
    <s v="paho.org"/>
    <s v=""/>
    <n v="1"/>
    <s v="1"/>
    <s v="1"/>
    <n v="0"/>
    <n v="0"/>
    <n v="0"/>
    <n v="0"/>
    <n v="0"/>
    <n v="0"/>
    <n v="20"/>
    <n v="100"/>
    <n v="20"/>
  </r>
  <r>
    <s v="UCAW8PZ9dS-LxMtpgSGl6srg"/>
    <s v="UCpNnv_kL4Jk8YG_VflnZpmg"/>
    <s v="128, 128, 128"/>
    <n v="3"/>
    <m/>
    <n v="40"/>
    <m/>
    <m/>
    <m/>
    <m/>
    <s v="No"/>
    <n v="41"/>
    <m/>
    <m/>
    <s v="Commented Video"/>
    <x v="0"/>
    <s v="Can I download it from somewhere? I would like to use it to show to my medical students."/>
    <s v="UCAW8PZ9dS-LxMtpgSGl6srg"/>
    <s v="Abhinav Vaidya"/>
    <s v="http://www.youtube.com/channel/UCAW8PZ9dS-LxMtpgSGl6srg"/>
    <m/>
    <s v="fK1_SH3X2ek"/>
    <s v="https://www.youtube.com/watch?v=fK1_SH3X2ek"/>
    <s v="none"/>
    <n v="2"/>
    <x v="38"/>
    <d v="2017-05-17T10:08:17.000"/>
    <m/>
    <m/>
    <s v=""/>
    <n v="1"/>
    <s v="1"/>
    <s v="1"/>
    <n v="1"/>
    <n v="5.555555555555555"/>
    <n v="0"/>
    <n v="0"/>
    <n v="0"/>
    <n v="0"/>
    <n v="17"/>
    <n v="94.44444444444444"/>
    <n v="18"/>
  </r>
  <r>
    <s v="UCWKJSLASMS7LgiWB0B3U3VA"/>
    <s v="UCKeFH_4Fq0vPHhSr-GO7kgg"/>
    <s v="128, 128, 128"/>
    <n v="3"/>
    <m/>
    <n v="40"/>
    <m/>
    <m/>
    <m/>
    <m/>
    <s v="No"/>
    <n v="42"/>
    <m/>
    <m/>
    <s v="Replied Comment"/>
    <x v="1"/>
    <s v="&lt;a href=&quot;http://www.paho.org/nmh&quot;&gt;www.paho.org/nmh&lt;/a&gt;"/>
    <s v="UCWKJSLASMS7LgiWB0B3U3VA"/>
    <s v="Arantxa Cayón"/>
    <s v="http://www.youtube.com/channel/UCWKJSLASMS7LgiWB0B3U3VA"/>
    <s v="UgzsBOx3ON05WwMmKCB4AaABAg"/>
    <s v="fK1_SH3X2ek"/>
    <s v="https://www.youtube.com/watch?v=fK1_SH3X2ek"/>
    <s v="none"/>
    <n v="0"/>
    <x v="39"/>
    <d v="2019-01-27T17:48:42.000"/>
    <s v=" http://www.paho.org/nmh"/>
    <s v="paho.org"/>
    <s v=""/>
    <n v="1"/>
    <s v="1"/>
    <s v="1"/>
    <n v="0"/>
    <n v="0"/>
    <n v="0"/>
    <n v="0"/>
    <n v="0"/>
    <n v="0"/>
    <n v="12"/>
    <n v="100"/>
    <n v="12"/>
  </r>
  <r>
    <s v="UCKeFH_4Fq0vPHhSr-GO7kgg"/>
    <s v="UCpNnv_kL4Jk8YG_VflnZpmg"/>
    <s v="128, 128, 128"/>
    <n v="3"/>
    <m/>
    <n v="40"/>
    <m/>
    <m/>
    <m/>
    <m/>
    <s v="No"/>
    <n v="43"/>
    <m/>
    <m/>
    <s v="Commented Video"/>
    <x v="0"/>
    <s v="More information required plz about chronic diseases prevention"/>
    <s v="UCKeFH_4Fq0vPHhSr-GO7kgg"/>
    <s v="Nirajan Pradhan"/>
    <s v="http://www.youtube.com/channel/UCKeFH_4Fq0vPHhSr-GO7kgg"/>
    <m/>
    <s v="fK1_SH3X2ek"/>
    <s v="https://www.youtube.com/watch?v=fK1_SH3X2ek"/>
    <s v="none"/>
    <n v="1"/>
    <x v="40"/>
    <d v="2018-01-01T12:26:17.000"/>
    <m/>
    <m/>
    <s v=""/>
    <n v="1"/>
    <s v="1"/>
    <s v="1"/>
    <n v="0"/>
    <n v="0"/>
    <n v="1"/>
    <n v="12.5"/>
    <n v="0"/>
    <n v="0"/>
    <n v="7"/>
    <n v="87.5"/>
    <n v="8"/>
  </r>
  <r>
    <s v="UCnOEYCZM5jwEFOFP1NYz82A"/>
    <s v="UCpNnv_kL4Jk8YG_VflnZpmg"/>
    <s v="128, 128, 128"/>
    <n v="3"/>
    <m/>
    <n v="40"/>
    <m/>
    <m/>
    <m/>
    <m/>
    <s v="No"/>
    <n v="44"/>
    <m/>
    <m/>
    <s v="Commented Video"/>
    <x v="0"/>
    <s v="Wow good video I liked it because there were pictures"/>
    <s v="UCnOEYCZM5jwEFOFP1NYz82A"/>
    <s v="Jsh White"/>
    <s v="http://www.youtube.com/channel/UCnOEYCZM5jwEFOFP1NYz82A"/>
    <m/>
    <s v="fK1_SH3X2ek"/>
    <s v="https://www.youtube.com/watch?v=fK1_SH3X2ek"/>
    <s v="none"/>
    <n v="5"/>
    <x v="41"/>
    <d v="2018-09-09T14:15:17.000"/>
    <m/>
    <m/>
    <s v=""/>
    <n v="1"/>
    <s v="1"/>
    <s v="1"/>
    <n v="3"/>
    <n v="30"/>
    <n v="0"/>
    <n v="0"/>
    <n v="0"/>
    <n v="0"/>
    <n v="7"/>
    <n v="70"/>
    <n v="10"/>
  </r>
  <r>
    <s v="UCOG_T9dGhVa3Sf4ay-_ZLhA"/>
    <s v="UCpNnv_kL4Jk8YG_VflnZpmg"/>
    <s v="128, 128, 128"/>
    <n v="3"/>
    <m/>
    <n v="40"/>
    <m/>
    <m/>
    <m/>
    <m/>
    <s v="No"/>
    <n v="45"/>
    <m/>
    <m/>
    <s v="Commented Video"/>
    <x v="0"/>
    <s v="it is the best lecture, deserved to be benefited"/>
    <s v="UCOG_T9dGhVa3Sf4ay-_ZLhA"/>
    <s v="Assad Africa"/>
    <s v="http://www.youtube.com/channel/UCOG_T9dGhVa3Sf4ay-_ZLhA"/>
    <m/>
    <s v="fK1_SH3X2ek"/>
    <s v="https://www.youtube.com/watch?v=fK1_SH3X2ek"/>
    <s v="none"/>
    <n v="1"/>
    <x v="42"/>
    <d v="2018-11-26T09:03:13.000"/>
    <m/>
    <m/>
    <s v=""/>
    <n v="1"/>
    <s v="1"/>
    <s v="1"/>
    <n v="1"/>
    <n v="11.11111111111111"/>
    <n v="0"/>
    <n v="0"/>
    <n v="0"/>
    <n v="0"/>
    <n v="8"/>
    <n v="88.88888888888889"/>
    <n v="9"/>
  </r>
  <r>
    <s v="UCWKJSLASMS7LgiWB0B3U3VA"/>
    <s v="UC2TB_zzNN7L2i_WPEaWM-LQ"/>
    <s v="128, 128, 128"/>
    <n v="3"/>
    <m/>
    <n v="40"/>
    <m/>
    <m/>
    <m/>
    <m/>
    <s v="No"/>
    <n v="46"/>
    <m/>
    <m/>
    <s v="Replied Comment"/>
    <x v="1"/>
    <s v="We hired a company to do the video and worked with a designer."/>
    <s v="UCWKJSLASMS7LgiWB0B3U3VA"/>
    <s v="Arantxa Cayón"/>
    <s v="http://www.youtube.com/channel/UCWKJSLASMS7LgiWB0B3U3VA"/>
    <s v="Ugzdfrj9iCuNCxVrD3x4AaABAg"/>
    <s v="fK1_SH3X2ek"/>
    <s v="https://www.youtube.com/watch?v=fK1_SH3X2ek"/>
    <s v="none"/>
    <n v="3"/>
    <x v="43"/>
    <d v="2020-08-12T11:26:51.000"/>
    <m/>
    <m/>
    <s v=""/>
    <n v="1"/>
    <s v="1"/>
    <s v="1"/>
    <n v="1"/>
    <n v="7.6923076923076925"/>
    <n v="0"/>
    <n v="0"/>
    <n v="0"/>
    <n v="0"/>
    <n v="12"/>
    <n v="92.3076923076923"/>
    <n v="13"/>
  </r>
  <r>
    <s v="UCy8XLhlIl992JrAP2hgCscQ"/>
    <s v="UC2TB_zzNN7L2i_WPEaWM-LQ"/>
    <s v="171, 85, 85"/>
    <n v="3"/>
    <m/>
    <n v="40"/>
    <m/>
    <m/>
    <m/>
    <m/>
    <s v="No"/>
    <n v="47"/>
    <m/>
    <m/>
    <s v="Replied Comment"/>
    <x v="1"/>
    <s v="@Arantxa Cayón oo!!!😊"/>
    <s v="UCy8XLhlIl992JrAP2hgCscQ"/>
    <s v="Sarita Devi"/>
    <s v="http://www.youtube.com/channel/UCy8XLhlIl992JrAP2hgCscQ"/>
    <s v="Ugzdfrj9iCuNCxVrD3x4AaABAg"/>
    <s v="fK1_SH3X2ek"/>
    <s v="https://www.youtube.com/watch?v=fK1_SH3X2ek"/>
    <s v="none"/>
    <n v="1"/>
    <x v="44"/>
    <d v="2020-10-20T15:55:09.000"/>
    <m/>
    <m/>
    <s v=""/>
    <n v="2"/>
    <s v="1"/>
    <s v="1"/>
    <n v="0"/>
    <n v="0"/>
    <n v="0"/>
    <n v="0"/>
    <n v="0"/>
    <n v="0"/>
    <n v="3"/>
    <n v="100"/>
    <n v="3"/>
  </r>
  <r>
    <s v="UCy8XLhlIl992JrAP2hgCscQ"/>
    <s v="UC2TB_zzNN7L2i_WPEaWM-LQ"/>
    <s v="171, 85, 85"/>
    <n v="3"/>
    <m/>
    <n v="40"/>
    <m/>
    <m/>
    <m/>
    <m/>
    <s v="No"/>
    <n v="48"/>
    <m/>
    <m/>
    <s v="Replied Comment"/>
    <x v="1"/>
    <s v="@Arantxa Cayón for making a single 3min. Video we need a company....... So expensive nnaa🤔"/>
    <s v="UCy8XLhlIl992JrAP2hgCscQ"/>
    <s v="Sarita Devi"/>
    <s v="http://www.youtube.com/channel/UCy8XLhlIl992JrAP2hgCscQ"/>
    <s v="Ugzdfrj9iCuNCxVrD3x4AaABAg"/>
    <s v="fK1_SH3X2ek"/>
    <s v="https://www.youtube.com/watch?v=fK1_SH3X2ek"/>
    <s v="none"/>
    <n v="1"/>
    <x v="45"/>
    <d v="2020-10-20T15:56:25.000"/>
    <m/>
    <m/>
    <s v=""/>
    <n v="2"/>
    <s v="1"/>
    <s v="1"/>
    <n v="0"/>
    <n v="0"/>
    <n v="1"/>
    <n v="6.666666666666667"/>
    <n v="0"/>
    <n v="0"/>
    <n v="14"/>
    <n v="93.33333333333333"/>
    <n v="15"/>
  </r>
  <r>
    <s v="UC2TB_zzNN7L2i_WPEaWM-LQ"/>
    <s v="UCpNnv_kL4Jk8YG_VflnZpmg"/>
    <s v="128, 128, 128"/>
    <n v="3"/>
    <m/>
    <n v="40"/>
    <m/>
    <m/>
    <m/>
    <m/>
    <s v="No"/>
    <n v="49"/>
    <m/>
    <m/>
    <s v="Commented Video"/>
    <x v="0"/>
    <s v="Awesome video !&lt;br&gt;What is the program you used to create these type of animation ?"/>
    <s v="UC2TB_zzNN7L2i_WPEaWM-LQ"/>
    <s v="Moaz Yahia"/>
    <s v="http://www.youtube.com/channel/UC2TB_zzNN7L2i_WPEaWM-LQ"/>
    <m/>
    <s v="fK1_SH3X2ek"/>
    <s v="https://www.youtube.com/watch?v=fK1_SH3X2ek"/>
    <s v="none"/>
    <n v="4"/>
    <x v="46"/>
    <d v="2018-12-31T08:25:07.000"/>
    <m/>
    <m/>
    <s v=""/>
    <n v="1"/>
    <s v="1"/>
    <s v="1"/>
    <n v="1"/>
    <n v="6.666666666666667"/>
    <n v="0"/>
    <n v="0"/>
    <n v="0"/>
    <n v="0"/>
    <n v="14"/>
    <n v="93.33333333333333"/>
    <n v="15"/>
  </r>
  <r>
    <s v="UCjWUEivaRP01IGG5QFmYZBA"/>
    <s v="UCpNnv_kL4Jk8YG_VflnZpmg"/>
    <s v="128, 128, 128"/>
    <n v="3"/>
    <m/>
    <n v="40"/>
    <m/>
    <m/>
    <m/>
    <m/>
    <s v="No"/>
    <n v="50"/>
    <m/>
    <m/>
    <s v="Commented Video"/>
    <x v="0"/>
    <s v="N"/>
    <s v="UCjWUEivaRP01IGG5QFmYZBA"/>
    <s v="GODLIKE mactal"/>
    <s v="http://www.youtube.com/channel/UCjWUEivaRP01IGG5QFmYZBA"/>
    <m/>
    <s v="fK1_SH3X2ek"/>
    <s v="https://www.youtube.com/watch?v=fK1_SH3X2ek"/>
    <s v="none"/>
    <n v="1"/>
    <x v="47"/>
    <d v="2019-02-09T08:54:36.000"/>
    <m/>
    <m/>
    <s v=""/>
    <n v="1"/>
    <s v="1"/>
    <s v="1"/>
    <n v="0"/>
    <n v="0"/>
    <n v="0"/>
    <n v="0"/>
    <n v="0"/>
    <n v="0"/>
    <n v="1"/>
    <n v="100"/>
    <n v="1"/>
  </r>
  <r>
    <s v="UCg_EfW_2gQANwFQOUyaDa2g"/>
    <s v="UCEVgc19AwijyWr7r4Ujk9LQ"/>
    <s v="128, 128, 128"/>
    <n v="3"/>
    <m/>
    <n v="40"/>
    <m/>
    <m/>
    <m/>
    <m/>
    <s v="No"/>
    <n v="51"/>
    <m/>
    <m/>
    <s v="Replied Comment"/>
    <x v="1"/>
    <s v="yes me ;/"/>
    <s v="UCg_EfW_2gQANwFQOUyaDa2g"/>
    <s v="natalia."/>
    <s v="http://www.youtube.com/channel/UCg_EfW_2gQANwFQOUyaDa2g"/>
    <s v="UgzcrnK1kYFF4lIFFQV4AaABAg"/>
    <s v="fK1_SH3X2ek"/>
    <s v="https://www.youtube.com/watch?v=fK1_SH3X2ek"/>
    <s v="none"/>
    <n v="0"/>
    <x v="48"/>
    <d v="2019-03-01T05:09:11.000"/>
    <m/>
    <m/>
    <s v=""/>
    <n v="1"/>
    <s v="7"/>
    <s v="7"/>
    <n v="0"/>
    <n v="0"/>
    <n v="0"/>
    <n v="0"/>
    <n v="0"/>
    <n v="0"/>
    <n v="2"/>
    <n v="100"/>
    <n v="2"/>
  </r>
  <r>
    <s v="UCx54iSl43fUz1XysXN5bugg"/>
    <s v="UCEVgc19AwijyWr7r4Ujk9LQ"/>
    <s v="128, 128, 128"/>
    <n v="3"/>
    <m/>
    <n v="40"/>
    <m/>
    <m/>
    <m/>
    <m/>
    <s v="No"/>
    <n v="52"/>
    <m/>
    <m/>
    <s v="Replied Comment"/>
    <x v="1"/>
    <s v="Yep"/>
    <s v="UCx54iSl43fUz1XysXN5bugg"/>
    <s v="Mia_ _Roses"/>
    <s v="http://www.youtube.com/channel/UCx54iSl43fUz1XysXN5bugg"/>
    <s v="UgzcrnK1kYFF4lIFFQV4AaABAg"/>
    <s v="fK1_SH3X2ek"/>
    <s v="https://www.youtube.com/watch?v=fK1_SH3X2ek"/>
    <s v="none"/>
    <n v="0"/>
    <x v="49"/>
    <d v="2019-10-13T03:27:17.000"/>
    <m/>
    <m/>
    <s v=""/>
    <n v="1"/>
    <s v="7"/>
    <s v="7"/>
    <n v="0"/>
    <n v="0"/>
    <n v="0"/>
    <n v="0"/>
    <n v="0"/>
    <n v="0"/>
    <n v="1"/>
    <n v="100"/>
    <n v="1"/>
  </r>
  <r>
    <s v="UCEVgc19AwijyWr7r4Ujk9LQ"/>
    <s v="UCpNnv_kL4Jk8YG_VflnZpmg"/>
    <s v="128, 128, 128"/>
    <n v="3"/>
    <m/>
    <n v="40"/>
    <m/>
    <m/>
    <m/>
    <m/>
    <s v="No"/>
    <n v="53"/>
    <m/>
    <m/>
    <s v="Commented Video"/>
    <x v="0"/>
    <s v="Homework? Anyone?"/>
    <s v="UCEVgc19AwijyWr7r4Ujk9LQ"/>
    <s v="Jake Balls"/>
    <s v="http://www.youtube.com/channel/UCEVgc19AwijyWr7r4Ujk9LQ"/>
    <m/>
    <s v="fK1_SH3X2ek"/>
    <s v="https://www.youtube.com/watch?v=fK1_SH3X2ek"/>
    <s v="none"/>
    <n v="1"/>
    <x v="50"/>
    <d v="2019-02-09T15:26:12.000"/>
    <m/>
    <m/>
    <s v=""/>
    <n v="1"/>
    <s v="7"/>
    <s v="1"/>
    <n v="0"/>
    <n v="0"/>
    <n v="0"/>
    <n v="0"/>
    <n v="0"/>
    <n v="0"/>
    <n v="2"/>
    <n v="100"/>
    <n v="2"/>
  </r>
  <r>
    <s v="UCSJfXviTNs8Tce09VU_uAKw"/>
    <s v="UCSqoJhY0KeLismXnsp2wbGg"/>
    <s v="128, 128, 128"/>
    <n v="3"/>
    <m/>
    <n v="40"/>
    <m/>
    <m/>
    <m/>
    <m/>
    <s v="No"/>
    <n v="54"/>
    <m/>
    <m/>
    <s v="Replied Comment"/>
    <x v="1"/>
    <s v="Will like know what you learn from this too. Check the hidden causes of diseases. &lt;a href=&quot;https://gurudeseyesubai.org/hidden-causes-of-disease-3/&quot;&gt;https://gurudeseyesubai.org/hidden-causes-of-disease-3/&lt;/a&gt;"/>
    <s v="UCSJfXviTNs8Tce09VU_uAKw"/>
    <s v="Ayodeji Olopade"/>
    <s v="http://www.youtube.com/channel/UCSJfXviTNs8Tce09VU_uAKw"/>
    <s v="UgymxjBLREbCQqGfWjF4AaABAg"/>
    <s v="fK1_SH3X2ek"/>
    <s v="https://www.youtube.com/watch?v=fK1_SH3X2ek"/>
    <s v="none"/>
    <n v="1"/>
    <x v="51"/>
    <d v="2020-04-05T11:49:09.000"/>
    <s v=" https://gurudeseyesubai.org/hidden-causes-of-disease-3/ https://gurudeseyesubai.org/hidden-causes-of-disease-3/"/>
    <s v="gurudeseyesubai.org gurudeseyesubai.org"/>
    <s v=""/>
    <n v="1"/>
    <s v="6"/>
    <s v="6"/>
    <n v="1"/>
    <n v="2.9411764705882355"/>
    <n v="0"/>
    <n v="0"/>
    <n v="0"/>
    <n v="0"/>
    <n v="33"/>
    <n v="97.05882352941177"/>
    <n v="34"/>
  </r>
  <r>
    <s v="UCSqoJhY0KeLismXnsp2wbGg"/>
    <s v="UCpNnv_kL4Jk8YG_VflnZpmg"/>
    <s v="128, 128, 128"/>
    <n v="3"/>
    <m/>
    <n v="40"/>
    <m/>
    <m/>
    <m/>
    <m/>
    <s v="No"/>
    <n v="55"/>
    <m/>
    <m/>
    <s v="Commented Video"/>
    <x v="0"/>
    <s v="I love this video as well its highlight the main behavioral risk factors of NCD&amp;#39;s as well as the policy that should be put in place to deal with NCD&amp;#39;s which is getting more than 71% of all death worldwide. Thank you!!!"/>
    <s v="UCSqoJhY0KeLismXnsp2wbGg"/>
    <s v="Benjamin Tuyitegereze"/>
    <s v="http://www.youtube.com/channel/UCSqoJhY0KeLismXnsp2wbGg"/>
    <m/>
    <s v="fK1_SH3X2ek"/>
    <s v="https://www.youtube.com/watch?v=fK1_SH3X2ek"/>
    <s v="none"/>
    <n v="3"/>
    <x v="52"/>
    <d v="2019-03-27T12:09:36.000"/>
    <m/>
    <m/>
    <s v=""/>
    <n v="1"/>
    <s v="6"/>
    <s v="1"/>
    <n v="4"/>
    <n v="8.695652173913043"/>
    <n v="2"/>
    <n v="4.3478260869565215"/>
    <n v="0"/>
    <n v="0"/>
    <n v="40"/>
    <n v="86.95652173913044"/>
    <n v="46"/>
  </r>
  <r>
    <s v="UCSJfXviTNs8Tce09VU_uAKw"/>
    <s v="UCaXUE4Eg9DIxjSu3GuKHHJA"/>
    <s v="128, 128, 128"/>
    <n v="3"/>
    <m/>
    <n v="40"/>
    <m/>
    <m/>
    <m/>
    <m/>
    <s v="No"/>
    <n v="56"/>
    <m/>
    <m/>
    <s v="Replied Comment"/>
    <x v="1"/>
    <s v="Glad it did. Please see this too on some hidden causes &lt;a href=&quot;https://gurudeseyesubai.org/hidden-causes-of-disease-3/&quot;&gt;https://gurudeseyesubai.org/hidden-causes-of-disease-3/&lt;/a&gt;"/>
    <s v="UCSJfXviTNs8Tce09VU_uAKw"/>
    <s v="Ayodeji Olopade"/>
    <s v="http://www.youtube.com/channel/UCSJfXviTNs8Tce09VU_uAKw"/>
    <s v="UgzuhkDCWMOYFsNx9td4AaABAg"/>
    <s v="fK1_SH3X2ek"/>
    <s v="https://www.youtube.com/watch?v=fK1_SH3X2ek"/>
    <s v="none"/>
    <n v="0"/>
    <x v="53"/>
    <d v="2020-04-05T11:48:21.000"/>
    <s v=" https://gurudeseyesubai.org/hidden-causes-of-disease-3/ https://gurudeseyesubai.org/hidden-causes-of-disease-3/"/>
    <s v="gurudeseyesubai.org gurudeseyesubai.org"/>
    <s v=""/>
    <n v="1"/>
    <s v="6"/>
    <s v="6"/>
    <n v="1"/>
    <n v="3.3333333333333335"/>
    <n v="0"/>
    <n v="0"/>
    <n v="0"/>
    <n v="0"/>
    <n v="29"/>
    <n v="96.66666666666667"/>
    <n v="30"/>
  </r>
  <r>
    <s v="UCaXUE4Eg9DIxjSu3GuKHHJA"/>
    <s v="UCpNnv_kL4Jk8YG_VflnZpmg"/>
    <s v="128, 128, 128"/>
    <n v="3"/>
    <m/>
    <n v="40"/>
    <m/>
    <m/>
    <m/>
    <m/>
    <s v="No"/>
    <n v="57"/>
    <m/>
    <m/>
    <s v="Commented Video"/>
    <x v="0"/>
    <s v="Thank you. this video really helped me 😊"/>
    <s v="UCaXUE4Eg9DIxjSu3GuKHHJA"/>
    <s v="Duratusyifah"/>
    <s v="http://www.youtube.com/channel/UCaXUE4Eg9DIxjSu3GuKHHJA"/>
    <m/>
    <s v="fK1_SH3X2ek"/>
    <s v="https://www.youtube.com/watch?v=fK1_SH3X2ek"/>
    <s v="none"/>
    <n v="1"/>
    <x v="54"/>
    <d v="2019-04-09T13:26:06.000"/>
    <m/>
    <m/>
    <s v=""/>
    <n v="1"/>
    <s v="6"/>
    <s v="1"/>
    <n v="2"/>
    <n v="28.571428571428573"/>
    <n v="0"/>
    <n v="0"/>
    <n v="0"/>
    <n v="0"/>
    <n v="5"/>
    <n v="71.42857142857143"/>
    <n v="7"/>
  </r>
  <r>
    <s v="UCZPWJbdvBBrMxnzF6FiKm_A"/>
    <s v="UCpNnv_kL4Jk8YG_VflnZpmg"/>
    <s v="128, 128, 128"/>
    <n v="3"/>
    <m/>
    <n v="40"/>
    <m/>
    <m/>
    <m/>
    <m/>
    <s v="No"/>
    <n v="58"/>
    <m/>
    <m/>
    <s v="Commented Video"/>
    <x v="0"/>
    <s v="Thank you very much, the video is very helpful 😊"/>
    <s v="UCZPWJbdvBBrMxnzF6FiKm_A"/>
    <s v="Vhyrafhellianty Vhyra"/>
    <s v="http://www.youtube.com/channel/UCZPWJbdvBBrMxnzF6FiKm_A"/>
    <m/>
    <s v="fK1_SH3X2ek"/>
    <s v="https://www.youtube.com/watch?v=fK1_SH3X2ek"/>
    <s v="none"/>
    <n v="2"/>
    <x v="55"/>
    <d v="2019-04-09T14:55:18.000"/>
    <m/>
    <m/>
    <s v=""/>
    <n v="1"/>
    <s v="1"/>
    <s v="1"/>
    <n v="2"/>
    <n v="22.22222222222222"/>
    <n v="0"/>
    <n v="0"/>
    <n v="0"/>
    <n v="0"/>
    <n v="7"/>
    <n v="77.77777777777777"/>
    <n v="9"/>
  </r>
  <r>
    <s v="UCNW4s2hXa_zbtclkv5hF0XA"/>
    <s v="UCpNnv_kL4Jk8YG_VflnZpmg"/>
    <s v="171, 85, 85"/>
    <n v="3"/>
    <m/>
    <n v="40"/>
    <m/>
    <m/>
    <m/>
    <m/>
    <s v="No"/>
    <n v="59"/>
    <m/>
    <m/>
    <s v="Commented Video"/>
    <x v="0"/>
    <s v="If higher taxes on junk food de-incentivizes people to partake of junk food, then what does raising income taxes do?"/>
    <s v="UCNW4s2hXa_zbtclkv5hF0XA"/>
    <s v="Sensei"/>
    <s v="http://www.youtube.com/channel/UCNW4s2hXa_zbtclkv5hF0XA"/>
    <m/>
    <s v="fK1_SH3X2ek"/>
    <s v="https://www.youtube.com/watch?v=fK1_SH3X2ek"/>
    <s v="none"/>
    <n v="1"/>
    <x v="56"/>
    <d v="2020-01-26T00:44:13.000"/>
    <m/>
    <m/>
    <s v=""/>
    <n v="2"/>
    <s v="1"/>
    <s v="1"/>
    <n v="0"/>
    <n v="0"/>
    <n v="2"/>
    <n v="9.523809523809524"/>
    <n v="0"/>
    <n v="0"/>
    <n v="19"/>
    <n v="90.47619047619048"/>
    <n v="21"/>
  </r>
  <r>
    <s v="UCNW4s2hXa_zbtclkv5hF0XA"/>
    <s v="UCpNnv_kL4Jk8YG_VflnZpmg"/>
    <s v="171, 85, 85"/>
    <n v="3"/>
    <m/>
    <n v="40"/>
    <m/>
    <m/>
    <m/>
    <m/>
    <s v="No"/>
    <n v="60"/>
    <m/>
    <m/>
    <s v="Commented Video"/>
    <x v="0"/>
    <s v="So, the video is telling us that people are too stupid to make informed choices so the GOVERNMENT has to step in to FORCE people to comply through re-education, punitive taxation etc. What happens if people STILL want to have freewill? Gulags? &lt;br&gt;HOW VERY COMMUNIST!&lt;br&gt;Why not CUT taxes on people so they have more expendable INCOME, decrease corporate taxes and offer credits to employers to incentivize INCREASING employment numbers since people on government assistance are the MOST likely to make poor health choices?&lt;br&gt;Liberals would NEVER allow THAT!&lt;br&gt;That would take power/control over people&amp;#39;s lives away from from liberals by helping to make people economically independent by putting their lives and decisions in their OWN hands through economic independence and making MILLIONS of dependent people realize the detrimental effects excessive/punitive taxation has on citizens!&lt;br&gt;In America, the federal government only contributes about 10% to the local school budgets. BUT, the government holds MASSIVE sway over their policies because the schools have become dependent on the funds.&lt;br&gt;The schools probably spend 1/3-1/2 of the money they get just in compliance with federal regulations, but they are addicted to the money.&lt;br&gt;The SAME is true with people getting handout-it keeps them dependent which makes them COMPLIANT, just the way their communist overlords want them!"/>
    <s v="UCNW4s2hXa_zbtclkv5hF0XA"/>
    <s v="Sensei"/>
    <s v="http://www.youtube.com/channel/UCNW4s2hXa_zbtclkv5hF0XA"/>
    <m/>
    <s v="fK1_SH3X2ek"/>
    <s v="https://www.youtube.com/watch?v=fK1_SH3X2ek"/>
    <s v="none"/>
    <n v="1"/>
    <x v="57"/>
    <d v="2020-01-26T02:16:34.000"/>
    <m/>
    <m/>
    <s v=""/>
    <n v="2"/>
    <s v="1"/>
    <s v="1"/>
    <n v="2"/>
    <n v="0.8733624454148472"/>
    <n v="7"/>
    <n v="3.056768558951965"/>
    <n v="0"/>
    <n v="0"/>
    <n v="220"/>
    <n v="96.06986899563319"/>
    <n v="229"/>
  </r>
  <r>
    <s v="UCQ0xORuuU7Ym_BOdcC7oH1A"/>
    <s v="UCrCIH0x2X9Nq-qc3OyNPLZQ"/>
    <s v="128, 128, 128"/>
    <n v="3"/>
    <m/>
    <n v="40"/>
    <m/>
    <m/>
    <m/>
    <m/>
    <s v="No"/>
    <n v="61"/>
    <m/>
    <m/>
    <s v="Replied Comment"/>
    <x v="1"/>
    <s v="Qatar airways India ltd Tel"/>
    <s v="UCQ0xORuuU7Ym_BOdcC7oH1A"/>
    <s v="Fatima Mehdi"/>
    <s v="http://www.youtube.com/channel/UCQ0xORuuU7Ym_BOdcC7oH1A"/>
    <s v="UgypyQddKYvS8PkQG9l4AaABAg"/>
    <s v="fK1_SH3X2ek"/>
    <s v="https://www.youtube.com/watch?v=fK1_SH3X2ek"/>
    <s v="none"/>
    <n v="0"/>
    <x v="58"/>
    <d v="2020-05-01T13:28:29.000"/>
    <m/>
    <m/>
    <s v=""/>
    <n v="1"/>
    <s v="11"/>
    <s v="11"/>
    <n v="0"/>
    <n v="0"/>
    <n v="0"/>
    <n v="0"/>
    <n v="0"/>
    <n v="0"/>
    <n v="5"/>
    <n v="100"/>
    <n v="5"/>
  </r>
  <r>
    <s v="UCrCIH0x2X9Nq-qc3OyNPLZQ"/>
    <s v="UCpNnv_kL4Jk8YG_VflnZpmg"/>
    <s v="128, 128, 128"/>
    <n v="3"/>
    <m/>
    <n v="40"/>
    <m/>
    <m/>
    <m/>
    <m/>
    <s v="No"/>
    <n v="62"/>
    <m/>
    <m/>
    <s v="Commented Video"/>
    <x v="0"/>
    <s v="i like trains"/>
    <s v="UCrCIH0x2X9Nq-qc3OyNPLZQ"/>
    <s v="Noor Patel"/>
    <s v="http://www.youtube.com/channel/UCrCIH0x2X9Nq-qc3OyNPLZQ"/>
    <m/>
    <s v="fK1_SH3X2ek"/>
    <s v="https://www.youtube.com/watch?v=fK1_SH3X2ek"/>
    <s v="none"/>
    <n v="5"/>
    <x v="59"/>
    <d v="2020-02-09T16:36:38.000"/>
    <m/>
    <m/>
    <s v=""/>
    <n v="1"/>
    <s v="11"/>
    <s v="1"/>
    <n v="1"/>
    <n v="33.333333333333336"/>
    <n v="0"/>
    <n v="0"/>
    <n v="0"/>
    <n v="0"/>
    <n v="2"/>
    <n v="66.66666666666667"/>
    <n v="3"/>
  </r>
  <r>
    <s v="UCy8XLhlIl992JrAP2hgCscQ"/>
    <s v="UClAJGOLHfWZyl6ZKqLEnJHg"/>
    <s v="171, 85, 85"/>
    <n v="3"/>
    <m/>
    <n v="40"/>
    <m/>
    <m/>
    <m/>
    <m/>
    <s v="No"/>
    <n v="63"/>
    <m/>
    <m/>
    <s v="Replied Comment"/>
    <x v="1"/>
    <s v="Me too 😂😂 , really it&amp;#39;s too funny so I gave u a like 💯👍"/>
    <s v="UCy8XLhlIl992JrAP2hgCscQ"/>
    <s v="Sarita Devi"/>
    <s v="http://www.youtube.com/channel/UCy8XLhlIl992JrAP2hgCscQ"/>
    <s v="UgyG7pkw3_qD3XIySHd4AaABAg"/>
    <s v="fK1_SH3X2ek"/>
    <s v="https://www.youtube.com/watch?v=fK1_SH3X2ek"/>
    <s v="none"/>
    <n v="1"/>
    <x v="60"/>
    <d v="2020-10-20T15:50:46.000"/>
    <m/>
    <m/>
    <s v=""/>
    <n v="2"/>
    <s v="1"/>
    <s v="1"/>
    <n v="1"/>
    <n v="7.142857142857143"/>
    <n v="1"/>
    <n v="7.142857142857143"/>
    <n v="0"/>
    <n v="0"/>
    <n v="12"/>
    <n v="85.71428571428571"/>
    <n v="14"/>
  </r>
  <r>
    <s v="UCy8XLhlIl992JrAP2hgCscQ"/>
    <s v="UClAJGOLHfWZyl6ZKqLEnJHg"/>
    <s v="171, 85, 85"/>
    <n v="3"/>
    <m/>
    <n v="40"/>
    <m/>
    <m/>
    <m/>
    <m/>
    <s v="No"/>
    <n v="64"/>
    <m/>
    <m/>
    <s v="Replied Comment"/>
    <x v="1"/>
    <s v="Really it&amp;#39;s too funny 😂😂😂 so I gave u a like 💯👍, by the way my name is PRIYA"/>
    <s v="UCy8XLhlIl992JrAP2hgCscQ"/>
    <s v="Sarita Devi"/>
    <s v="http://www.youtube.com/channel/UCy8XLhlIl992JrAP2hgCscQ"/>
    <s v="UgyG7pkw3_qD3XIySHd4AaABAg"/>
    <s v="fK1_SH3X2ek"/>
    <s v="https://www.youtube.com/watch?v=fK1_SH3X2ek"/>
    <s v="none"/>
    <n v="1"/>
    <x v="61"/>
    <d v="2020-10-20T15:51:55.000"/>
    <m/>
    <m/>
    <s v=""/>
    <n v="2"/>
    <s v="1"/>
    <s v="1"/>
    <n v="1"/>
    <n v="5.2631578947368425"/>
    <n v="1"/>
    <n v="5.2631578947368425"/>
    <n v="0"/>
    <n v="0"/>
    <n v="17"/>
    <n v="89.47368421052632"/>
    <n v="19"/>
  </r>
  <r>
    <s v="UClAJGOLHfWZyl6ZKqLEnJHg"/>
    <s v="UCpNnv_kL4Jk8YG_VflnZpmg"/>
    <s v="128, 128, 128"/>
    <n v="3"/>
    <m/>
    <n v="40"/>
    <m/>
    <m/>
    <m/>
    <m/>
    <s v="No"/>
    <n v="65"/>
    <m/>
    <m/>
    <s v="Commented Video"/>
    <x v="0"/>
    <s v="I like this video because the pictures are very funny！😂😂😂"/>
    <s v="UClAJGOLHfWZyl6ZKqLEnJHg"/>
    <s v="missunun"/>
    <s v="http://www.youtube.com/channel/UClAJGOLHfWZyl6ZKqLEnJHg"/>
    <m/>
    <s v="fK1_SH3X2ek"/>
    <s v="https://www.youtube.com/watch?v=fK1_SH3X2ek"/>
    <s v="none"/>
    <n v="4"/>
    <x v="62"/>
    <d v="2020-03-05T09:45:39.000"/>
    <m/>
    <m/>
    <s v=""/>
    <n v="1"/>
    <s v="1"/>
    <s v="1"/>
    <n v="1"/>
    <n v="10"/>
    <n v="1"/>
    <n v="10"/>
    <n v="0"/>
    <n v="0"/>
    <n v="8"/>
    <n v="80"/>
    <n v="10"/>
  </r>
  <r>
    <s v="UCy7nI1ISKSL4DabMq45Yzgg"/>
    <s v="UCpNnv_kL4Jk8YG_VflnZpmg"/>
    <s v="128, 128, 128"/>
    <n v="3"/>
    <m/>
    <n v="40"/>
    <m/>
    <m/>
    <m/>
    <m/>
    <s v="No"/>
    <n v="66"/>
    <m/>
    <m/>
    <s v="Commented Video"/>
    <x v="0"/>
    <s v="Thank you for this video. It&amp;#39;s very helpful."/>
    <s v="UCy7nI1ISKSL4DabMq45Yzgg"/>
    <s v="Aiza Tibon"/>
    <s v="http://www.youtube.com/channel/UCy7nI1ISKSL4DabMq45Yzgg"/>
    <m/>
    <s v="fK1_SH3X2ek"/>
    <s v="https://www.youtube.com/watch?v=fK1_SH3X2ek"/>
    <s v="none"/>
    <n v="1"/>
    <x v="63"/>
    <d v="2020-03-05T15:24:49.000"/>
    <m/>
    <m/>
    <s v=""/>
    <n v="1"/>
    <s v="1"/>
    <s v="1"/>
    <n v="2"/>
    <n v="20"/>
    <n v="0"/>
    <n v="0"/>
    <n v="0"/>
    <n v="0"/>
    <n v="8"/>
    <n v="80"/>
    <n v="10"/>
  </r>
  <r>
    <s v="UClnojW-58I9WE8weIj_0J9A"/>
    <s v="UCAT9SfyewrfIMlREAUYjJjA"/>
    <s v="128, 128, 128"/>
    <n v="3"/>
    <m/>
    <n v="40"/>
    <m/>
    <m/>
    <m/>
    <m/>
    <s v="No"/>
    <n v="67"/>
    <m/>
    <m/>
    <s v="Replied Comment"/>
    <x v="1"/>
    <s v="me"/>
    <s v="UClnojW-58I9WE8weIj_0J9A"/>
    <s v="mystkmyke"/>
    <s v="http://www.youtube.com/channel/UClnojW-58I9WE8weIj_0J9A"/>
    <s v="Ugygkm6YzbwbNe-n9tt4AaABAg"/>
    <s v="fK1_SH3X2ek"/>
    <s v="https://www.youtube.com/watch?v=fK1_SH3X2ek"/>
    <s v="none"/>
    <n v="0"/>
    <x v="64"/>
    <d v="2020-04-01T17:40:43.000"/>
    <m/>
    <m/>
    <s v=""/>
    <n v="1"/>
    <s v="2"/>
    <s v="2"/>
    <n v="0"/>
    <n v="0"/>
    <n v="0"/>
    <n v="0"/>
    <n v="0"/>
    <n v="0"/>
    <n v="1"/>
    <n v="100"/>
    <n v="1"/>
  </r>
  <r>
    <s v="UCAT9SfyewrfIMlREAUYjJjA"/>
    <s v="UCpNnv_kL4Jk8YG_VflnZpmg"/>
    <s v="128, 128, 128"/>
    <n v="3"/>
    <m/>
    <n v="40"/>
    <m/>
    <m/>
    <m/>
    <m/>
    <s v="No"/>
    <n v="68"/>
    <m/>
    <m/>
    <s v="Commented Video"/>
    <x v="0"/>
    <s v="Whos watching this during corona break"/>
    <s v="UCAT9SfyewrfIMlREAUYjJjA"/>
    <s v="Ashley H"/>
    <s v="http://www.youtube.com/channel/UCAT9SfyewrfIMlREAUYjJjA"/>
    <m/>
    <s v="fK1_SH3X2ek"/>
    <s v="https://www.youtube.com/watch?v=fK1_SH3X2ek"/>
    <s v="none"/>
    <n v="2"/>
    <x v="65"/>
    <d v="2020-03-31T15:50:59.000"/>
    <m/>
    <m/>
    <s v=""/>
    <n v="1"/>
    <s v="2"/>
    <s v="1"/>
    <n v="0"/>
    <n v="0"/>
    <n v="1"/>
    <n v="16.666666666666668"/>
    <n v="0"/>
    <n v="0"/>
    <n v="5"/>
    <n v="83.33333333333333"/>
    <n v="6"/>
  </r>
  <r>
    <s v="UCxnol9Dl-jD2QSEVc2EZxzg"/>
    <s v="UClnojW-58I9WE8weIj_0J9A"/>
    <s v="128, 128, 128"/>
    <n v="3"/>
    <m/>
    <n v="40"/>
    <m/>
    <m/>
    <m/>
    <m/>
    <s v="No"/>
    <n v="69"/>
    <m/>
    <m/>
    <s v="Replied Comment"/>
    <x v="1"/>
    <s v="go do your school work."/>
    <s v="UCxnol9Dl-jD2QSEVc2EZxzg"/>
    <s v="Kent Robinson"/>
    <s v="http://www.youtube.com/channel/UCxnol9Dl-jD2QSEVc2EZxzg"/>
    <s v="Ugya1inrWUvvHowJAI94AaABAg"/>
    <s v="fK1_SH3X2ek"/>
    <s v="https://www.youtube.com/watch?v="/>
    <s v="none"/>
    <n v="3"/>
    <x v="66"/>
    <d v="2020-04-03T19:48:43.000"/>
    <m/>
    <m/>
    <s v=""/>
    <n v="1"/>
    <s v="2"/>
    <s v="2"/>
    <n v="1"/>
    <n v="20"/>
    <n v="0"/>
    <n v="0"/>
    <n v="0"/>
    <n v="0"/>
    <n v="4"/>
    <n v="80"/>
    <n v="5"/>
  </r>
  <r>
    <s v="UCcR3lvb6rzItuTw9H5_I2TQ"/>
    <s v="UClnojW-58I9WE8weIj_0J9A"/>
    <s v="128, 128, 128"/>
    <n v="3"/>
    <m/>
    <n v="40"/>
    <m/>
    <m/>
    <m/>
    <m/>
    <s v="No"/>
    <n v="70"/>
    <m/>
    <m/>
    <s v="Replied Comment"/>
    <x v="1"/>
    <s v="me"/>
    <s v="UCcR3lvb6rzItuTw9H5_I2TQ"/>
    <s v="kai fite"/>
    <s v="http://www.youtube.com/channel/UCcR3lvb6rzItuTw9H5_I2TQ"/>
    <s v="Ugya1inrWUvvHowJAI94AaABAg"/>
    <s v="fK1_SH3X2ek"/>
    <s v="https://www.youtube.com/watch?v="/>
    <s v="none"/>
    <n v="3"/>
    <x v="67"/>
    <d v="2020-04-08T20:59:26.000"/>
    <m/>
    <m/>
    <s v=""/>
    <n v="1"/>
    <s v="2"/>
    <s v="2"/>
    <n v="0"/>
    <n v="0"/>
    <n v="0"/>
    <n v="0"/>
    <n v="0"/>
    <n v="0"/>
    <n v="1"/>
    <n v="100"/>
    <n v="1"/>
  </r>
  <r>
    <s v="UCL1rU-jRwC0itTwpu9z7Lmg"/>
    <s v="UClnojW-58I9WE8weIj_0J9A"/>
    <s v="171, 85, 85"/>
    <n v="3"/>
    <m/>
    <n v="40"/>
    <m/>
    <m/>
    <m/>
    <m/>
    <s v="No"/>
    <n v="71"/>
    <m/>
    <m/>
    <s v="Replied Comment"/>
    <x v="1"/>
    <s v="Me"/>
    <s v="UCL1rU-jRwC0itTwpu9z7Lmg"/>
    <s v="the guy in the background Gameing"/>
    <s v="http://www.youtube.com/channel/UCL1rU-jRwC0itTwpu9z7Lmg"/>
    <s v="Ugya1inrWUvvHowJAI94AaABAg"/>
    <s v="fK1_SH3X2ek"/>
    <s v="https://www.youtube.com/watch?v="/>
    <s v="none"/>
    <n v="2"/>
    <x v="68"/>
    <d v="2020-04-23T15:28:37.000"/>
    <m/>
    <m/>
    <s v=""/>
    <n v="2"/>
    <s v="2"/>
    <s v="2"/>
    <n v="0"/>
    <n v="0"/>
    <n v="0"/>
    <n v="0"/>
    <n v="0"/>
    <n v="0"/>
    <n v="1"/>
    <n v="100"/>
    <n v="1"/>
  </r>
  <r>
    <s v="UCL1rU-jRwC0itTwpu9z7Lmg"/>
    <s v="UClnojW-58I9WE8weIj_0J9A"/>
    <s v="171, 85, 85"/>
    <n v="3"/>
    <m/>
    <n v="40"/>
    <m/>
    <m/>
    <m/>
    <m/>
    <s v="No"/>
    <n v="72"/>
    <m/>
    <m/>
    <s v="Replied Comment"/>
    <x v="1"/>
    <s v="@Kent Robinson make him lol"/>
    <s v="UCL1rU-jRwC0itTwpu9z7Lmg"/>
    <s v="the guy in the background Gameing"/>
    <s v="http://www.youtube.com/channel/UCL1rU-jRwC0itTwpu9z7Lmg"/>
    <s v="Ugya1inrWUvvHowJAI94AaABAg"/>
    <s v="fK1_SH3X2ek"/>
    <s v="https://www.youtube.com/watch?v="/>
    <s v="none"/>
    <n v="2"/>
    <x v="69"/>
    <d v="2020-04-23T15:36:32.000"/>
    <m/>
    <m/>
    <s v=""/>
    <n v="2"/>
    <s v="2"/>
    <s v="2"/>
    <n v="0"/>
    <n v="0"/>
    <n v="0"/>
    <n v="0"/>
    <n v="0"/>
    <n v="0"/>
    <n v="5"/>
    <n v="100"/>
    <n v="5"/>
  </r>
  <r>
    <s v="UCPb6pOgqpY3ye-z9595hDyA"/>
    <s v="UClnojW-58I9WE8weIj_0J9A"/>
    <s v="128, 128, 128"/>
    <n v="3"/>
    <m/>
    <n v="40"/>
    <m/>
    <m/>
    <m/>
    <m/>
    <s v="No"/>
    <n v="73"/>
    <m/>
    <m/>
    <s v="Replied Comment"/>
    <x v="1"/>
    <s v="from solon?"/>
    <s v="UCPb6pOgqpY3ye-z9595hDyA"/>
    <s v="Max Force"/>
    <s v="http://www.youtube.com/channel/UCPb6pOgqpY3ye-z9595hDyA"/>
    <s v="Ugya1inrWUvvHowJAI94AaABAg"/>
    <s v="fK1_SH3X2ek"/>
    <s v="https://www.youtube.com/watch?v="/>
    <s v="none"/>
    <n v="2"/>
    <x v="70"/>
    <d v="2020-04-27T17:46:13.000"/>
    <m/>
    <m/>
    <s v=""/>
    <n v="1"/>
    <s v="2"/>
    <s v="2"/>
    <n v="0"/>
    <n v="0"/>
    <n v="0"/>
    <n v="0"/>
    <n v="0"/>
    <n v="0"/>
    <n v="2"/>
    <n v="100"/>
    <n v="2"/>
  </r>
  <r>
    <s v="UCtojG0-YFF6E_STBkGB9GlA"/>
    <s v="UClnojW-58I9WE8weIj_0J9A"/>
    <s v="128, 128, 128"/>
    <n v="3"/>
    <m/>
    <n v="40"/>
    <m/>
    <m/>
    <m/>
    <m/>
    <s v="No"/>
    <n v="74"/>
    <m/>
    <m/>
    <s v="Replied Comment"/>
    <x v="1"/>
    <s v="Me 🤣"/>
    <s v="UCtojG0-YFF6E_STBkGB9GlA"/>
    <s v="Angela Oakley"/>
    <s v="http://www.youtube.com/channel/UCtojG0-YFF6E_STBkGB9GlA"/>
    <s v="Ugya1inrWUvvHowJAI94AaABAg"/>
    <s v="fK1_SH3X2ek"/>
    <s v="https://www.youtube.com/watch?v="/>
    <s v="none"/>
    <n v="1"/>
    <x v="71"/>
    <d v="2020-05-08T19:05:18.000"/>
    <m/>
    <m/>
    <s v=""/>
    <n v="1"/>
    <s v="2"/>
    <s v="2"/>
    <n v="0"/>
    <n v="0"/>
    <n v="0"/>
    <n v="0"/>
    <n v="0"/>
    <n v="0"/>
    <n v="1"/>
    <n v="100"/>
    <n v="1"/>
  </r>
  <r>
    <s v="UCVWdrNV8bxniNzRsFK-sBtg"/>
    <s v="UClnojW-58I9WE8weIj_0J9A"/>
    <s v="128, 128, 128"/>
    <n v="3"/>
    <m/>
    <n v="40"/>
    <m/>
    <m/>
    <m/>
    <m/>
    <s v="No"/>
    <n v="75"/>
    <m/>
    <m/>
    <s v="Replied Comment"/>
    <x v="1"/>
    <s v="bro, how did u know?"/>
    <s v="UCVWdrNV8bxniNzRsFK-sBtg"/>
    <s v="J. NVTN"/>
    <s v="http://www.youtube.com/channel/UCVWdrNV8bxniNzRsFK-sBtg"/>
    <s v="Ugya1inrWUvvHowJAI94AaABAg"/>
    <s v="fK1_SH3X2ek"/>
    <s v="https://www.youtube.com/watch?v="/>
    <s v="none"/>
    <n v="1"/>
    <x v="72"/>
    <d v="2020-05-13T18:56:32.000"/>
    <m/>
    <m/>
    <s v=""/>
    <n v="1"/>
    <s v="2"/>
    <s v="2"/>
    <n v="0"/>
    <n v="0"/>
    <n v="0"/>
    <n v="0"/>
    <n v="0"/>
    <n v="0"/>
    <n v="5"/>
    <n v="100"/>
    <n v="5"/>
  </r>
  <r>
    <s v="UC0-aV8W_jMNPr6pkPHoHklA"/>
    <s v="UClnojW-58I9WE8weIj_0J9A"/>
    <s v="128, 128, 128"/>
    <n v="3"/>
    <m/>
    <n v="40"/>
    <m/>
    <m/>
    <m/>
    <m/>
    <s v="No"/>
    <n v="76"/>
    <m/>
    <m/>
    <s v="Replied Comment"/>
    <x v="1"/>
    <s v="Wow🤣🤣"/>
    <s v="UC0-aV8W_jMNPr6pkPHoHklA"/>
    <s v="CHANA"/>
    <s v="http://www.youtube.com/channel/UC0-aV8W_jMNPr6pkPHoHklA"/>
    <s v="Ugya1inrWUvvHowJAI94AaABAg"/>
    <s v="fK1_SH3X2ek"/>
    <s v="https://www.youtube.com/watch?v="/>
    <s v="none"/>
    <n v="1"/>
    <x v="73"/>
    <d v="2020-06-09T20:03:00.000"/>
    <m/>
    <m/>
    <s v=""/>
    <n v="1"/>
    <s v="2"/>
    <s v="2"/>
    <n v="1"/>
    <n v="100"/>
    <n v="0"/>
    <n v="0"/>
    <n v="0"/>
    <n v="0"/>
    <n v="0"/>
    <n v="0"/>
    <n v="1"/>
  </r>
  <r>
    <s v="UCnr_NEU1KQ6uBsB0-pj7Z2Q"/>
    <s v="UClnojW-58I9WE8weIj_0J9A"/>
    <s v="128, 128, 128"/>
    <n v="3"/>
    <m/>
    <n v="40"/>
    <m/>
    <m/>
    <m/>
    <m/>
    <s v="No"/>
    <n v="77"/>
    <m/>
    <m/>
    <s v="Replied Comment"/>
    <x v="1"/>
    <s v="Me to"/>
    <s v="UCnr_NEU1KQ6uBsB0-pj7Z2Q"/>
    <s v="Julee Das"/>
    <s v="http://www.youtube.com/channel/UCnr_NEU1KQ6uBsB0-pj7Z2Q"/>
    <s v="Ugya1inrWUvvHowJAI94AaABAg"/>
    <s v="fK1_SH3X2ek"/>
    <s v="https://www.youtube.com/watch?v="/>
    <s v="none"/>
    <n v="1"/>
    <x v="74"/>
    <d v="2020-08-16T16:03:06.000"/>
    <m/>
    <m/>
    <s v=""/>
    <n v="1"/>
    <s v="2"/>
    <s v="2"/>
    <n v="0"/>
    <n v="0"/>
    <n v="0"/>
    <n v="0"/>
    <n v="0"/>
    <n v="0"/>
    <n v="2"/>
    <n v="100"/>
    <n v="2"/>
  </r>
  <r>
    <s v="UCzoCYX25FsK-ndwsTo_rNlw"/>
    <s v="UClnojW-58I9WE8weIj_0J9A"/>
    <s v="128, 128, 128"/>
    <n v="3"/>
    <m/>
    <n v="40"/>
    <m/>
    <m/>
    <m/>
    <m/>
    <s v="No"/>
    <n v="78"/>
    <m/>
    <m/>
    <s v="Replied Comment"/>
    <x v="1"/>
    <s v="My"/>
    <s v="UCzoCYX25FsK-ndwsTo_rNlw"/>
    <s v="Yuvraj Prasad"/>
    <s v="http://www.youtube.com/channel/UCzoCYX25FsK-ndwsTo_rNlw"/>
    <s v="Ugya1inrWUvvHowJAI94AaABAg"/>
    <s v="fK1_SH3X2ek"/>
    <s v="https://www.youtube.com/watch?v="/>
    <s v="none"/>
    <n v="1"/>
    <x v="75"/>
    <d v="2020-08-21T06:54:20.000"/>
    <m/>
    <m/>
    <s v=""/>
    <n v="1"/>
    <s v="2"/>
    <s v="2"/>
    <n v="0"/>
    <n v="0"/>
    <n v="0"/>
    <n v="0"/>
    <n v="0"/>
    <n v="0"/>
    <n v="1"/>
    <n v="100"/>
    <n v="1"/>
  </r>
  <r>
    <s v="UCn6p8O-NWPYAAvZ5MUzK9zw"/>
    <s v="UClnojW-58I9WE8weIj_0J9A"/>
    <s v="128, 128, 128"/>
    <n v="3"/>
    <m/>
    <n v="40"/>
    <m/>
    <m/>
    <m/>
    <m/>
    <s v="No"/>
    <n v="79"/>
    <m/>
    <m/>
    <s v="Replied Comment"/>
    <x v="1"/>
    <s v="Me"/>
    <s v="UCn6p8O-NWPYAAvZ5MUzK9zw"/>
    <s v="Addi Ifill"/>
    <s v="http://www.youtube.com/channel/UCn6p8O-NWPYAAvZ5MUzK9zw"/>
    <s v="Ugya1inrWUvvHowJAI94AaABAg"/>
    <s v="fK1_SH3X2ek"/>
    <s v="https://www.youtube.com/watch?v="/>
    <s v="none"/>
    <n v="2"/>
    <x v="76"/>
    <d v="2020-10-09T16:26:49.000"/>
    <m/>
    <m/>
    <s v=""/>
    <n v="1"/>
    <s v="2"/>
    <s v="2"/>
    <n v="0"/>
    <n v="0"/>
    <n v="0"/>
    <n v="0"/>
    <n v="0"/>
    <n v="0"/>
    <n v="1"/>
    <n v="100"/>
    <n v="1"/>
  </r>
  <r>
    <s v="UCWDyZ4tze7sg8PvKfBwjZ6w"/>
    <s v="UClnojW-58I9WE8weIj_0J9A"/>
    <s v="128, 128, 128"/>
    <n v="3"/>
    <m/>
    <n v="40"/>
    <m/>
    <m/>
    <m/>
    <m/>
    <s v="No"/>
    <n v="80"/>
    <m/>
    <m/>
    <s v="Replied Comment"/>
    <x v="1"/>
    <s v="lol same"/>
    <s v="UCWDyZ4tze7sg8PvKfBwjZ6w"/>
    <s v="Cheese"/>
    <s v="http://www.youtube.com/channel/UCWDyZ4tze7sg8PvKfBwjZ6w"/>
    <s v="Ugya1inrWUvvHowJAI94AaABAg"/>
    <s v="fK1_SH3X2ek"/>
    <s v="https://www.youtube.com/watch?v="/>
    <s v="none"/>
    <n v="2"/>
    <x v="77"/>
    <d v="2020-10-16T22:20:48.000"/>
    <m/>
    <m/>
    <s v=""/>
    <n v="1"/>
    <s v="2"/>
    <s v="2"/>
    <n v="0"/>
    <n v="0"/>
    <n v="0"/>
    <n v="0"/>
    <n v="0"/>
    <n v="0"/>
    <n v="2"/>
    <n v="100"/>
    <n v="2"/>
  </r>
  <r>
    <s v="UCGiyitvsoE0mvDymzZTN55A"/>
    <s v="UClnojW-58I9WE8weIj_0J9A"/>
    <s v="128, 128, 128"/>
    <n v="3"/>
    <m/>
    <n v="40"/>
    <m/>
    <m/>
    <m/>
    <m/>
    <s v="No"/>
    <n v="81"/>
    <m/>
    <m/>
    <s v="Replied Comment"/>
    <x v="1"/>
    <s v="Me"/>
    <s v="UCGiyitvsoE0mvDymzZTN55A"/>
    <s v="m18 87"/>
    <s v="http://www.youtube.com/channel/UCGiyitvsoE0mvDymzZTN55A"/>
    <s v="Ugya1inrWUvvHowJAI94AaABAg"/>
    <s v="fK1_SH3X2ek"/>
    <s v="https://www.youtube.com/watch?v="/>
    <s v="none"/>
    <n v="1"/>
    <x v="78"/>
    <d v="2020-12-01T14:56:09.000"/>
    <m/>
    <m/>
    <s v=""/>
    <n v="1"/>
    <s v="2"/>
    <s v="2"/>
    <n v="0"/>
    <n v="0"/>
    <n v="0"/>
    <n v="0"/>
    <n v="0"/>
    <n v="0"/>
    <n v="1"/>
    <n v="100"/>
    <n v="1"/>
  </r>
  <r>
    <s v="UCB6idNRhVqMo-V57OKOa7uQ"/>
    <s v="UClnojW-58I9WE8weIj_0J9A"/>
    <s v="171, 85, 85"/>
    <n v="3"/>
    <m/>
    <n v="40"/>
    <m/>
    <m/>
    <m/>
    <m/>
    <s v="No"/>
    <n v="82"/>
    <m/>
    <m/>
    <s v="Replied Comment"/>
    <x v="1"/>
    <s v="Lmao me"/>
    <s v="UCB6idNRhVqMo-V57OKOa7uQ"/>
    <s v="That's Interesting."/>
    <s v="http://www.youtube.com/channel/UCB6idNRhVqMo-V57OKOa7uQ"/>
    <s v="Ugya1inrWUvvHowJAI94AaABAg"/>
    <s v="fK1_SH3X2ek"/>
    <s v="https://www.youtube.com/watch?v="/>
    <s v="none"/>
    <n v="1"/>
    <x v="79"/>
    <d v="2021-02-02T10:57:01.000"/>
    <m/>
    <m/>
    <s v=""/>
    <n v="2"/>
    <s v="2"/>
    <s v="2"/>
    <n v="0"/>
    <n v="0"/>
    <n v="0"/>
    <n v="0"/>
    <n v="0"/>
    <n v="0"/>
    <n v="2"/>
    <n v="100"/>
    <n v="2"/>
  </r>
  <r>
    <s v="UCB6idNRhVqMo-V57OKOa7uQ"/>
    <s v="UClnojW-58I9WE8weIj_0J9A"/>
    <s v="171, 85, 85"/>
    <n v="3"/>
    <m/>
    <n v="40"/>
    <m/>
    <m/>
    <m/>
    <m/>
    <s v="No"/>
    <n v="83"/>
    <m/>
    <m/>
    <s v="Replied Comment"/>
    <x v="1"/>
    <s v="@Kent Robinson FUck off"/>
    <s v="UCB6idNRhVqMo-V57OKOa7uQ"/>
    <s v="That's Interesting."/>
    <s v="http://www.youtube.com/channel/UCB6idNRhVqMo-V57OKOa7uQ"/>
    <s v="Ugya1inrWUvvHowJAI94AaABAg"/>
    <s v="fK1_SH3X2ek"/>
    <s v="https://www.youtube.com/watch?v="/>
    <s v="none"/>
    <n v="0"/>
    <x v="80"/>
    <d v="2021-02-02T10:57:10.000"/>
    <m/>
    <m/>
    <s v=""/>
    <n v="2"/>
    <s v="2"/>
    <s v="2"/>
    <n v="0"/>
    <n v="0"/>
    <n v="1"/>
    <n v="25"/>
    <n v="0"/>
    <n v="0"/>
    <n v="3"/>
    <n v="75"/>
    <n v="4"/>
  </r>
  <r>
    <s v="UCqmW71_NOWovrUsgcCsJoaA"/>
    <s v="UClnojW-58I9WE8weIj_0J9A"/>
    <s v="128, 128, 128"/>
    <n v="3"/>
    <m/>
    <n v="40"/>
    <m/>
    <m/>
    <m/>
    <m/>
    <s v="No"/>
    <n v="84"/>
    <m/>
    <m/>
    <s v="Replied Comment"/>
    <x v="1"/>
    <s v="Mine did"/>
    <s v="UCqmW71_NOWovrUsgcCsJoaA"/>
    <s v="Elliot and friends"/>
    <s v="http://www.youtube.com/channel/UCqmW71_NOWovrUsgcCsJoaA"/>
    <s v="Ugya1inrWUvvHowJAI94AaABAg"/>
    <s v="fK1_SH3X2ek"/>
    <s v="https://www.youtube.com/watch?v="/>
    <s v="none"/>
    <n v="2"/>
    <x v="81"/>
    <d v="2021-02-10T01:39:37.000"/>
    <m/>
    <m/>
    <s v=""/>
    <n v="1"/>
    <s v="2"/>
    <s v="2"/>
    <n v="0"/>
    <n v="0"/>
    <n v="0"/>
    <n v="0"/>
    <n v="0"/>
    <n v="0"/>
    <n v="2"/>
    <n v="100"/>
    <n v="2"/>
  </r>
  <r>
    <s v="UC5c65XLWE2VC5GyFqnIwIsw"/>
    <s v="UClnojW-58I9WE8weIj_0J9A"/>
    <s v="128, 128, 128"/>
    <n v="3"/>
    <m/>
    <n v="40"/>
    <m/>
    <m/>
    <m/>
    <m/>
    <s v="No"/>
    <n v="85"/>
    <m/>
    <m/>
    <s v="Replied Comment"/>
    <x v="1"/>
    <s v="mmmeeeeeeeeeeee"/>
    <s v="UC5c65XLWE2VC5GyFqnIwIsw"/>
    <s v="Synth Vipex Xx"/>
    <s v="http://www.youtube.com/channel/UC5c65XLWE2VC5GyFqnIwIsw"/>
    <s v="Ugya1inrWUvvHowJAI94AaABAg"/>
    <s v="fK1_SH3X2ek"/>
    <s v="https://www.youtube.com/watch?v="/>
    <s v="none"/>
    <n v="0"/>
    <x v="82"/>
    <d v="2021-02-10T15:50:28.000"/>
    <m/>
    <m/>
    <s v=""/>
    <n v="1"/>
    <s v="2"/>
    <s v="2"/>
    <n v="0"/>
    <n v="0"/>
    <n v="0"/>
    <n v="0"/>
    <n v="0"/>
    <n v="0"/>
    <n v="1"/>
    <n v="100"/>
    <n v="1"/>
  </r>
  <r>
    <s v="UC3HQFQ3A1f7bOQ6Op3sO6VA"/>
    <s v="UClnojW-58I9WE8weIj_0J9A"/>
    <s v="128, 128, 128"/>
    <n v="3"/>
    <m/>
    <n v="40"/>
    <m/>
    <m/>
    <m/>
    <m/>
    <s v="No"/>
    <n v="86"/>
    <m/>
    <m/>
    <s v="Replied Comment"/>
    <x v="1"/>
    <s v="Love ur pfp"/>
    <s v="UC3HQFQ3A1f7bOQ6Op3sO6VA"/>
    <s v="Static Screen"/>
    <s v="http://www.youtube.com/channel/UC3HQFQ3A1f7bOQ6Op3sO6VA"/>
    <s v="Ugya1inrWUvvHowJAI94AaABAg"/>
    <s v="fK1_SH3X2ek"/>
    <s v="https://www.youtube.com/watch?v="/>
    <s v="none"/>
    <n v="0"/>
    <x v="83"/>
    <d v="2021-02-22T15:09:11.000"/>
    <m/>
    <m/>
    <s v=""/>
    <n v="1"/>
    <s v="2"/>
    <s v="2"/>
    <n v="1"/>
    <n v="33.333333333333336"/>
    <n v="0"/>
    <n v="0"/>
    <n v="0"/>
    <n v="0"/>
    <n v="2"/>
    <n v="66.66666666666667"/>
    <n v="3"/>
  </r>
  <r>
    <s v="UCwP0bxHg-8LXbS1QMYzhSRA"/>
    <s v="UClnojW-58I9WE8weIj_0J9A"/>
    <s v="128, 128, 128"/>
    <n v="3"/>
    <m/>
    <n v="40"/>
    <m/>
    <m/>
    <m/>
    <m/>
    <s v="No"/>
    <n v="87"/>
    <m/>
    <m/>
    <s v="Replied Comment"/>
    <x v="1"/>
    <s v="Mine"/>
    <s v="UCwP0bxHg-8LXbS1QMYzhSRA"/>
    <s v="Shakiera Clarke"/>
    <s v="http://www.youtube.com/channel/UCwP0bxHg-8LXbS1QMYzhSRA"/>
    <s v="Ugya1inrWUvvHowJAI94AaABAg"/>
    <s v="fK1_SH3X2ek"/>
    <s v="https://www.youtube.com/watch?v="/>
    <s v="none"/>
    <n v="0"/>
    <x v="84"/>
    <d v="2021-02-25T19:21:00.000"/>
    <m/>
    <m/>
    <s v=""/>
    <n v="1"/>
    <s v="2"/>
    <s v="2"/>
    <n v="0"/>
    <n v="0"/>
    <n v="0"/>
    <n v="0"/>
    <n v="0"/>
    <n v="0"/>
    <n v="1"/>
    <n v="100"/>
    <n v="1"/>
  </r>
  <r>
    <s v="UCN7DbIpJ94hcULRngZR-qRA"/>
    <s v="UClnojW-58I9WE8weIj_0J9A"/>
    <s v="128, 128, 128"/>
    <n v="3"/>
    <m/>
    <n v="40"/>
    <m/>
    <m/>
    <m/>
    <m/>
    <s v="No"/>
    <n v="88"/>
    <m/>
    <m/>
    <s v="Replied Comment"/>
    <x v="1"/>
    <s v="Mine"/>
    <s v="UCN7DbIpJ94hcULRngZR-qRA"/>
    <s v="aashray bhattad"/>
    <s v="http://www.youtube.com/channel/UCN7DbIpJ94hcULRngZR-qRA"/>
    <s v="Ugya1inrWUvvHowJAI94AaABAg"/>
    <s v="fK1_SH3X2ek"/>
    <s v="https://www.youtube.com/watch?v="/>
    <s v="none"/>
    <n v="0"/>
    <x v="85"/>
    <d v="2021-03-02T10:56:22.000"/>
    <m/>
    <m/>
    <s v=""/>
    <n v="1"/>
    <s v="2"/>
    <s v="2"/>
    <n v="0"/>
    <n v="0"/>
    <n v="0"/>
    <n v="0"/>
    <n v="0"/>
    <n v="0"/>
    <n v="1"/>
    <n v="100"/>
    <n v="1"/>
  </r>
  <r>
    <s v="UCYdODoJdVvDp-9z2mt6wgyQ"/>
    <s v="UClnojW-58I9WE8weIj_0J9A"/>
    <s v="128, 128, 128"/>
    <n v="3"/>
    <m/>
    <n v="40"/>
    <m/>
    <m/>
    <m/>
    <m/>
    <s v="No"/>
    <n v="89"/>
    <m/>
    <m/>
    <s v="Replied Comment"/>
    <x v="1"/>
    <s v="Me"/>
    <s v="UCYdODoJdVvDp-9z2mt6wgyQ"/>
    <s v="Armando Urizar"/>
    <s v="http://www.youtube.com/channel/UCYdODoJdVvDp-9z2mt6wgyQ"/>
    <s v="Ugya1inrWUvvHowJAI94AaABAg"/>
    <s v="fK1_SH3X2ek"/>
    <s v="https://www.youtube.com/watch?v="/>
    <s v="none"/>
    <n v="0"/>
    <x v="86"/>
    <d v="2021-03-05T01:37:54.000"/>
    <m/>
    <m/>
    <s v=""/>
    <n v="1"/>
    <s v="2"/>
    <s v="2"/>
    <n v="0"/>
    <n v="0"/>
    <n v="0"/>
    <n v="0"/>
    <n v="0"/>
    <n v="0"/>
    <n v="1"/>
    <n v="100"/>
    <n v="1"/>
  </r>
  <r>
    <s v="UCUZeBEoKiTTz0pPp5pii-aw"/>
    <s v="UClnojW-58I9WE8weIj_0J9A"/>
    <s v="128, 128, 128"/>
    <n v="3"/>
    <m/>
    <n v="40"/>
    <m/>
    <m/>
    <m/>
    <m/>
    <s v="No"/>
    <n v="90"/>
    <m/>
    <m/>
    <s v="Replied Comment"/>
    <x v="1"/>
    <s v="yup my teacher sent me to do this"/>
    <s v="UCUZeBEoKiTTz0pPp5pii-aw"/>
    <s v="Andrew’s What if’s"/>
    <s v="http://www.youtube.com/channel/UCUZeBEoKiTTz0pPp5pii-aw"/>
    <s v="Ugya1inrWUvvHowJAI94AaABAg"/>
    <s v="fK1_SH3X2ek"/>
    <s v="https://www.youtube.com/watch?v="/>
    <s v="none"/>
    <n v="0"/>
    <x v="87"/>
    <d v="2021-04-24T22:36:32.000"/>
    <m/>
    <m/>
    <s v=""/>
    <n v="1"/>
    <s v="2"/>
    <s v="2"/>
    <n v="0"/>
    <n v="0"/>
    <n v="0"/>
    <n v="0"/>
    <n v="0"/>
    <n v="0"/>
    <n v="8"/>
    <n v="100"/>
    <n v="8"/>
  </r>
  <r>
    <s v="UCy4crOLyffyAStwBkGRO9hg"/>
    <s v="UClnojW-58I9WE8weIj_0J9A"/>
    <s v="128, 128, 128"/>
    <n v="3"/>
    <m/>
    <n v="40"/>
    <m/>
    <m/>
    <m/>
    <m/>
    <s v="No"/>
    <n v="91"/>
    <m/>
    <m/>
    <s v="Replied Comment"/>
    <x v="1"/>
    <s v="me"/>
    <s v="UCy4crOLyffyAStwBkGRO9hg"/>
    <s v="reese teves"/>
    <s v="http://www.youtube.com/channel/UCy4crOLyffyAStwBkGRO9hg"/>
    <s v="Ugya1inrWUvvHowJAI94AaABAg"/>
    <s v="fK1_SH3X2ek"/>
    <s v="https://www.youtube.com/watch?v="/>
    <s v="none"/>
    <n v="0"/>
    <x v="88"/>
    <d v="2021-05-06T07:32:40.000"/>
    <m/>
    <m/>
    <s v=""/>
    <n v="1"/>
    <s v="2"/>
    <s v="2"/>
    <n v="0"/>
    <n v="0"/>
    <n v="0"/>
    <n v="0"/>
    <n v="0"/>
    <n v="0"/>
    <n v="1"/>
    <n v="100"/>
    <n v="1"/>
  </r>
  <r>
    <s v="UClnojW-58I9WE8weIj_0J9A"/>
    <s v="UClnojW-58I9WE8weIj_0J9A"/>
    <s v="Red"/>
    <n v="3"/>
    <m/>
    <n v="40"/>
    <m/>
    <m/>
    <m/>
    <m/>
    <s v="No"/>
    <n v="92"/>
    <m/>
    <m/>
    <s v="Replied Comment"/>
    <x v="1"/>
    <s v="@Kent Robinson make me"/>
    <s v="UClnojW-58I9WE8weIj_0J9A"/>
    <s v="mystkmyke"/>
    <s v="http://www.youtube.com/channel/UClnojW-58I9WE8weIj_0J9A"/>
    <s v="Ugya1inrWUvvHowJAI94AaABAg"/>
    <s v="fK1_SH3X2ek"/>
    <s v="https://www.youtube.com/watch?v="/>
    <s v="none"/>
    <n v="8"/>
    <x v="89"/>
    <d v="2020-04-03T20:05:08.000"/>
    <m/>
    <m/>
    <s v=""/>
    <n v="4"/>
    <s v="2"/>
    <s v="2"/>
    <n v="0"/>
    <n v="0"/>
    <n v="0"/>
    <n v="0"/>
    <n v="0"/>
    <n v="0"/>
    <n v="4"/>
    <n v="100"/>
    <n v="4"/>
  </r>
  <r>
    <s v="UClnojW-58I9WE8weIj_0J9A"/>
    <s v="UClnojW-58I9WE8weIj_0J9A"/>
    <s v="Red"/>
    <n v="3"/>
    <m/>
    <n v="40"/>
    <m/>
    <m/>
    <m/>
    <m/>
    <s v="No"/>
    <n v="93"/>
    <m/>
    <m/>
    <s v="Replied Comment"/>
    <x v="1"/>
    <s v="@the guy in the background Gameing haha nice"/>
    <s v="UClnojW-58I9WE8weIj_0J9A"/>
    <s v="mystkmyke"/>
    <s v="http://www.youtube.com/channel/UClnojW-58I9WE8weIj_0J9A"/>
    <s v="Ugya1inrWUvvHowJAI94AaABAg"/>
    <s v="fK1_SH3X2ek"/>
    <s v="https://www.youtube.com/watch?v="/>
    <s v="none"/>
    <n v="3"/>
    <x v="90"/>
    <d v="2020-04-23T15:32:23.000"/>
    <m/>
    <m/>
    <s v=""/>
    <n v="4"/>
    <s v="2"/>
    <s v="2"/>
    <n v="1"/>
    <n v="12.5"/>
    <n v="0"/>
    <n v="0"/>
    <n v="0"/>
    <n v="0"/>
    <n v="7"/>
    <n v="87.5"/>
    <n v="8"/>
  </r>
  <r>
    <s v="UClnojW-58I9WE8weIj_0J9A"/>
    <s v="UClnojW-58I9WE8weIj_0J9A"/>
    <s v="Red"/>
    <n v="3"/>
    <m/>
    <n v="40"/>
    <m/>
    <m/>
    <m/>
    <m/>
    <s v="No"/>
    <n v="94"/>
    <m/>
    <m/>
    <s v="Replied Comment"/>
    <x v="1"/>
    <s v="@Dominic’s World 😎"/>
    <s v="UClnojW-58I9WE8weIj_0J9A"/>
    <s v="mystkmyke"/>
    <s v="http://www.youtube.com/channel/UClnojW-58I9WE8weIj_0J9A"/>
    <s v="Ugya1inrWUvvHowJAI94AaABAg"/>
    <s v="fK1_SH3X2ek"/>
    <s v="https://www.youtube.com/watch?v="/>
    <s v="none"/>
    <n v="2"/>
    <x v="91"/>
    <d v="2020-04-23T15:32:28.000"/>
    <m/>
    <m/>
    <s v=""/>
    <n v="4"/>
    <s v="2"/>
    <s v="2"/>
    <n v="0"/>
    <n v="0"/>
    <n v="0"/>
    <n v="0"/>
    <n v="0"/>
    <n v="0"/>
    <n v="3"/>
    <n v="100"/>
    <n v="3"/>
  </r>
  <r>
    <s v="UClnojW-58I9WE8weIj_0J9A"/>
    <s v="UClnojW-58I9WE8weIj_0J9A"/>
    <s v="Red"/>
    <n v="3"/>
    <m/>
    <n v="40"/>
    <m/>
    <m/>
    <m/>
    <m/>
    <s v="No"/>
    <n v="95"/>
    <m/>
    <m/>
    <s v="Replied Comment"/>
    <x v="1"/>
    <s v="@J. NVTN i have eyes everywhere 👀"/>
    <s v="UClnojW-58I9WE8weIj_0J9A"/>
    <s v="mystkmyke"/>
    <s v="http://www.youtube.com/channel/UClnojW-58I9WE8weIj_0J9A"/>
    <s v="Ugya1inrWUvvHowJAI94AaABAg"/>
    <s v="fK1_SH3X2ek"/>
    <s v="https://www.youtube.com/watch?v="/>
    <s v="none"/>
    <n v="1"/>
    <x v="92"/>
    <d v="2020-05-27T13:25:05.000"/>
    <m/>
    <m/>
    <s v=""/>
    <n v="4"/>
    <s v="2"/>
    <s v="2"/>
    <n v="0"/>
    <n v="0"/>
    <n v="0"/>
    <n v="0"/>
    <n v="0"/>
    <n v="0"/>
    <n v="6"/>
    <n v="100"/>
    <n v="6"/>
  </r>
  <r>
    <s v="UCdf__4wGpIoAJUxaHzh52Rg"/>
    <s v="UClnojW-58I9WE8weIj_0J9A"/>
    <s v="128, 128, 128"/>
    <n v="3"/>
    <m/>
    <n v="40"/>
    <m/>
    <m/>
    <m/>
    <m/>
    <s v="No"/>
    <n v="96"/>
    <m/>
    <m/>
    <s v="Replied Comment"/>
    <x v="1"/>
    <s v="Me"/>
    <s v="UCdf__4wGpIoAJUxaHzh52Rg"/>
    <s v="my account is gone"/>
    <s v="http://www.youtube.com/channel/UCdf__4wGpIoAJUxaHzh52Rg"/>
    <s v="Ugya1inrWUvvHowJAI94AaABAg"/>
    <s v="fK1_SH3X2ek"/>
    <s v="https://www.youtube.com/watch?v="/>
    <s v="none"/>
    <n v="1"/>
    <x v="93"/>
    <d v="2020-06-06T02:49:18.000"/>
    <m/>
    <m/>
    <s v=""/>
    <n v="1"/>
    <s v="2"/>
    <s v="2"/>
    <n v="0"/>
    <n v="0"/>
    <n v="0"/>
    <n v="0"/>
    <n v="0"/>
    <n v="0"/>
    <n v="1"/>
    <n v="100"/>
    <n v="1"/>
  </r>
  <r>
    <s v="UCqTGL2iGxZBMK9l4EWPg1Ug"/>
    <s v="UClnojW-58I9WE8weIj_0J9A"/>
    <s v="128, 128, 128"/>
    <n v="3"/>
    <m/>
    <n v="40"/>
    <m/>
    <m/>
    <m/>
    <m/>
    <s v="No"/>
    <n v="97"/>
    <m/>
    <m/>
    <s v="Replied Comment"/>
    <x v="1"/>
    <s v="science teacher. for me"/>
    <s v="UCqTGL2iGxZBMK9l4EWPg1Ug"/>
    <s v="Colten Pearson"/>
    <s v="http://www.youtube.com/channel/UCqTGL2iGxZBMK9l4EWPg1Ug"/>
    <s v="Ugya1inrWUvvHowJAI94AaABAg"/>
    <s v="fK1_SH3X2ek"/>
    <s v="https://www.youtube.com/watch?v="/>
    <s v="none"/>
    <n v="1"/>
    <x v="94"/>
    <d v="2020-12-01T18:48:30.000"/>
    <m/>
    <m/>
    <s v=""/>
    <n v="1"/>
    <s v="5"/>
    <s v="2"/>
    <n v="0"/>
    <n v="0"/>
    <n v="0"/>
    <n v="0"/>
    <n v="0"/>
    <n v="0"/>
    <n v="4"/>
    <n v="100"/>
    <n v="4"/>
  </r>
  <r>
    <s v="UCXptVAEtFVNWoBYkirxhSHg"/>
    <s v="UClnojW-58I9WE8weIj_0J9A"/>
    <s v="128, 128, 128"/>
    <n v="3"/>
    <m/>
    <n v="40"/>
    <m/>
    <m/>
    <m/>
    <m/>
    <s v="No"/>
    <n v="98"/>
    <m/>
    <m/>
    <s v="Replied Comment"/>
    <x v="1"/>
    <s v="my teacher sent me in google classrom"/>
    <s v="UCXptVAEtFVNWoBYkirxhSHg"/>
    <s v="Pro 1234"/>
    <s v="http://www.youtube.com/channel/UCXptVAEtFVNWoBYkirxhSHg"/>
    <s v="Ugya1inrWUvvHowJAI94AaABAg"/>
    <s v="fK1_SH3X2ek"/>
    <s v="https://www.youtube.com/watch?v="/>
    <s v="none"/>
    <n v="1"/>
    <x v="95"/>
    <d v="2021-01-25T05:38:21.000"/>
    <m/>
    <m/>
    <s v=""/>
    <n v="1"/>
    <s v="5"/>
    <s v="2"/>
    <n v="0"/>
    <n v="0"/>
    <n v="0"/>
    <n v="0"/>
    <n v="0"/>
    <n v="0"/>
    <n v="7"/>
    <n v="100"/>
    <n v="7"/>
  </r>
  <r>
    <s v="UCYbcr3YlItwbRXxWJhXfPMQ"/>
    <s v="UClnojW-58I9WE8weIj_0J9A"/>
    <s v="128, 128, 128"/>
    <n v="3"/>
    <m/>
    <n v="40"/>
    <m/>
    <m/>
    <m/>
    <m/>
    <s v="No"/>
    <n v="99"/>
    <m/>
    <m/>
    <s v="Replied Comment"/>
    <x v="1"/>
    <s v="Yes bro"/>
    <s v="UCYbcr3YlItwbRXxWJhXfPMQ"/>
    <s v="Hamza Daaboul"/>
    <s v="http://www.youtube.com/channel/UCYbcr3YlItwbRXxWJhXfPMQ"/>
    <s v="Ugya1inrWUvvHowJAI94AaABAg"/>
    <s v="fK1_SH3X2ek"/>
    <s v="https://www.youtube.com/watch?v="/>
    <s v="none"/>
    <n v="0"/>
    <x v="96"/>
    <d v="2021-02-08T18:44:56.000"/>
    <m/>
    <m/>
    <s v=""/>
    <n v="1"/>
    <s v="2"/>
    <s v="2"/>
    <n v="0"/>
    <n v="0"/>
    <n v="0"/>
    <n v="0"/>
    <n v="0"/>
    <n v="0"/>
    <n v="2"/>
    <n v="100"/>
    <n v="2"/>
  </r>
  <r>
    <s v="UCF5ChGDslgBBC95Q2q_mqTA"/>
    <s v="UClnojW-58I9WE8weIj_0J9A"/>
    <s v="128, 128, 128"/>
    <n v="3"/>
    <m/>
    <n v="40"/>
    <m/>
    <m/>
    <m/>
    <m/>
    <s v="No"/>
    <n v="100"/>
    <m/>
    <m/>
    <s v="Replied Comment"/>
    <x v="1"/>
    <s v="Me"/>
    <s v="UCF5ChGDslgBBC95Q2q_mqTA"/>
    <s v="Edward Copeland"/>
    <s v="http://www.youtube.com/channel/UCF5ChGDslgBBC95Q2q_mqTA"/>
    <s v="Ugya1inrWUvvHowJAI94AaABAg"/>
    <s v="fK1_SH3X2ek"/>
    <s v="https://www.youtube.com/watch?v="/>
    <s v="none"/>
    <n v="0"/>
    <x v="97"/>
    <d v="2021-04-21T21:57:41.000"/>
    <m/>
    <m/>
    <s v=""/>
    <n v="1"/>
    <s v="5"/>
    <s v="2"/>
    <n v="0"/>
    <n v="0"/>
    <n v="0"/>
    <n v="0"/>
    <n v="0"/>
    <n v="0"/>
    <n v="1"/>
    <n v="100"/>
    <n v="1"/>
  </r>
  <r>
    <s v="UClnojW-58I9WE8weIj_0J9A"/>
    <s v="UCpNnv_kL4Jk8YG_VflnZpmg"/>
    <s v="128, 128, 128"/>
    <n v="3"/>
    <m/>
    <n v="40"/>
    <m/>
    <m/>
    <m/>
    <m/>
    <s v="No"/>
    <n v="101"/>
    <m/>
    <m/>
    <s v="Commented Video"/>
    <x v="0"/>
    <s v="who else&amp;#39;s health teacher sent them this video in Google Classroom to watch it?"/>
    <s v="UClnojW-58I9WE8weIj_0J9A"/>
    <s v="mystkmyke"/>
    <s v="http://www.youtube.com/channel/UClnojW-58I9WE8weIj_0J9A"/>
    <m/>
    <s v="fK1_SH3X2ek"/>
    <s v="https://www.youtube.com/watch?v=fK1_SH3X2ek"/>
    <s v="none"/>
    <n v="190"/>
    <x v="98"/>
    <d v="2020-04-01T17:41:27.000"/>
    <m/>
    <m/>
    <s v=""/>
    <n v="1"/>
    <s v="2"/>
    <s v="1"/>
    <n v="0"/>
    <n v="0"/>
    <n v="0"/>
    <n v="0"/>
    <n v="0"/>
    <n v="0"/>
    <n v="16"/>
    <n v="100"/>
    <n v="16"/>
  </r>
  <r>
    <s v="UCsZFWQYkG-slxqG0PSAeuDg"/>
    <s v="UCpNnv_kL4Jk8YG_VflnZpmg"/>
    <s v="128, 128, 128"/>
    <n v="3"/>
    <m/>
    <n v="40"/>
    <m/>
    <m/>
    <m/>
    <m/>
    <s v="No"/>
    <n v="102"/>
    <m/>
    <m/>
    <s v="Commented Video"/>
    <x v="0"/>
    <s v="Interesting topic, wow, follow this link to get more insights on this subject. &lt;br&gt;&lt;a href=&quot;https://gurudeseyesubai.org/hidden-causes-of-disease-3/&quot;&gt;https://gurudeseyesubai.org/hidden-causes-of-disease-3/&lt;/a&gt;"/>
    <s v="UCsZFWQYkG-slxqG0PSAeuDg"/>
    <s v="chinaenye obicheta"/>
    <s v="http://www.youtube.com/channel/UCsZFWQYkG-slxqG0PSAeuDg"/>
    <m/>
    <s v="fK1_SH3X2ek"/>
    <s v="https://www.youtube.com/watch?v=fK1_SH3X2ek"/>
    <s v="none"/>
    <n v="1"/>
    <x v="99"/>
    <d v="2020-04-06T01:46:31.000"/>
    <s v=" https://gurudeseyesubai.org/hidden-causes-of-disease-3/ https://gurudeseyesubai.org/hidden-causes-of-disease-3/"/>
    <s v="gurudeseyesubai.org gurudeseyesubai.org"/>
    <s v=""/>
    <n v="1"/>
    <s v="1"/>
    <s v="1"/>
    <n v="2"/>
    <n v="6.0606060606060606"/>
    <n v="0"/>
    <n v="0"/>
    <n v="0"/>
    <n v="0"/>
    <n v="31"/>
    <n v="93.93939393939394"/>
    <n v="33"/>
  </r>
  <r>
    <s v="UCanNtkxGuVo8RHmoYXqQdPQ"/>
    <s v="UCpNnv_kL4Jk8YG_VflnZpmg"/>
    <s v="128, 128, 128"/>
    <n v="3"/>
    <m/>
    <n v="40"/>
    <m/>
    <m/>
    <m/>
    <m/>
    <s v="No"/>
    <n v="103"/>
    <m/>
    <m/>
    <s v="Commented Video"/>
    <x v="0"/>
    <s v="hey nice  vedio"/>
    <s v="UCanNtkxGuVo8RHmoYXqQdPQ"/>
    <s v="MARIA ASHNA KUMAR"/>
    <s v="http://www.youtube.com/channel/UCanNtkxGuVo8RHmoYXqQdPQ"/>
    <m/>
    <s v="fK1_SH3X2ek"/>
    <s v="https://www.youtube.com/watch?v=fK1_SH3X2ek"/>
    <s v="none"/>
    <n v="1"/>
    <x v="100"/>
    <d v="2020-04-07T11:09:03.000"/>
    <m/>
    <m/>
    <s v=""/>
    <n v="1"/>
    <s v="1"/>
    <s v="1"/>
    <n v="1"/>
    <n v="33.333333333333336"/>
    <n v="0"/>
    <n v="0"/>
    <n v="0"/>
    <n v="0"/>
    <n v="2"/>
    <n v="66.66666666666667"/>
    <n v="3"/>
  </r>
  <r>
    <s v="UCIRd_KLhNQWScj1-la439iw"/>
    <s v="UCpNnv_kL4Jk8YG_VflnZpmg"/>
    <s v="128, 128, 128"/>
    <n v="3"/>
    <m/>
    <n v="40"/>
    <m/>
    <m/>
    <m/>
    <m/>
    <s v="No"/>
    <n v="104"/>
    <m/>
    <m/>
    <s v="Commented Video"/>
    <x v="0"/>
    <s v="Thanks to explain 😊"/>
    <s v="UCIRd_KLhNQWScj1-la439iw"/>
    <s v="Sarita Rathord"/>
    <s v="http://www.youtube.com/channel/UCIRd_KLhNQWScj1-la439iw"/>
    <m/>
    <s v="fK1_SH3X2ek"/>
    <s v="https://www.youtube.com/watch?v=fK1_SH3X2ek"/>
    <s v="none"/>
    <n v="1"/>
    <x v="101"/>
    <d v="2020-04-29T08:24:10.000"/>
    <m/>
    <m/>
    <s v=""/>
    <n v="1"/>
    <s v="1"/>
    <s v="1"/>
    <n v="0"/>
    <n v="0"/>
    <n v="0"/>
    <n v="0"/>
    <n v="0"/>
    <n v="0"/>
    <n v="3"/>
    <n v="100"/>
    <n v="3"/>
  </r>
  <r>
    <s v="UCnkFrB1A-54rSDf1RYW_lnw"/>
    <s v="UCpNnv_kL4Jk8YG_VflnZpmg"/>
    <s v="171, 85, 85"/>
    <n v="3"/>
    <m/>
    <n v="40"/>
    <m/>
    <m/>
    <m/>
    <m/>
    <s v="No"/>
    <n v="105"/>
    <m/>
    <m/>
    <s v="Commented Video"/>
    <x v="0"/>
    <s v="Meee"/>
    <s v="UCnkFrB1A-54rSDf1RYW_lnw"/>
    <s v="Zacharie-Kyle Percil"/>
    <s v="http://www.youtube.com/channel/UCnkFrB1A-54rSDf1RYW_lnw"/>
    <m/>
    <s v="fK1_SH3X2ek"/>
    <s v="https://www.youtube.com/watch?v=fK1_SH3X2ek"/>
    <s v="none"/>
    <n v="0"/>
    <x v="102"/>
    <d v="2020-05-10T21:51:08.000"/>
    <m/>
    <m/>
    <s v=""/>
    <n v="2"/>
    <s v="1"/>
    <s v="1"/>
    <n v="0"/>
    <n v="0"/>
    <n v="0"/>
    <n v="0"/>
    <n v="0"/>
    <n v="0"/>
    <n v="1"/>
    <n v="100"/>
    <n v="1"/>
  </r>
  <r>
    <s v="UCnkFrB1A-54rSDf1RYW_lnw"/>
    <s v="UCpNnv_kL4Jk8YG_VflnZpmg"/>
    <s v="171, 85, 85"/>
    <n v="3"/>
    <m/>
    <n v="40"/>
    <m/>
    <m/>
    <m/>
    <m/>
    <s v="No"/>
    <n v="106"/>
    <m/>
    <m/>
    <s v="Commented Video"/>
    <x v="0"/>
    <s v="My teacher"/>
    <s v="UCnkFrB1A-54rSDf1RYW_lnw"/>
    <s v="Zacharie-Kyle Percil"/>
    <s v="http://www.youtube.com/channel/UCnkFrB1A-54rSDf1RYW_lnw"/>
    <m/>
    <s v="fK1_SH3X2ek"/>
    <s v="https://www.youtube.com/watch?v=fK1_SH3X2ek"/>
    <s v="none"/>
    <n v="0"/>
    <x v="103"/>
    <d v="2020-05-10T21:52:05.000"/>
    <m/>
    <m/>
    <s v=""/>
    <n v="2"/>
    <s v="1"/>
    <s v="1"/>
    <n v="0"/>
    <n v="0"/>
    <n v="0"/>
    <n v="0"/>
    <n v="0"/>
    <n v="0"/>
    <n v="2"/>
    <n v="100"/>
    <n v="2"/>
  </r>
  <r>
    <s v="UCsllZ-JGcQe1GqrWliTwIaQ"/>
    <s v="UCpNnv_kL4Jk8YG_VflnZpmg"/>
    <s v="171, 85, 85"/>
    <n v="3"/>
    <m/>
    <n v="40"/>
    <m/>
    <m/>
    <m/>
    <m/>
    <s v="No"/>
    <n v="107"/>
    <m/>
    <m/>
    <s v="Commented Video"/>
    <x v="0"/>
    <s v="HOLY FUCK THIS SUCKS"/>
    <s v="UCsllZ-JGcQe1GqrWliTwIaQ"/>
    <s v="animated life"/>
    <s v="http://www.youtube.com/channel/UCsllZ-JGcQe1GqrWliTwIaQ"/>
    <m/>
    <s v="fK1_SH3X2ek"/>
    <s v="https://www.youtube.com/watch?v=fK1_SH3X2ek"/>
    <s v="none"/>
    <n v="0"/>
    <x v="104"/>
    <d v="2020-05-11T15:54:34.000"/>
    <m/>
    <m/>
    <s v=""/>
    <n v="2"/>
    <s v="1"/>
    <s v="1"/>
    <n v="1"/>
    <n v="25"/>
    <n v="2"/>
    <n v="50"/>
    <n v="0"/>
    <n v="0"/>
    <n v="1"/>
    <n v="25"/>
    <n v="4"/>
  </r>
  <r>
    <s v="UCsllZ-JGcQe1GqrWliTwIaQ"/>
    <s v="UCpNnv_kL4Jk8YG_VflnZpmg"/>
    <s v="171, 85, 85"/>
    <n v="3"/>
    <m/>
    <n v="40"/>
    <m/>
    <m/>
    <m/>
    <m/>
    <s v="No"/>
    <n v="108"/>
    <m/>
    <m/>
    <s v="Commented Video"/>
    <x v="0"/>
    <s v="Who else got sent here from Google classroom ik THIS FUCKING SUCKS ASS"/>
    <s v="UCsllZ-JGcQe1GqrWliTwIaQ"/>
    <s v="animated life"/>
    <s v="http://www.youtube.com/channel/UCsllZ-JGcQe1GqrWliTwIaQ"/>
    <m/>
    <s v="fK1_SH3X2ek"/>
    <s v="https://www.youtube.com/watch?v=fK1_SH3X2ek"/>
    <s v="none"/>
    <n v="0"/>
    <x v="105"/>
    <d v="2020-05-11T15:55:10.000"/>
    <m/>
    <m/>
    <s v=""/>
    <n v="2"/>
    <s v="1"/>
    <s v="1"/>
    <n v="0"/>
    <n v="0"/>
    <n v="2"/>
    <n v="15.384615384615385"/>
    <n v="0"/>
    <n v="0"/>
    <n v="11"/>
    <n v="84.61538461538461"/>
    <n v="13"/>
  </r>
  <r>
    <s v="UC7SBoanzWGOIY8cJm5N5XwQ"/>
    <s v="UCpNnv_kL4Jk8YG_VflnZpmg"/>
    <s v="128, 128, 128"/>
    <n v="3"/>
    <m/>
    <n v="40"/>
    <m/>
    <m/>
    <m/>
    <m/>
    <s v="No"/>
    <n v="109"/>
    <m/>
    <m/>
    <s v="Commented Video"/>
    <x v="0"/>
    <s v="👎👎👎👎👎👎👎👎👎🏻 like this if you love English"/>
    <s v="UC7SBoanzWGOIY8cJm5N5XwQ"/>
    <s v="Tanu Sharma"/>
    <s v="http://www.youtube.com/channel/UC7SBoanzWGOIY8cJm5N5XwQ"/>
    <m/>
    <s v="fK1_SH3X2ek"/>
    <s v="https://www.youtube.com/watch?v=fK1_SH3X2ek"/>
    <s v="none"/>
    <n v="1"/>
    <x v="106"/>
    <d v="2020-05-28T09:03:23.000"/>
    <m/>
    <m/>
    <s v=""/>
    <n v="1"/>
    <s v="1"/>
    <s v="1"/>
    <n v="2"/>
    <n v="33.333333333333336"/>
    <n v="0"/>
    <n v="0"/>
    <n v="0"/>
    <n v="0"/>
    <n v="4"/>
    <n v="66.66666666666667"/>
    <n v="6"/>
  </r>
  <r>
    <s v="UCdf__4wGpIoAJUxaHzh52Rg"/>
    <s v="UCpNnv_kL4Jk8YG_VflnZpmg"/>
    <s v="128, 128, 128"/>
    <n v="3"/>
    <m/>
    <n v="40"/>
    <m/>
    <m/>
    <m/>
    <m/>
    <s v="No"/>
    <n v="110"/>
    <m/>
    <m/>
    <s v="Commented Video"/>
    <x v="0"/>
    <s v="Yeah"/>
    <s v="UCdf__4wGpIoAJUxaHzh52Rg"/>
    <s v="my account is gone"/>
    <s v="http://www.youtube.com/channel/UCdf__4wGpIoAJUxaHzh52Rg"/>
    <m/>
    <s v="fK1_SH3X2ek"/>
    <s v="https://www.youtube.com/watch?v=fK1_SH3X2ek"/>
    <s v="none"/>
    <n v="0"/>
    <x v="107"/>
    <d v="2020-06-07T15:29:46.000"/>
    <m/>
    <m/>
    <s v=""/>
    <n v="1"/>
    <s v="2"/>
    <s v="1"/>
    <n v="0"/>
    <n v="0"/>
    <n v="0"/>
    <n v="0"/>
    <n v="0"/>
    <n v="0"/>
    <n v="1"/>
    <n v="100"/>
    <n v="1"/>
  </r>
  <r>
    <s v="UCfSRxcEYb7rjFKHXBw1O2dA"/>
    <s v="UC8_oQ7TS8UBU5j1es2pvHHg"/>
    <s v="171, 85, 85"/>
    <n v="3"/>
    <m/>
    <n v="40"/>
    <m/>
    <m/>
    <m/>
    <m/>
    <s v="No"/>
    <n v="111"/>
    <m/>
    <m/>
    <s v="Replied Comment"/>
    <x v="1"/>
    <s v="Me"/>
    <s v="UCfSRxcEYb7rjFKHXBw1O2dA"/>
    <s v="AriesChic Pinder"/>
    <s v="http://www.youtube.com/channel/UCfSRxcEYb7rjFKHXBw1O2dA"/>
    <s v="Ugyy5RKSoMWxigwH-yx4AaABAg"/>
    <s v="fK1_SH3X2ek"/>
    <s v="https://www.youtube.com/watch?v="/>
    <s v="none"/>
    <n v="0"/>
    <x v="108"/>
    <d v="2021-05-21T20:52:15.000"/>
    <m/>
    <m/>
    <s v=""/>
    <n v="2"/>
    <s v="5"/>
    <s v="5"/>
    <n v="0"/>
    <n v="0"/>
    <n v="0"/>
    <n v="0"/>
    <n v="0"/>
    <n v="0"/>
    <n v="1"/>
    <n v="100"/>
    <n v="1"/>
  </r>
  <r>
    <s v="UCfSRxcEYb7rjFKHXBw1O2dA"/>
    <s v="UC8_oQ7TS8UBU5j1es2pvHHg"/>
    <s v="171, 85, 85"/>
    <n v="3"/>
    <m/>
    <n v="40"/>
    <m/>
    <m/>
    <m/>
    <m/>
    <s v="No"/>
    <n v="112"/>
    <m/>
    <m/>
    <s v="Replied Comment"/>
    <x v="1"/>
    <s v="I know this is  comment is old but help....."/>
    <s v="UCfSRxcEYb7rjFKHXBw1O2dA"/>
    <s v="AriesChic Pinder"/>
    <s v="http://www.youtube.com/channel/UCfSRxcEYb7rjFKHXBw1O2dA"/>
    <s v="Ugyy5RKSoMWxigwH-yx4AaABAg"/>
    <s v="fK1_SH3X2ek"/>
    <s v="https://www.youtube.com/watch?v="/>
    <s v="none"/>
    <n v="0"/>
    <x v="109"/>
    <d v="2021-05-21T20:53:11.000"/>
    <m/>
    <m/>
    <s v=""/>
    <n v="2"/>
    <s v="5"/>
    <s v="5"/>
    <n v="0"/>
    <n v="0"/>
    <n v="0"/>
    <n v="0"/>
    <n v="0"/>
    <n v="0"/>
    <n v="9"/>
    <n v="100"/>
    <n v="9"/>
  </r>
  <r>
    <s v="UCqTGL2iGxZBMK9l4EWPg1Ug"/>
    <s v="UC8_oQ7TS8UBU5j1es2pvHHg"/>
    <s v="128, 128, 128"/>
    <n v="3"/>
    <m/>
    <n v="40"/>
    <m/>
    <m/>
    <m/>
    <m/>
    <s v="No"/>
    <n v="113"/>
    <m/>
    <m/>
    <s v="Replied Comment"/>
    <x v="1"/>
    <s v="science teacher..."/>
    <s v="UCqTGL2iGxZBMK9l4EWPg1Ug"/>
    <s v="Colten Pearson"/>
    <s v="http://www.youtube.com/channel/UCqTGL2iGxZBMK9l4EWPg1Ug"/>
    <s v="Ugyy5RKSoMWxigwH-yx4AaABAg"/>
    <s v="fK1_SH3X2ek"/>
    <s v="https://www.youtube.com/watch?v="/>
    <s v="none"/>
    <n v="0"/>
    <x v="110"/>
    <d v="2020-12-01T18:48:47.000"/>
    <m/>
    <m/>
    <s v=""/>
    <n v="1"/>
    <s v="5"/>
    <s v="5"/>
    <n v="0"/>
    <n v="0"/>
    <n v="0"/>
    <n v="0"/>
    <n v="0"/>
    <n v="0"/>
    <n v="2"/>
    <n v="100"/>
    <n v="2"/>
  </r>
  <r>
    <s v="UCF5ChGDslgBBC95Q2q_mqTA"/>
    <s v="UC8_oQ7TS8UBU5j1es2pvHHg"/>
    <s v="128, 128, 128"/>
    <n v="3"/>
    <m/>
    <n v="40"/>
    <m/>
    <m/>
    <m/>
    <m/>
    <s v="No"/>
    <n v="114"/>
    <m/>
    <m/>
    <s v="Replied Comment"/>
    <x v="1"/>
    <s v="Me"/>
    <s v="UCF5ChGDslgBBC95Q2q_mqTA"/>
    <s v="Edward Copeland"/>
    <s v="http://www.youtube.com/channel/UCF5ChGDslgBBC95Q2q_mqTA"/>
    <s v="Ugyy5RKSoMWxigwH-yx4AaABAg"/>
    <s v="fK1_SH3X2ek"/>
    <s v="https://www.youtube.com/watch?v="/>
    <s v="none"/>
    <n v="0"/>
    <x v="111"/>
    <d v="2021-04-21T21:59:38.000"/>
    <m/>
    <m/>
    <s v=""/>
    <n v="1"/>
    <s v="5"/>
    <s v="5"/>
    <n v="0"/>
    <n v="0"/>
    <n v="0"/>
    <n v="0"/>
    <n v="0"/>
    <n v="0"/>
    <n v="1"/>
    <n v="100"/>
    <n v="1"/>
  </r>
  <r>
    <s v="UC8_oQ7TS8UBU5j1es2pvHHg"/>
    <s v="UC8_oQ7TS8UBU5j1es2pvHHg"/>
    <s v="128, 128, 128"/>
    <n v="3"/>
    <m/>
    <n v="40"/>
    <m/>
    <m/>
    <m/>
    <m/>
    <s v="No"/>
    <n v="115"/>
    <m/>
    <m/>
    <s v="Replied Comment"/>
    <x v="1"/>
    <s v="@AriesChic Pinder with the assignment?"/>
    <s v="UC8_oQ7TS8UBU5j1es2pvHHg"/>
    <s v="Arielle kouadio"/>
    <s v="http://www.youtube.com/channel/UC8_oQ7TS8UBU5j1es2pvHHg"/>
    <s v="Ugyy5RKSoMWxigwH-yx4AaABAg"/>
    <s v="fK1_SH3X2ek"/>
    <s v="https://www.youtube.com/watch?v="/>
    <s v="none"/>
    <n v="0"/>
    <x v="112"/>
    <d v="2021-05-29T19:27:23.000"/>
    <m/>
    <m/>
    <s v=""/>
    <n v="1"/>
    <s v="5"/>
    <s v="5"/>
    <n v="0"/>
    <n v="0"/>
    <n v="0"/>
    <n v="0"/>
    <n v="0"/>
    <n v="0"/>
    <n v="5"/>
    <n v="100"/>
    <n v="5"/>
  </r>
  <r>
    <s v="UCnRYGBsqdgTYMJN96h4DoTQ"/>
    <s v="UC8_oQ7TS8UBU5j1es2pvHHg"/>
    <s v="128, 128, 128"/>
    <n v="3"/>
    <m/>
    <n v="40"/>
    <m/>
    <m/>
    <m/>
    <m/>
    <s v="No"/>
    <n v="116"/>
    <m/>
    <m/>
    <s v="Replied Comment"/>
    <x v="1"/>
    <s v="Me hahah"/>
    <s v="UCnRYGBsqdgTYMJN96h4DoTQ"/>
    <s v="GREENWH33L_YT"/>
    <s v="http://www.youtube.com/channel/UCnRYGBsqdgTYMJN96h4DoTQ"/>
    <s v="Ugyy5RKSoMWxigwH-yx4AaABAg"/>
    <s v="fK1_SH3X2ek"/>
    <s v="https://www.youtube.com/watch?v="/>
    <s v="none"/>
    <n v="0"/>
    <x v="113"/>
    <d v="2021-06-14T15:51:13.000"/>
    <m/>
    <m/>
    <s v=""/>
    <n v="1"/>
    <s v="5"/>
    <s v="5"/>
    <n v="0"/>
    <n v="0"/>
    <n v="0"/>
    <n v="0"/>
    <n v="0"/>
    <n v="0"/>
    <n v="2"/>
    <n v="100"/>
    <n v="2"/>
  </r>
  <r>
    <s v="UC8_oQ7TS8UBU5j1es2pvHHg"/>
    <s v="UCpNnv_kL4Jk8YG_VflnZpmg"/>
    <s v="128, 128, 128"/>
    <n v="3"/>
    <m/>
    <n v="40"/>
    <m/>
    <m/>
    <m/>
    <m/>
    <s v="No"/>
    <n v="117"/>
    <m/>
    <m/>
    <s v="Commented Video"/>
    <x v="0"/>
    <s v="Who’s here because of health class?"/>
    <s v="UC8_oQ7TS8UBU5j1es2pvHHg"/>
    <s v="Arielle kouadio"/>
    <s v="http://www.youtube.com/channel/UC8_oQ7TS8UBU5j1es2pvHHg"/>
    <m/>
    <s v="fK1_SH3X2ek"/>
    <s v="https://www.youtube.com/watch?v=fK1_SH3X2ek"/>
    <s v="none"/>
    <n v="48"/>
    <x v="114"/>
    <d v="2020-06-10T04:56:32.000"/>
    <m/>
    <m/>
    <s v=""/>
    <n v="1"/>
    <s v="5"/>
    <s v="1"/>
    <n v="0"/>
    <n v="0"/>
    <n v="0"/>
    <n v="0"/>
    <n v="0"/>
    <n v="0"/>
    <n v="7"/>
    <n v="100"/>
    <n v="7"/>
  </r>
  <r>
    <s v="UC3htKE-dyoJeXF-fZ7JS_jw"/>
    <s v="UCpNnv_kL4Jk8YG_VflnZpmg"/>
    <s v="128, 128, 128"/>
    <n v="3"/>
    <m/>
    <n v="40"/>
    <m/>
    <m/>
    <m/>
    <m/>
    <s v="No"/>
    <n v="118"/>
    <m/>
    <m/>
    <s v="Commented Video"/>
    <x v="0"/>
    <s v="I like it"/>
    <s v="UC3htKE-dyoJeXF-fZ7JS_jw"/>
    <s v="Rebika Sangma"/>
    <s v="http://www.youtube.com/channel/UC3htKE-dyoJeXF-fZ7JS_jw"/>
    <m/>
    <s v="fK1_SH3X2ek"/>
    <s v="https://www.youtube.com/watch?v=fK1_SH3X2ek"/>
    <s v="none"/>
    <n v="0"/>
    <x v="115"/>
    <d v="2020-06-25T06:27:24.000"/>
    <m/>
    <m/>
    <s v=""/>
    <n v="1"/>
    <s v="1"/>
    <s v="1"/>
    <n v="1"/>
    <n v="33.333333333333336"/>
    <n v="0"/>
    <n v="0"/>
    <n v="0"/>
    <n v="0"/>
    <n v="2"/>
    <n v="66.66666666666667"/>
    <n v="3"/>
  </r>
  <r>
    <s v="UC7nIPfgorPJhL52Ne5qkn4Q"/>
    <s v="UCpNnv_kL4Jk8YG_VflnZpmg"/>
    <s v="128, 128, 128"/>
    <n v="3"/>
    <m/>
    <n v="40"/>
    <m/>
    <m/>
    <m/>
    <m/>
    <s v="No"/>
    <n v="119"/>
    <m/>
    <m/>
    <s v="Commented Video"/>
    <x v="0"/>
    <s v="mamniceteachingmam thanksmam"/>
    <s v="UC7nIPfgorPJhL52Ne5qkn4Q"/>
    <s v="Vishanth R"/>
    <s v="http://www.youtube.com/channel/UC7nIPfgorPJhL52Ne5qkn4Q"/>
    <m/>
    <s v="fK1_SH3X2ek"/>
    <s v="https://www.youtube.com/watch?v=fK1_SH3X2ek"/>
    <s v="none"/>
    <n v="0"/>
    <x v="116"/>
    <d v="2020-07-20T14:57:28.000"/>
    <m/>
    <m/>
    <s v=""/>
    <n v="1"/>
    <s v="1"/>
    <s v="1"/>
    <n v="0"/>
    <n v="0"/>
    <n v="0"/>
    <n v="0"/>
    <n v="0"/>
    <n v="0"/>
    <n v="2"/>
    <n v="100"/>
    <n v="2"/>
  </r>
  <r>
    <s v="UCMqj6PcNzNbrIBmmVl0yoag"/>
    <s v="UCpNnv_kL4Jk8YG_VflnZpmg"/>
    <s v="128, 128, 128"/>
    <n v="3"/>
    <m/>
    <n v="40"/>
    <m/>
    <m/>
    <m/>
    <m/>
    <s v="No"/>
    <n v="120"/>
    <m/>
    <m/>
    <s v="Commented Video"/>
    <x v="0"/>
    <s v="super video very helpful"/>
    <s v="UCMqj6PcNzNbrIBmmVl0yoag"/>
    <s v="Yokanantha Babu"/>
    <s v="http://www.youtube.com/channel/UCMqj6PcNzNbrIBmmVl0yoag"/>
    <m/>
    <s v="fK1_SH3X2ek"/>
    <s v="https://www.youtube.com/watch?v=fK1_SH3X2ek"/>
    <s v="none"/>
    <n v="0"/>
    <x v="117"/>
    <d v="2020-07-21T06:51:01.000"/>
    <m/>
    <m/>
    <s v=""/>
    <n v="1"/>
    <s v="1"/>
    <s v="1"/>
    <n v="2"/>
    <n v="50"/>
    <n v="0"/>
    <n v="0"/>
    <n v="0"/>
    <n v="0"/>
    <n v="2"/>
    <n v="50"/>
    <n v="4"/>
  </r>
  <r>
    <s v="UCr8qF5f_vLyTxQe2fw02d8w"/>
    <s v="UCpNnv_kL4Jk8YG_VflnZpmg"/>
    <s v="128, 128, 128"/>
    <n v="3"/>
    <m/>
    <n v="40"/>
    <m/>
    <m/>
    <m/>
    <m/>
    <s v="No"/>
    <n v="121"/>
    <m/>
    <m/>
    <s v="Commented Video"/>
    <x v="0"/>
    <s v="thanks"/>
    <s v="UCr8qF5f_vLyTxQe2fw02d8w"/>
    <s v="Shlesha Maniar"/>
    <s v="http://www.youtube.com/channel/UCr8qF5f_vLyTxQe2fw02d8w"/>
    <m/>
    <s v="fK1_SH3X2ek"/>
    <s v="https://www.youtube.com/watch?v=fK1_SH3X2ek"/>
    <s v="none"/>
    <n v="0"/>
    <x v="118"/>
    <d v="2020-08-07T11:04:02.000"/>
    <m/>
    <m/>
    <s v=""/>
    <n v="1"/>
    <s v="1"/>
    <s v="1"/>
    <n v="0"/>
    <n v="0"/>
    <n v="0"/>
    <n v="0"/>
    <n v="0"/>
    <n v="0"/>
    <n v="1"/>
    <n v="100"/>
    <n v="1"/>
  </r>
  <r>
    <s v="UCh-2TKI04EBmj1G6P1OB6Pw"/>
    <s v="UCpNnv_kL4Jk8YG_VflnZpmg"/>
    <s v="128, 128, 128"/>
    <n v="3"/>
    <m/>
    <n v="40"/>
    <m/>
    <m/>
    <m/>
    <m/>
    <s v="No"/>
    <n v="122"/>
    <m/>
    <m/>
    <s v="Commented Video"/>
    <x v="0"/>
    <s v="🤓"/>
    <s v="UCh-2TKI04EBmj1G6P1OB6Pw"/>
    <s v="ishaan mafia"/>
    <s v="http://www.youtube.com/channel/UCh-2TKI04EBmj1G6P1OB6Pw"/>
    <m/>
    <s v="fK1_SH3X2ek"/>
    <s v="https://www.youtube.com/watch?v=fK1_SH3X2ek"/>
    <s v="none"/>
    <n v="0"/>
    <x v="119"/>
    <d v="2020-08-19T07:20:36.000"/>
    <m/>
    <m/>
    <s v=""/>
    <n v="1"/>
    <s v="1"/>
    <s v="1"/>
    <n v="0"/>
    <n v="0"/>
    <n v="0"/>
    <n v="0"/>
    <n v="0"/>
    <n v="0"/>
    <n v="0"/>
    <n v="0"/>
    <n v="0"/>
  </r>
  <r>
    <s v="UCy8XLhlIl992JrAP2hgCscQ"/>
    <s v="UCaIeo4JpCmSTtmQfmfH4eAg"/>
    <s v="128, 128, 128"/>
    <n v="3"/>
    <m/>
    <n v="40"/>
    <m/>
    <m/>
    <m/>
    <m/>
    <s v="No"/>
    <n v="123"/>
    <m/>
    <m/>
    <s v="Replied Comment"/>
    <x v="1"/>
    <s v="Tnx yar for telling us,but it has no use to me but again THANK YOU 😊"/>
    <s v="UCy8XLhlIl992JrAP2hgCscQ"/>
    <s v="Sarita Devi"/>
    <s v="http://www.youtube.com/channel/UCy8XLhlIl992JrAP2hgCscQ"/>
    <s v="UgwDKLGFaQ5vIofNRo54AaABAg"/>
    <s v="fK1_SH3X2ek"/>
    <s v="https://www.youtube.com/watch?v=fK1_SH3X2ek"/>
    <s v="none"/>
    <n v="1"/>
    <x v="120"/>
    <d v="2020-10-20T15:32:18.000"/>
    <m/>
    <m/>
    <s v=""/>
    <n v="1"/>
    <s v="1"/>
    <s v="1"/>
    <n v="1"/>
    <n v="6.25"/>
    <n v="0"/>
    <n v="0"/>
    <n v="0"/>
    <n v="0"/>
    <n v="15"/>
    <n v="93.75"/>
    <n v="16"/>
  </r>
  <r>
    <s v="UC1l0Bbv3upJ90bFKIfT2JCA"/>
    <s v="UCaIeo4JpCmSTtmQfmfH4eAg"/>
    <s v="128, 128, 128"/>
    <n v="3"/>
    <m/>
    <n v="40"/>
    <m/>
    <m/>
    <m/>
    <m/>
    <s v="No"/>
    <n v="124"/>
    <m/>
    <m/>
    <s v="Replied Comment"/>
    <x v="1"/>
    <s v="If he can cure als then why didn&amp;#39;t he save Stephen Hawkings?"/>
    <s v="UC1l0Bbv3upJ90bFKIfT2JCA"/>
    <s v="mͥสyͣuͫkhツ Ghøsh"/>
    <s v="http://www.youtube.com/channel/UC1l0Bbv3upJ90bFKIfT2JCA"/>
    <s v="UgwDKLGFaQ5vIofNRo54AaABAg"/>
    <s v="fK1_SH3X2ek"/>
    <s v="https://www.youtube.com/watch?v=fK1_SH3X2ek"/>
    <s v="none"/>
    <n v="1"/>
    <x v="121"/>
    <d v="2020-10-31T08:29:17.000"/>
    <m/>
    <m/>
    <s v=""/>
    <n v="1"/>
    <s v="1"/>
    <s v="1"/>
    <n v="1"/>
    <n v="7.142857142857143"/>
    <n v="0"/>
    <n v="0"/>
    <n v="0"/>
    <n v="0"/>
    <n v="13"/>
    <n v="92.85714285714286"/>
    <n v="14"/>
  </r>
  <r>
    <s v="UCaIeo4JpCmSTtmQfmfH4eAg"/>
    <s v="UCaIeo4JpCmSTtmQfmfH4eAg"/>
    <s v="128, 128, 128"/>
    <n v="3"/>
    <m/>
    <n v="40"/>
    <m/>
    <m/>
    <m/>
    <m/>
    <s v="No"/>
    <n v="125"/>
    <m/>
    <m/>
    <s v="Replied Comment"/>
    <x v="1"/>
    <s v="@mͥสyͣuͫkhツ Ghøsh a lot of people don&amp;#39;t know about this great herbalist in africa, have Cure all kinds of disease"/>
    <s v="UCaIeo4JpCmSTtmQfmfH4eAg"/>
    <s v="Eric"/>
    <s v="http://www.youtube.com/channel/UCaIeo4JpCmSTtmQfmfH4eAg"/>
    <s v="UgwDKLGFaQ5vIofNRo54AaABAg"/>
    <s v="fK1_SH3X2ek"/>
    <s v="https://www.youtube.com/watch?v=fK1_SH3X2ek"/>
    <s v="none"/>
    <n v="0"/>
    <x v="122"/>
    <d v="2020-10-31T13:45:59.000"/>
    <m/>
    <m/>
    <s v=""/>
    <n v="1"/>
    <s v="1"/>
    <s v="1"/>
    <n v="2"/>
    <n v="8"/>
    <n v="0"/>
    <n v="0"/>
    <n v="0"/>
    <n v="0"/>
    <n v="23"/>
    <n v="92"/>
    <n v="25"/>
  </r>
  <r>
    <s v="UCaIeo4JpCmSTtmQfmfH4eAg"/>
    <s v="UCpNnv_kL4Jk8YG_VflnZpmg"/>
    <s v="128, 128, 128"/>
    <n v="3"/>
    <m/>
    <n v="40"/>
    <m/>
    <m/>
    <m/>
    <m/>
    <s v="No"/>
    <n v="126"/>
    <m/>
    <m/>
    <s v="Commented Video"/>
    <x v="0"/>
    <s v="I have been suffering from Herpes for the past 3 years and 8 months, and ever since then i have been taking series of treatment but there was no improvement until i came across testimonies of Dr odion on how he has been curing different people from different diseases all over the world, then i contacted him as well. After our conversation he sent me the medicine which i took according to his instructions. When i was done taking the herbal medicine i went for a medical checkup and to my greatest surprise i was cured from Herpes. My heart is so filled with joy. If you are suffering from Herpes or any other disease you can contact Dr Odion today on this email:drodionherbalhome12@&lt;a href=&quot;http://gmail.com/&quot;&gt;gmail.com&lt;/a&gt; WhatsApp him on this Number +234 9019421176 Dr odion cures:&lt;br&gt;1. HIV / AIDS&lt;br&gt;2. HERPES 1/2&lt;br&gt;3. CANCER&lt;br&gt;4. ALS (Lou Gehrig&amp;#39;s disease)&lt;br&gt;5. Hepatitis B&lt;br&gt;6. chronici pancreatic&lt;br&gt;7. emphysema&lt;br&gt;8. COPD (chronic obstructive pulmonary disease"/>
    <s v="UCaIeo4JpCmSTtmQfmfH4eAg"/>
    <s v="Eric"/>
    <s v="http://www.youtube.com/channel/UCaIeo4JpCmSTtmQfmfH4eAg"/>
    <m/>
    <s v="fK1_SH3X2ek"/>
    <s v="https://www.youtube.com/watch?v=fK1_SH3X2ek"/>
    <s v="none"/>
    <n v="3"/>
    <x v="123"/>
    <d v="2020-08-23T00:31:57.000"/>
    <s v=" http://gmail.com/"/>
    <s v="gmail.com"/>
    <s v=""/>
    <n v="1"/>
    <s v="1"/>
    <s v="1"/>
    <n v="4"/>
    <n v="2.2099447513812156"/>
    <n v="4"/>
    <n v="2.2099447513812156"/>
    <n v="0"/>
    <n v="0"/>
    <n v="173"/>
    <n v="95.58011049723757"/>
    <n v="181"/>
  </r>
  <r>
    <s v="UCD3JkquUUlOui749jhE6Mvg"/>
    <s v="UCpNnv_kL4Jk8YG_VflnZpmg"/>
    <s v="128, 128, 128"/>
    <n v="3"/>
    <m/>
    <n v="40"/>
    <m/>
    <m/>
    <m/>
    <m/>
    <s v="No"/>
    <n v="127"/>
    <m/>
    <m/>
    <s v="Commented Video"/>
    <x v="0"/>
    <s v="Yo who is in my class right now watching this video. Reply to me"/>
    <s v="UCD3JkquUUlOui749jhE6Mvg"/>
    <s v="Saad ElHayani"/>
    <s v="http://www.youtube.com/channel/UCD3JkquUUlOui749jhE6Mvg"/>
    <m/>
    <s v="fK1_SH3X2ek"/>
    <s v="https://www.youtube.com/watch?v=fK1_SH3X2ek"/>
    <s v="none"/>
    <n v="1"/>
    <x v="124"/>
    <d v="2020-09-22T16:57:47.000"/>
    <m/>
    <m/>
    <s v=""/>
    <n v="1"/>
    <s v="1"/>
    <s v="1"/>
    <n v="1"/>
    <n v="7.142857142857143"/>
    <n v="0"/>
    <n v="0"/>
    <n v="0"/>
    <n v="0"/>
    <n v="13"/>
    <n v="92.85714285714286"/>
    <n v="14"/>
  </r>
  <r>
    <s v="UCLj0oRJSMJlFtBvj2MqARiQ"/>
    <s v="UCpNnv_kL4Jk8YG_VflnZpmg"/>
    <s v="128, 128, 128"/>
    <n v="3"/>
    <m/>
    <n v="40"/>
    <m/>
    <m/>
    <m/>
    <m/>
    <s v="No"/>
    <n v="128"/>
    <m/>
    <m/>
    <s v="Commented Video"/>
    <x v="0"/>
    <s v="nice teaching"/>
    <s v="UCLj0oRJSMJlFtBvj2MqARiQ"/>
    <s v="ALDEN JOSIAH FERNANDES CLASS VI"/>
    <s v="http://www.youtube.com/channel/UCLj0oRJSMJlFtBvj2MqARiQ"/>
    <m/>
    <s v="fK1_SH3X2ek"/>
    <s v="https://www.youtube.com/watch?v=fK1_SH3X2ek"/>
    <s v="none"/>
    <n v="1"/>
    <x v="125"/>
    <d v="2020-09-29T07:49:54.000"/>
    <m/>
    <m/>
    <s v=""/>
    <n v="1"/>
    <s v="1"/>
    <s v="1"/>
    <n v="1"/>
    <n v="50"/>
    <n v="0"/>
    <n v="0"/>
    <n v="0"/>
    <n v="0"/>
    <n v="1"/>
    <n v="50"/>
    <n v="2"/>
  </r>
  <r>
    <s v="UC1aILpkji8MPAKECCmV6exQ"/>
    <s v="UCpNnv_kL4Jk8YG_VflnZpmg"/>
    <s v="171, 85, 85"/>
    <n v="3"/>
    <m/>
    <n v="40"/>
    <m/>
    <m/>
    <m/>
    <m/>
    <s v="No"/>
    <n v="129"/>
    <m/>
    <m/>
    <s v="Commented Video"/>
    <x v="0"/>
    <s v="Nic"/>
    <s v="UC1aILpkji8MPAKECCmV6exQ"/>
    <s v="Sushila Kullu"/>
    <s v="http://www.youtube.com/channel/UC1aILpkji8MPAKECCmV6exQ"/>
    <m/>
    <s v="fK1_SH3X2ek"/>
    <s v="https://www.youtube.com/watch?v=fK1_SH3X2ek"/>
    <s v="none"/>
    <n v="0"/>
    <x v="126"/>
    <d v="2020-10-01T04:41:34.000"/>
    <m/>
    <m/>
    <s v=""/>
    <n v="2"/>
    <s v="1"/>
    <s v="1"/>
    <n v="0"/>
    <n v="0"/>
    <n v="0"/>
    <n v="0"/>
    <n v="0"/>
    <n v="0"/>
    <n v="1"/>
    <n v="100"/>
    <n v="1"/>
  </r>
  <r>
    <s v="UC1aILpkji8MPAKECCmV6exQ"/>
    <s v="UCpNnv_kL4Jk8YG_VflnZpmg"/>
    <s v="171, 85, 85"/>
    <n v="3"/>
    <m/>
    <n v="40"/>
    <m/>
    <m/>
    <m/>
    <m/>
    <s v="No"/>
    <n v="130"/>
    <m/>
    <m/>
    <s v="Commented Video"/>
    <x v="0"/>
    <s v="Nice"/>
    <s v="UC1aILpkji8MPAKECCmV6exQ"/>
    <s v="Sushila Kullu"/>
    <s v="http://www.youtube.com/channel/UC1aILpkji8MPAKECCmV6exQ"/>
    <m/>
    <s v="fK1_SH3X2ek"/>
    <s v="https://www.youtube.com/watch?v=fK1_SH3X2ek"/>
    <s v="none"/>
    <n v="0"/>
    <x v="127"/>
    <d v="2020-10-01T04:41:46.000"/>
    <m/>
    <m/>
    <s v=""/>
    <n v="2"/>
    <s v="1"/>
    <s v="1"/>
    <n v="1"/>
    <n v="100"/>
    <n v="0"/>
    <n v="0"/>
    <n v="0"/>
    <n v="0"/>
    <n v="0"/>
    <n v="0"/>
    <n v="1"/>
  </r>
  <r>
    <s v="UCjXQ1_b7RUp86iL0t4I4XrQ"/>
    <s v="UCpNnv_kL4Jk8YG_VflnZpmg"/>
    <s v="128, 128, 128"/>
    <n v="3"/>
    <m/>
    <n v="40"/>
    <m/>
    <m/>
    <m/>
    <m/>
    <s v="No"/>
    <n v="131"/>
    <m/>
    <m/>
    <s v="Commented Video"/>
    <x v="0"/>
    <s v="good video."/>
    <s v="UCjXQ1_b7RUp86iL0t4I4XrQ"/>
    <s v="renuka pulchand"/>
    <s v="http://www.youtube.com/channel/UCjXQ1_b7RUp86iL0t4I4XrQ"/>
    <m/>
    <s v="fK1_SH3X2ek"/>
    <s v="https://www.youtube.com/watch?v=fK1_SH3X2ek"/>
    <s v="none"/>
    <n v="0"/>
    <x v="128"/>
    <d v="2020-10-14T03:15:18.000"/>
    <m/>
    <m/>
    <s v=""/>
    <n v="1"/>
    <s v="1"/>
    <s v="1"/>
    <n v="1"/>
    <n v="50"/>
    <n v="0"/>
    <n v="0"/>
    <n v="0"/>
    <n v="0"/>
    <n v="1"/>
    <n v="50"/>
    <n v="2"/>
  </r>
  <r>
    <s v="UCBWw8SH9UeJw3XQVEBJtQrA"/>
    <s v="UCpNnv_kL4Jk8YG_VflnZpmg"/>
    <s v="128, 128, 128"/>
    <n v="3"/>
    <m/>
    <n v="40"/>
    <m/>
    <m/>
    <m/>
    <m/>
    <s v="No"/>
    <n v="132"/>
    <m/>
    <m/>
    <s v="Commented Video"/>
    <x v="0"/>
    <s v="I love these  video"/>
    <s v="UCBWw8SH9UeJw3XQVEBJtQrA"/>
    <s v="Rahul Wankhede"/>
    <s v="http://www.youtube.com/channel/UCBWw8SH9UeJw3XQVEBJtQrA"/>
    <m/>
    <s v="fK1_SH3X2ek"/>
    <s v="https://www.youtube.com/watch?v=fK1_SH3X2ek"/>
    <s v="none"/>
    <n v="0"/>
    <x v="129"/>
    <d v="2020-10-22T07:09:58.000"/>
    <m/>
    <m/>
    <s v=""/>
    <n v="1"/>
    <s v="1"/>
    <s v="1"/>
    <n v="1"/>
    <n v="25"/>
    <n v="0"/>
    <n v="0"/>
    <n v="0"/>
    <n v="0"/>
    <n v="3"/>
    <n v="75"/>
    <n v="4"/>
  </r>
  <r>
    <s v="UCSFVipfASWh43ZpnFG3Alvg"/>
    <s v="UCpNnv_kL4Jk8YG_VflnZpmg"/>
    <s v="128, 128, 128"/>
    <n v="3"/>
    <m/>
    <n v="40"/>
    <m/>
    <m/>
    <m/>
    <m/>
    <s v="No"/>
    <n v="133"/>
    <m/>
    <m/>
    <s v="Commented Video"/>
    <x v="0"/>
    <s v="Who else&amp;#39;s healt teacher making u watch this"/>
    <s v="UCSFVipfASWh43ZpnFG3Alvg"/>
    <s v="Yomanzzz"/>
    <s v="http://www.youtube.com/channel/UCSFVipfASWh43ZpnFG3Alvg"/>
    <m/>
    <s v="fK1_SH3X2ek"/>
    <s v="https://www.youtube.com/watch?v=fK1_SH3X2ek"/>
    <s v="none"/>
    <n v="11"/>
    <x v="130"/>
    <d v="2020-10-22T20:36:02.000"/>
    <m/>
    <m/>
    <s v=""/>
    <n v="1"/>
    <s v="1"/>
    <s v="1"/>
    <n v="0"/>
    <n v="0"/>
    <n v="0"/>
    <n v="0"/>
    <n v="0"/>
    <n v="0"/>
    <n v="10"/>
    <n v="100"/>
    <n v="10"/>
  </r>
  <r>
    <s v="UCmtBrY48_j-28UhxzpxRVyg"/>
    <s v="UCpNnv_kL4Jk8YG_VflnZpmg"/>
    <s v="128, 128, 128"/>
    <n v="3"/>
    <m/>
    <n v="40"/>
    <m/>
    <m/>
    <m/>
    <m/>
    <s v="No"/>
    <n v="134"/>
    <m/>
    <m/>
    <s v="Commented Video"/>
    <x v="0"/>
    <s v="Jzjsjs"/>
    <s v="UCmtBrY48_j-28UhxzpxRVyg"/>
    <s v="Dark Gaming"/>
    <s v="http://www.youtube.com/channel/UCmtBrY48_j-28UhxzpxRVyg"/>
    <m/>
    <s v="fK1_SH3X2ek"/>
    <s v="https://www.youtube.com/watch?v=fK1_SH3X2ek"/>
    <s v="none"/>
    <n v="0"/>
    <x v="131"/>
    <d v="2020-10-28T02:27:17.000"/>
    <m/>
    <m/>
    <s v=""/>
    <n v="1"/>
    <s v="1"/>
    <s v="1"/>
    <n v="0"/>
    <n v="0"/>
    <n v="0"/>
    <n v="0"/>
    <n v="0"/>
    <n v="0"/>
    <n v="1"/>
    <n v="100"/>
    <n v="1"/>
  </r>
  <r>
    <s v="UC1l0Bbv3upJ90bFKIfT2JCA"/>
    <s v="UCpNnv_kL4Jk8YG_VflnZpmg"/>
    <s v="128, 128, 128"/>
    <n v="3"/>
    <m/>
    <n v="40"/>
    <m/>
    <m/>
    <m/>
    <m/>
    <s v="No"/>
    <n v="135"/>
    <m/>
    <m/>
    <s v="Commented Video"/>
    <x v="0"/>
    <s v="Hmm"/>
    <s v="UC1l0Bbv3upJ90bFKIfT2JCA"/>
    <s v="mͥสyͣuͫkhツ Ghøsh"/>
    <s v="http://www.youtube.com/channel/UC1l0Bbv3upJ90bFKIfT2JCA"/>
    <m/>
    <s v="fK1_SH3X2ek"/>
    <s v="https://www.youtube.com/watch?v=fK1_SH3X2ek"/>
    <s v="none"/>
    <n v="2"/>
    <x v="132"/>
    <d v="2020-10-31T08:28:07.000"/>
    <m/>
    <m/>
    <s v=""/>
    <n v="1"/>
    <s v="1"/>
    <s v="1"/>
    <n v="0"/>
    <n v="0"/>
    <n v="0"/>
    <n v="0"/>
    <n v="0"/>
    <n v="0"/>
    <n v="1"/>
    <n v="100"/>
    <n v="1"/>
  </r>
  <r>
    <s v="UCkoGhJVmkMOztmnzPa30EWA"/>
    <s v="UCpNnv_kL4Jk8YG_VflnZpmg"/>
    <s v="128, 128, 128"/>
    <n v="3"/>
    <m/>
    <n v="40"/>
    <m/>
    <m/>
    <m/>
    <m/>
    <s v="No"/>
    <n v="136"/>
    <m/>
    <m/>
    <s v="Commented Video"/>
    <x v="0"/>
    <s v="I like it for aaral"/>
    <s v="UCkoGhJVmkMOztmnzPa30EWA"/>
    <s v="Aida Batac"/>
    <s v="http://www.youtube.com/channel/UCkoGhJVmkMOztmnzPa30EWA"/>
    <m/>
    <s v="fK1_SH3X2ek"/>
    <s v="https://www.youtube.com/watch?v=fK1_SH3X2ek"/>
    <s v="none"/>
    <n v="0"/>
    <x v="133"/>
    <d v="2020-11-05T06:35:19.000"/>
    <m/>
    <m/>
    <s v=""/>
    <n v="1"/>
    <s v="1"/>
    <s v="1"/>
    <n v="1"/>
    <n v="20"/>
    <n v="0"/>
    <n v="0"/>
    <n v="0"/>
    <n v="0"/>
    <n v="4"/>
    <n v="80"/>
    <n v="5"/>
  </r>
  <r>
    <s v="UCUUcUvc-YNLzYoX7ztHzLsw"/>
    <s v="UCpNnv_kL4Jk8YG_VflnZpmg"/>
    <s v="128, 128, 128"/>
    <n v="3"/>
    <m/>
    <n v="40"/>
    <m/>
    <m/>
    <m/>
    <m/>
    <s v="No"/>
    <n v="137"/>
    <m/>
    <m/>
    <s v="Commented Video"/>
    <x v="0"/>
    <s v="Good"/>
    <s v="UCUUcUvc-YNLzYoX7ztHzLsw"/>
    <s v="Gerald rogers"/>
    <s v="http://www.youtube.com/channel/UCUUcUvc-YNLzYoX7ztHzLsw"/>
    <m/>
    <s v="fK1_SH3X2ek"/>
    <s v="https://www.youtube.com/watch?v=fK1_SH3X2ek"/>
    <s v="none"/>
    <n v="0"/>
    <x v="134"/>
    <d v="2020-11-09T03:40:58.000"/>
    <m/>
    <m/>
    <s v=""/>
    <n v="1"/>
    <s v="1"/>
    <s v="1"/>
    <n v="1"/>
    <n v="100"/>
    <n v="0"/>
    <n v="0"/>
    <n v="0"/>
    <n v="0"/>
    <n v="0"/>
    <n v="0"/>
    <n v="1"/>
  </r>
  <r>
    <s v="UC-MVjybu6gbAbIDiQosKimA"/>
    <s v="UC-MVjybu6gbAbIDiQosKimA"/>
    <s v="128, 128, 128"/>
    <n v="3"/>
    <m/>
    <n v="40"/>
    <m/>
    <m/>
    <m/>
    <m/>
    <s v="No"/>
    <n v="138"/>
    <m/>
    <m/>
    <s v="Replied Comment"/>
    <x v="1"/>
    <s v="btw why do they think it is easy to make one of the most profitible things just be replaced?"/>
    <s v="UC-MVjybu6gbAbIDiQosKimA"/>
    <s v="Ryan McNeish"/>
    <s v="http://www.youtube.com/channel/UC-MVjybu6gbAbIDiQosKimA"/>
    <s v="Ugy9rNk_rG2uiOPdzyh4AaABAg"/>
    <s v="fK1_SH3X2ek"/>
    <s v="https://www.youtube.com/watch?v=fK1_SH3X2ek"/>
    <s v="none"/>
    <n v="0"/>
    <x v="135"/>
    <d v="2020-11-20T00:20:21.000"/>
    <m/>
    <m/>
    <s v=""/>
    <n v="1"/>
    <s v="1"/>
    <s v="1"/>
    <n v="1"/>
    <n v="5.2631578947368425"/>
    <n v="0"/>
    <n v="0"/>
    <n v="0"/>
    <n v="0"/>
    <n v="18"/>
    <n v="94.73684210526316"/>
    <n v="19"/>
  </r>
  <r>
    <s v="UC-MVjybu6gbAbIDiQosKimA"/>
    <s v="UCpNnv_kL4Jk8YG_VflnZpmg"/>
    <s v="128, 128, 128"/>
    <n v="3"/>
    <m/>
    <n v="40"/>
    <m/>
    <m/>
    <m/>
    <m/>
    <s v="No"/>
    <n v="139"/>
    <m/>
    <m/>
    <s v="Commented Video"/>
    <x v="0"/>
    <s v="&amp;quot;Country`s of the americas...&amp;quot; ~ The narrator of that video"/>
    <s v="UC-MVjybu6gbAbIDiQosKimA"/>
    <s v="Ryan McNeish"/>
    <s v="http://www.youtube.com/channel/UC-MVjybu6gbAbIDiQosKimA"/>
    <m/>
    <s v="fK1_SH3X2ek"/>
    <s v="https://www.youtube.com/watch?v=fK1_SH3X2ek"/>
    <s v="none"/>
    <n v="0"/>
    <x v="136"/>
    <d v="2020-11-20T00:18:59.000"/>
    <m/>
    <m/>
    <s v=""/>
    <n v="1"/>
    <s v="1"/>
    <s v="1"/>
    <n v="0"/>
    <n v="0"/>
    <n v="0"/>
    <n v="0"/>
    <n v="0"/>
    <n v="0"/>
    <n v="12"/>
    <n v="100"/>
    <n v="12"/>
  </r>
  <r>
    <s v="UCqTGL2iGxZBMK9l4EWPg1Ug"/>
    <s v="UCpNnv_kL4Jk8YG_VflnZpmg"/>
    <s v="128, 128, 128"/>
    <n v="3"/>
    <m/>
    <n v="40"/>
    <m/>
    <m/>
    <m/>
    <m/>
    <s v="No"/>
    <n v="140"/>
    <m/>
    <m/>
    <s v="Commented Video"/>
    <x v="0"/>
    <s v="&lt;a href=&quot;https://www.youtube.com/watch?v=fK1_SH3X2ek&amp;amp;t=2m13s&quot;&gt;2:13&lt;/a&gt; try telling that to us government!"/>
    <s v="UCqTGL2iGxZBMK9l4EWPg1Ug"/>
    <s v="Colten Pearson"/>
    <s v="http://www.youtube.com/channel/UCqTGL2iGxZBMK9l4EWPg1Ug"/>
    <m/>
    <s v="fK1_SH3X2ek"/>
    <s v="https://www.youtube.com/watch?v=fK1_SH3X2ek"/>
    <s v="none"/>
    <n v="3"/>
    <x v="137"/>
    <d v="2020-12-01T18:48:16.000"/>
    <s v=" https://www.youtube.com/watch?v=fK1_SH3X2ek&amp;amp;t=2m13s"/>
    <s v="youtube.com"/>
    <s v=""/>
    <n v="1"/>
    <s v="5"/>
    <s v="1"/>
    <n v="0"/>
    <n v="0"/>
    <n v="0"/>
    <n v="0"/>
    <n v="0"/>
    <n v="0"/>
    <n v="21"/>
    <n v="100"/>
    <n v="21"/>
  </r>
  <r>
    <s v="UC6E4aPR3UIKueoV4Zv4vCeA"/>
    <s v="UCgquf9LuuyNk4tYNC7gZKgg"/>
    <s v="128, 128, 128"/>
    <n v="3"/>
    <m/>
    <n v="40"/>
    <m/>
    <m/>
    <m/>
    <m/>
    <s v="No"/>
    <n v="141"/>
    <m/>
    <m/>
    <s v="Replied Comment"/>
    <x v="1"/>
    <s v="nO helP meeew"/>
    <s v="UC6E4aPR3UIKueoV4Zv4vCeA"/>
    <s v="FuriousShadow"/>
    <s v="http://www.youtube.com/channel/UC6E4aPR3UIKueoV4Zv4vCeA"/>
    <s v="Ugzk2T4uEJtYGd9zIEZ4AaABAg"/>
    <s v="fK1_SH3X2ek"/>
    <s v="https://www.youtube.com/watch?v=fK1_SH3X2ek"/>
    <s v="none"/>
    <n v="0"/>
    <x v="138"/>
    <d v="2021-03-05T18:43:51.000"/>
    <m/>
    <m/>
    <s v=""/>
    <n v="1"/>
    <s v="10"/>
    <s v="10"/>
    <n v="0"/>
    <n v="0"/>
    <n v="0"/>
    <n v="0"/>
    <n v="0"/>
    <n v="0"/>
    <n v="3"/>
    <n v="100"/>
    <n v="3"/>
  </r>
  <r>
    <s v="UCgquf9LuuyNk4tYNC7gZKgg"/>
    <s v="UCpNnv_kL4Jk8YG_VflnZpmg"/>
    <s v="128, 128, 128"/>
    <n v="3"/>
    <m/>
    <n v="40"/>
    <m/>
    <m/>
    <m/>
    <m/>
    <s v="No"/>
    <n v="142"/>
    <m/>
    <m/>
    <s v="Commented Video"/>
    <x v="0"/>
    <s v="I was forced to watch this because of my health teacher. help."/>
    <s v="UCgquf9LuuyNk4tYNC7gZKgg"/>
    <s v="Error404"/>
    <s v="http://www.youtube.com/channel/UCgquf9LuuyNk4tYNC7gZKgg"/>
    <m/>
    <s v="fK1_SH3X2ek"/>
    <s v="https://www.youtube.com/watch?v=fK1_SH3X2ek"/>
    <s v="none"/>
    <n v="8"/>
    <x v="139"/>
    <d v="2020-12-08T01:31:37.000"/>
    <m/>
    <m/>
    <s v=""/>
    <n v="1"/>
    <s v="10"/>
    <s v="1"/>
    <n v="0"/>
    <n v="0"/>
    <n v="0"/>
    <n v="0"/>
    <n v="0"/>
    <n v="0"/>
    <n v="12"/>
    <n v="100"/>
    <n v="12"/>
  </r>
  <r>
    <s v="UCPO2vYJeMPUThpD2I7nA5KQ"/>
    <s v="UCpNnv_kL4Jk8YG_VflnZpmg"/>
    <s v="128, 128, 128"/>
    <n v="3"/>
    <m/>
    <n v="40"/>
    <m/>
    <m/>
    <m/>
    <m/>
    <s v="No"/>
    <n v="143"/>
    <m/>
    <m/>
    <s v="Commented Video"/>
    <x v="0"/>
    <s v="Hi"/>
    <s v="UCPO2vYJeMPUThpD2I7nA5KQ"/>
    <s v="Hana Tesfaye"/>
    <s v="http://www.youtube.com/channel/UCPO2vYJeMPUThpD2I7nA5KQ"/>
    <m/>
    <s v="fK1_SH3X2ek"/>
    <s v="https://www.youtube.com/watch?v=fK1_SH3X2ek"/>
    <s v="none"/>
    <n v="0"/>
    <x v="140"/>
    <d v="2021-01-13T17:29:37.000"/>
    <m/>
    <m/>
    <s v=""/>
    <n v="1"/>
    <s v="1"/>
    <s v="1"/>
    <n v="0"/>
    <n v="0"/>
    <n v="0"/>
    <n v="0"/>
    <n v="0"/>
    <n v="0"/>
    <n v="1"/>
    <n v="100"/>
    <n v="1"/>
  </r>
  <r>
    <s v="UChTJoaRW4cXLkDd7UQsILEw"/>
    <s v="UCpNnv_kL4Jk8YG_VflnZpmg"/>
    <s v="128, 128, 128"/>
    <n v="3"/>
    <m/>
    <n v="40"/>
    <m/>
    <m/>
    <m/>
    <m/>
    <s v="No"/>
    <n v="144"/>
    <m/>
    <m/>
    <s v="Commented Video"/>
    <x v="0"/>
    <s v="How else are watching this video because of exams 👩‍💻"/>
    <s v="UChTJoaRW4cXLkDd7UQsILEw"/>
    <s v="Kabita Devi"/>
    <s v="http://www.youtube.com/channel/UChTJoaRW4cXLkDd7UQsILEw"/>
    <m/>
    <s v="fK1_SH3X2ek"/>
    <s v="https://www.youtube.com/watch?v=fK1_SH3X2ek"/>
    <s v="none"/>
    <n v="1"/>
    <x v="141"/>
    <d v="2021-01-23T16:14:54.000"/>
    <m/>
    <m/>
    <s v=""/>
    <n v="1"/>
    <s v="1"/>
    <s v="1"/>
    <n v="0"/>
    <n v="0"/>
    <n v="0"/>
    <n v="0"/>
    <n v="0"/>
    <n v="0"/>
    <n v="9"/>
    <n v="100"/>
    <n v="9"/>
  </r>
  <r>
    <s v="UCnRYGBsqdgTYMJN96h4DoTQ"/>
    <s v="UCXptVAEtFVNWoBYkirxhSHg"/>
    <s v="128, 128, 128"/>
    <n v="3"/>
    <m/>
    <n v="40"/>
    <m/>
    <m/>
    <m/>
    <m/>
    <s v="No"/>
    <n v="145"/>
    <m/>
    <m/>
    <s v="Replied Comment"/>
    <x v="1"/>
    <s v="Same bro"/>
    <s v="UCnRYGBsqdgTYMJN96h4DoTQ"/>
    <s v="GREENWH33L_YT"/>
    <s v="http://www.youtube.com/channel/UCnRYGBsqdgTYMJN96h4DoTQ"/>
    <s v="UgzY3vImspwDUTKOFx94AaABAg"/>
    <s v="fK1_SH3X2ek"/>
    <s v="https://www.youtube.com/watch?v=fK1_SH3X2ek"/>
    <s v="none"/>
    <n v="1"/>
    <x v="142"/>
    <d v="2021-06-14T15:51:00.000"/>
    <m/>
    <m/>
    <s v=""/>
    <n v="1"/>
    <s v="5"/>
    <s v="5"/>
    <n v="0"/>
    <n v="0"/>
    <n v="0"/>
    <n v="0"/>
    <n v="0"/>
    <n v="0"/>
    <n v="2"/>
    <n v="100"/>
    <n v="2"/>
  </r>
  <r>
    <s v="UCXptVAEtFVNWoBYkirxhSHg"/>
    <s v="UCpNnv_kL4Jk8YG_VflnZpmg"/>
    <s v="128, 128, 128"/>
    <n v="3"/>
    <m/>
    <n v="40"/>
    <m/>
    <m/>
    <m/>
    <m/>
    <s v="No"/>
    <n v="146"/>
    <m/>
    <m/>
    <s v="Commented Video"/>
    <x v="0"/>
    <s v="My teacher sent me this in google classroom"/>
    <s v="UCXptVAEtFVNWoBYkirxhSHg"/>
    <s v="Pro 1234"/>
    <s v="http://www.youtube.com/channel/UCXptVAEtFVNWoBYkirxhSHg"/>
    <m/>
    <s v="fK1_SH3X2ek"/>
    <s v="https://www.youtube.com/watch?v=fK1_SH3X2ek"/>
    <s v="none"/>
    <n v="19"/>
    <x v="143"/>
    <d v="2021-01-25T05:38:52.000"/>
    <m/>
    <m/>
    <s v=""/>
    <n v="1"/>
    <s v="5"/>
    <s v="1"/>
    <n v="0"/>
    <n v="0"/>
    <n v="0"/>
    <n v="0"/>
    <n v="0"/>
    <n v="0"/>
    <n v="8"/>
    <n v="100"/>
    <n v="8"/>
  </r>
  <r>
    <s v="UCYbcr3YlItwbRXxWJhXfPMQ"/>
    <s v="UCpNnv_kL4Jk8YG_VflnZpmg"/>
    <s v="128, 128, 128"/>
    <n v="3"/>
    <m/>
    <n v="40"/>
    <m/>
    <m/>
    <m/>
    <m/>
    <s v="No"/>
    <n v="147"/>
    <m/>
    <m/>
    <s v="Commented Video"/>
    <x v="0"/>
    <s v="Yo this is for a kid named Daniel Reply now"/>
    <s v="UCYbcr3YlItwbRXxWJhXfPMQ"/>
    <s v="Hamza Daaboul"/>
    <s v="http://www.youtube.com/channel/UCYbcr3YlItwbRXxWJhXfPMQ"/>
    <m/>
    <s v="fK1_SH3X2ek"/>
    <s v="https://www.youtube.com/watch?v=fK1_SH3X2ek"/>
    <s v="none"/>
    <n v="0"/>
    <x v="144"/>
    <d v="2021-02-08T18:47:41.000"/>
    <m/>
    <m/>
    <s v=""/>
    <n v="1"/>
    <s v="2"/>
    <s v="1"/>
    <n v="0"/>
    <n v="0"/>
    <n v="0"/>
    <n v="0"/>
    <n v="0"/>
    <n v="0"/>
    <n v="10"/>
    <n v="100"/>
    <n v="10"/>
  </r>
  <r>
    <s v="UCHmOPF4RgEpc7Cn_fQchGLw"/>
    <s v="UCpNnv_kL4Jk8YG_VflnZpmg"/>
    <s v="128, 128, 128"/>
    <n v="3"/>
    <m/>
    <n v="40"/>
    <m/>
    <m/>
    <m/>
    <m/>
    <s v="No"/>
    <n v="148"/>
    <m/>
    <m/>
    <s v="Commented Video"/>
    <x v="0"/>
    <s v="same video was shown in my classrom"/>
    <s v="UCHmOPF4RgEpc7Cn_fQchGLw"/>
    <s v="Agent 190"/>
    <s v="http://www.youtube.com/channel/UCHmOPF4RgEpc7Cn_fQchGLw"/>
    <m/>
    <s v="fK1_SH3X2ek"/>
    <s v="https://www.youtube.com/watch?v=fK1_SH3X2ek"/>
    <s v="none"/>
    <n v="0"/>
    <x v="145"/>
    <d v="2021-02-13T11:07:59.000"/>
    <m/>
    <m/>
    <s v=""/>
    <n v="1"/>
    <s v="1"/>
    <s v="1"/>
    <n v="0"/>
    <n v="0"/>
    <n v="0"/>
    <n v="0"/>
    <n v="0"/>
    <n v="0"/>
    <n v="7"/>
    <n v="100"/>
    <n v="7"/>
  </r>
  <r>
    <s v="UCruo99Y6FBB2DcBuWKn4lsw"/>
    <s v="UCpNnv_kL4Jk8YG_VflnZpmg"/>
    <s v="128, 128, 128"/>
    <n v="3"/>
    <m/>
    <n v="40"/>
    <m/>
    <m/>
    <m/>
    <m/>
    <s v="No"/>
    <n v="149"/>
    <m/>
    <m/>
    <s v="Commented Video"/>
    <x v="0"/>
    <s v="you can be our teacher?"/>
    <s v="UCruo99Y6FBB2DcBuWKn4lsw"/>
    <s v="Aster Sanchez"/>
    <s v="http://www.youtube.com/channel/UCruo99Y6FBB2DcBuWKn4lsw"/>
    <m/>
    <s v="fK1_SH3X2ek"/>
    <s v="https://www.youtube.com/watch?v=fK1_SH3X2ek"/>
    <s v="none"/>
    <n v="1"/>
    <x v="146"/>
    <d v="2021-02-21T03:47:53.000"/>
    <m/>
    <m/>
    <s v=""/>
    <n v="1"/>
    <s v="1"/>
    <s v="1"/>
    <n v="0"/>
    <n v="0"/>
    <n v="0"/>
    <n v="0"/>
    <n v="0"/>
    <n v="0"/>
    <n v="5"/>
    <n v="100"/>
    <n v="5"/>
  </r>
  <r>
    <s v="UChDxGApugufXgdbkew0BHEA"/>
    <s v="UCpNnv_kL4Jk8YG_VflnZpmg"/>
    <s v="128, 128, 128"/>
    <n v="3"/>
    <m/>
    <n v="40"/>
    <m/>
    <m/>
    <m/>
    <m/>
    <s v="No"/>
    <n v="150"/>
    <m/>
    <m/>
    <s v="Commented Video"/>
    <x v="0"/>
    <s v="Who&amp;#39;s health teacher forced you to watch this?"/>
    <s v="UChDxGApugufXgdbkew0BHEA"/>
    <s v="Collen"/>
    <s v="http://www.youtube.com/channel/UChDxGApugufXgdbkew0BHEA"/>
    <m/>
    <s v="fK1_SH3X2ek"/>
    <s v="https://www.youtube.com/watch?v=fK1_SH3X2ek"/>
    <s v="none"/>
    <n v="2"/>
    <x v="147"/>
    <d v="2021-03-11T03:25:33.000"/>
    <m/>
    <m/>
    <s v=""/>
    <n v="1"/>
    <s v="1"/>
    <s v="1"/>
    <n v="0"/>
    <n v="0"/>
    <n v="0"/>
    <n v="0"/>
    <n v="0"/>
    <n v="0"/>
    <n v="10"/>
    <n v="100"/>
    <n v="10"/>
  </r>
  <r>
    <s v="UCGG7n9NThURR_CUkef32Y9Q"/>
    <s v="UCpNnv_kL4Jk8YG_VflnZpmg"/>
    <s v="128, 128, 128"/>
    <n v="3"/>
    <m/>
    <n v="40"/>
    <m/>
    <m/>
    <m/>
    <m/>
    <s v="No"/>
    <n v="151"/>
    <m/>
    <m/>
    <s v="Commented Video"/>
    <x v="0"/>
    <s v="hi classmates"/>
    <s v="UCGG7n9NThURR_CUkef32Y9Q"/>
    <s v="Lander"/>
    <s v="http://www.youtube.com/channel/UCGG7n9NThURR_CUkef32Y9Q"/>
    <m/>
    <s v="fK1_SH3X2ek"/>
    <s v="https://www.youtube.com/watch?v=fK1_SH3X2ek"/>
    <s v="none"/>
    <n v="0"/>
    <x v="148"/>
    <d v="2021-04-12T06:46:01.000"/>
    <m/>
    <m/>
    <s v=""/>
    <n v="1"/>
    <s v="1"/>
    <s v="1"/>
    <n v="0"/>
    <n v="0"/>
    <n v="0"/>
    <n v="0"/>
    <n v="0"/>
    <n v="0"/>
    <n v="2"/>
    <n v="100"/>
    <n v="2"/>
  </r>
  <r>
    <s v="UCQpqRbnxeGP47QFTnpEkY8Q"/>
    <s v="UCpNnv_kL4Jk8YG_VflnZpmg"/>
    <s v="128, 128, 128"/>
    <n v="3"/>
    <m/>
    <n v="40"/>
    <m/>
    <m/>
    <m/>
    <m/>
    <s v="No"/>
    <n v="152"/>
    <m/>
    <m/>
    <s v="Commented Video"/>
    <x v="0"/>
    <s v="&amp;quot;this is the great epidemic of our age&amp;quot;&lt;br&gt;that would be the.....nevermind"/>
    <s v="UCQpqRbnxeGP47QFTnpEkY8Q"/>
    <s v="Radcliff Alabas"/>
    <s v="http://www.youtube.com/channel/UCQpqRbnxeGP47QFTnpEkY8Q"/>
    <m/>
    <s v="fK1_SH3X2ek"/>
    <s v="https://www.youtube.com/watch?v=fK1_SH3X2ek"/>
    <s v="none"/>
    <n v="0"/>
    <x v="149"/>
    <d v="2021-04-13T02:42:15.000"/>
    <m/>
    <m/>
    <s v=""/>
    <n v="1"/>
    <s v="1"/>
    <s v="1"/>
    <n v="1"/>
    <n v="6.25"/>
    <n v="1"/>
    <n v="6.25"/>
    <n v="0"/>
    <n v="0"/>
    <n v="14"/>
    <n v="87.5"/>
    <n v="16"/>
  </r>
  <r>
    <s v="UCF5ChGDslgBBC95Q2q_mqTA"/>
    <s v="UCpNnv_kL4Jk8YG_VflnZpmg"/>
    <s v="128, 128, 128"/>
    <n v="3"/>
    <m/>
    <n v="40"/>
    <m/>
    <m/>
    <m/>
    <m/>
    <s v="No"/>
    <n v="153"/>
    <m/>
    <m/>
    <s v="Commented Video"/>
    <x v="0"/>
    <s v="I disliked the video &amp;gt;:)"/>
    <s v="UCF5ChGDslgBBC95Q2q_mqTA"/>
    <s v="Edward Copeland"/>
    <s v="http://www.youtube.com/channel/UCF5ChGDslgBBC95Q2q_mqTA"/>
    <m/>
    <s v="fK1_SH3X2ek"/>
    <s v="https://www.youtube.com/watch?v=fK1_SH3X2ek"/>
    <s v="none"/>
    <n v="0"/>
    <x v="150"/>
    <d v="2021-04-21T22:00:03.000"/>
    <m/>
    <m/>
    <s v=""/>
    <n v="1"/>
    <s v="5"/>
    <s v="1"/>
    <n v="0"/>
    <n v="0"/>
    <n v="1"/>
    <n v="20"/>
    <n v="0"/>
    <n v="0"/>
    <n v="4"/>
    <n v="80"/>
    <n v="5"/>
  </r>
  <r>
    <s v="UCxWv4IME8TBjpAxZTkah88g"/>
    <s v="UC_V7nOjrL1MJU2JZ-6wyrXg"/>
    <s v="128, 128, 128"/>
    <n v="3"/>
    <m/>
    <n v="40"/>
    <m/>
    <m/>
    <m/>
    <m/>
    <s v="No"/>
    <n v="154"/>
    <m/>
    <m/>
    <s v="Replied Comment"/>
    <x v="1"/>
    <s v="Same"/>
    <s v="UCxWv4IME8TBjpAxZTkah88g"/>
    <s v="Shadei"/>
    <s v="http://www.youtube.com/channel/UCxWv4IME8TBjpAxZTkah88g"/>
    <s v="UgyltWU6FV2kpylekn14AaABAg"/>
    <s v="fK1_SH3X2ek"/>
    <s v="https://www.youtube.com/watch?v=fK1_SH3X2ek"/>
    <s v="none"/>
    <n v="1"/>
    <x v="151"/>
    <d v="2021-05-03T16:39:00.000"/>
    <m/>
    <m/>
    <s v=""/>
    <n v="1"/>
    <s v="9"/>
    <s v="9"/>
    <n v="0"/>
    <n v="0"/>
    <n v="0"/>
    <n v="0"/>
    <n v="0"/>
    <n v="0"/>
    <n v="1"/>
    <n v="100"/>
    <n v="1"/>
  </r>
  <r>
    <s v="UC_V7nOjrL1MJU2JZ-6wyrXg"/>
    <s v="UCpNnv_kL4Jk8YG_VflnZpmg"/>
    <s v="128, 128, 128"/>
    <n v="3"/>
    <m/>
    <n v="40"/>
    <m/>
    <m/>
    <m/>
    <m/>
    <s v="No"/>
    <n v="155"/>
    <m/>
    <m/>
    <s v="Commented Video"/>
    <x v="0"/>
    <s v="My teacher is making me watch this"/>
    <s v="UC_V7nOjrL1MJU2JZ-6wyrXg"/>
    <s v="s!mp_ chXn"/>
    <s v="http://www.youtube.com/channel/UC_V7nOjrL1MJU2JZ-6wyrXg"/>
    <m/>
    <s v="fK1_SH3X2ek"/>
    <s v="https://www.youtube.com/watch?v=fK1_SH3X2ek"/>
    <s v="none"/>
    <n v="0"/>
    <x v="152"/>
    <d v="2021-05-03T16:02:37.000"/>
    <m/>
    <m/>
    <s v=""/>
    <n v="1"/>
    <s v="9"/>
    <s v="1"/>
    <n v="0"/>
    <n v="0"/>
    <n v="0"/>
    <n v="0"/>
    <n v="0"/>
    <n v="0"/>
    <n v="7"/>
    <n v="100"/>
    <n v="7"/>
  </r>
  <r>
    <s v="UCbieuM_WCd6wC0enOietzdQ"/>
    <s v="UCpNnv_kL4Jk8YG_VflnZpmg"/>
    <s v="128, 128, 128"/>
    <n v="3"/>
    <m/>
    <n v="40"/>
    <m/>
    <m/>
    <m/>
    <m/>
    <s v="No"/>
    <n v="156"/>
    <m/>
    <m/>
    <s v="Commented Video"/>
    <x v="0"/>
    <s v="My Springdales teacher send me this in Google classroom"/>
    <s v="UCbieuM_WCd6wC0enOietzdQ"/>
    <s v="Bhavya Show"/>
    <s v="http://www.youtube.com/channel/UCbieuM_WCd6wC0enOietzdQ"/>
    <m/>
    <s v="fK1_SH3X2ek"/>
    <s v="https://www.youtube.com/watch?v=fK1_SH3X2ek"/>
    <s v="none"/>
    <n v="0"/>
    <x v="153"/>
    <d v="2021-05-05T09:25:57.000"/>
    <m/>
    <m/>
    <s v=""/>
    <n v="1"/>
    <s v="1"/>
    <s v="1"/>
    <n v="0"/>
    <n v="0"/>
    <n v="0"/>
    <n v="0"/>
    <n v="0"/>
    <n v="0"/>
    <n v="9"/>
    <n v="100"/>
    <n v="9"/>
  </r>
  <r>
    <s v="UCchgbiZujU7ZKwdY5B2hoeA"/>
    <s v="UCpNnv_kL4Jk8YG_VflnZpmg"/>
    <s v="128, 128, 128"/>
    <n v="3"/>
    <m/>
    <n v="40"/>
    <m/>
    <m/>
    <m/>
    <m/>
    <s v="No"/>
    <n v="157"/>
    <m/>
    <m/>
    <s v="Commented Video"/>
    <x v="0"/>
    <s v="Thanks sir bhot acha btaya mere mama bhi kafi time sai hairfall ki samsaya sai suffer kr rhe thai and humne sab tarah ki medicines li aur test krwae magar kuch kam nahi aya phir hum ko kisi ne Ayurvedic medicine ka btaya jo hmne Planet Ayurveda sai mangvaya and unki davie lene k baad meri mama k bal bhi achey hogye hai… planet Ayurveda ka Thanks !!"/>
    <s v="UCchgbiZujU7ZKwdY5B2hoeA"/>
    <s v="Jagraj Singh"/>
    <s v="http://www.youtube.com/channel/UCchgbiZujU7ZKwdY5B2hoeA"/>
    <m/>
    <s v="fK1_SH3X2ek"/>
    <s v="https://www.youtube.com/watch?v=fK1_SH3X2ek"/>
    <s v="none"/>
    <n v="0"/>
    <x v="154"/>
    <d v="2021-05-24T14:24:12.000"/>
    <m/>
    <m/>
    <s v=""/>
    <n v="1"/>
    <s v="1"/>
    <s v="1"/>
    <n v="0"/>
    <n v="0"/>
    <n v="3"/>
    <n v="4.477611940298507"/>
    <n v="0"/>
    <n v="0"/>
    <n v="64"/>
    <n v="95.5223880597015"/>
    <n v="67"/>
  </r>
  <r>
    <s v="UCoIUMLg-qptX6fVqZEBPm-w"/>
    <s v="UCpNnv_kL4Jk8YG_VflnZpmg"/>
    <s v="128, 128, 128"/>
    <n v="3"/>
    <m/>
    <n v="40"/>
    <m/>
    <m/>
    <m/>
    <m/>
    <s v="No"/>
    <n v="158"/>
    <m/>
    <m/>
    <s v="Commented Video"/>
    <x v="0"/>
    <s v="I have to watch this for health class and I got nothing from it"/>
    <s v="UCoIUMLg-qptX6fVqZEBPm-w"/>
    <s v="Hamm SlayDog"/>
    <s v="http://www.youtube.com/channel/UCoIUMLg-qptX6fVqZEBPm-w"/>
    <m/>
    <s v="fK1_SH3X2ek"/>
    <s v="https://www.youtube.com/watch?v=fK1_SH3X2ek"/>
    <s v="none"/>
    <n v="0"/>
    <x v="155"/>
    <d v="2021-06-04T20:31:09.000"/>
    <m/>
    <m/>
    <s v=""/>
    <n v="1"/>
    <s v="1"/>
    <s v="1"/>
    <n v="0"/>
    <n v="0"/>
    <n v="0"/>
    <n v="0"/>
    <n v="0"/>
    <n v="0"/>
    <n v="14"/>
    <n v="100"/>
    <n v="14"/>
  </r>
  <r>
    <s v="UCZj8Z6LdulS3k7YTTxz6iUQ"/>
    <s v="UCpNnv_kL4Jk8YG_VflnZpmg"/>
    <s v="128, 128, 128"/>
    <n v="3"/>
    <m/>
    <n v="40"/>
    <m/>
    <m/>
    <m/>
    <m/>
    <s v="No"/>
    <n v="159"/>
    <m/>
    <m/>
    <s v="Commented Video"/>
    <x v="0"/>
    <s v="Did this make you wonder how some boring moves and postures can improve our health? Yoga and natural remedies from planet ayurveda helps lifestyle diseases."/>
    <s v="UCZj8Z6LdulS3k7YTTxz6iUQ"/>
    <s v="Sheetal Kataria"/>
    <s v="http://www.youtube.com/channel/UCZj8Z6LdulS3k7YTTxz6iUQ"/>
    <m/>
    <s v="fK1_SH3X2ek"/>
    <s v="https://www.youtube.com/watch?v=fK1_SH3X2ek"/>
    <s v="none"/>
    <n v="0"/>
    <x v="156"/>
    <d v="2021-06-11T20:03:08.000"/>
    <m/>
    <m/>
    <s v=""/>
    <n v="1"/>
    <s v="1"/>
    <s v="1"/>
    <n v="2"/>
    <n v="8"/>
    <n v="1"/>
    <n v="4"/>
    <n v="0"/>
    <n v="0"/>
    <n v="22"/>
    <n v="88"/>
    <n v="25"/>
  </r>
  <r>
    <s v="UCM1pkppQ37_C-W8vXINMqaA"/>
    <s v="UCM1pkppQ37_C-W8vXINMqaA"/>
    <s v="128, 128, 128"/>
    <n v="3"/>
    <m/>
    <n v="40"/>
    <m/>
    <m/>
    <m/>
    <m/>
    <s v="No"/>
    <n v="160"/>
    <m/>
    <m/>
    <s v="Posted Video"/>
    <x v="2"/>
    <m/>
    <m/>
    <m/>
    <m/>
    <m/>
    <s v="eoRbJqpWwo0"/>
    <s v="https://www.youtube.com/watch?v=eoRbJqpWwo0"/>
    <m/>
    <m/>
    <x v="157"/>
    <m/>
    <m/>
    <m/>
    <m/>
    <n v="1"/>
    <s v="8"/>
    <s v="8"/>
    <m/>
    <m/>
    <m/>
    <m/>
    <m/>
    <m/>
    <m/>
    <m/>
    <m/>
  </r>
  <r>
    <s v="UC07-dOwgza1IguKA86jqxNA"/>
    <s v="UC07-dOwgza1IguKA86jqxNA"/>
    <s v="128, 128, 128"/>
    <n v="3"/>
    <m/>
    <n v="40"/>
    <m/>
    <m/>
    <m/>
    <m/>
    <s v="No"/>
    <n v="161"/>
    <m/>
    <m/>
    <s v="Posted Video"/>
    <x v="2"/>
    <m/>
    <m/>
    <m/>
    <m/>
    <m/>
    <s v="MWk8XJWEiO4"/>
    <s v="https://www.youtube.com/watch?v=MWk8XJWEiO4"/>
    <m/>
    <m/>
    <x v="158"/>
    <m/>
    <m/>
    <m/>
    <m/>
    <n v="1"/>
    <s v="4"/>
    <s v="4"/>
    <m/>
    <m/>
    <m/>
    <m/>
    <m/>
    <m/>
    <m/>
    <m/>
    <m/>
  </r>
  <r>
    <s v="UCTl32ukBGG3FGRX7ZfZwVTw"/>
    <s v="UCTl32ukBGG3FGRX7ZfZwVTw"/>
    <s v="171, 85, 85"/>
    <n v="3"/>
    <m/>
    <n v="40"/>
    <m/>
    <m/>
    <m/>
    <m/>
    <s v="No"/>
    <n v="162"/>
    <m/>
    <m/>
    <s v="Posted Video"/>
    <x v="2"/>
    <m/>
    <m/>
    <m/>
    <m/>
    <m/>
    <s v="uGHwpg-fJvc"/>
    <s v="https://www.youtube.com/watch?v=uGHwpg-fJvc"/>
    <m/>
    <m/>
    <x v="159"/>
    <m/>
    <m/>
    <m/>
    <m/>
    <n v="2"/>
    <s v="3"/>
    <s v="3"/>
    <m/>
    <m/>
    <m/>
    <m/>
    <m/>
    <m/>
    <m/>
    <m/>
    <m/>
  </r>
  <r>
    <s v="UCTl32ukBGG3FGRX7ZfZwVTw"/>
    <s v="UCTl32ukBGG3FGRX7ZfZwVTw"/>
    <s v="171, 85, 85"/>
    <n v="3"/>
    <m/>
    <n v="40"/>
    <m/>
    <m/>
    <m/>
    <m/>
    <s v="No"/>
    <n v="163"/>
    <m/>
    <m/>
    <s v="Posted Video"/>
    <x v="2"/>
    <m/>
    <m/>
    <m/>
    <m/>
    <m/>
    <s v="lruYVSGcxHs"/>
    <s v="https://www.youtube.com/watch?v=lruYVSGcxHs"/>
    <m/>
    <m/>
    <x v="160"/>
    <m/>
    <m/>
    <m/>
    <m/>
    <n v="2"/>
    <s v="3"/>
    <s v="3"/>
    <m/>
    <m/>
    <m/>
    <m/>
    <m/>
    <m/>
    <m/>
    <m/>
    <m/>
  </r>
  <r>
    <s v="UCckWkzE1dVhYCtAVrs3sC0g"/>
    <s v="UCckWkzE1dVhYCtAVrs3sC0g"/>
    <s v="128, 128, 128"/>
    <n v="3"/>
    <m/>
    <n v="40"/>
    <m/>
    <m/>
    <m/>
    <m/>
    <s v="No"/>
    <n v="164"/>
    <m/>
    <m/>
    <s v="Posted Video"/>
    <x v="2"/>
    <m/>
    <m/>
    <m/>
    <m/>
    <m/>
    <s v="voM51OT9XVs"/>
    <s v="https://www.youtube.com/watch?v=voM51OT9XVs"/>
    <m/>
    <m/>
    <x v="161"/>
    <m/>
    <m/>
    <m/>
    <m/>
    <n v="1"/>
    <s v="8"/>
    <s v="8"/>
    <m/>
    <m/>
    <m/>
    <m/>
    <m/>
    <m/>
    <m/>
    <m/>
    <m/>
  </r>
  <r>
    <s v="UCpNnv_kL4Jk8YG_VflnZpmg"/>
    <s v="UCpNnv_kL4Jk8YG_VflnZpmg"/>
    <s v="128, 128, 128"/>
    <n v="3"/>
    <m/>
    <n v="40"/>
    <m/>
    <m/>
    <m/>
    <m/>
    <s v="No"/>
    <n v="165"/>
    <m/>
    <m/>
    <s v="Posted Video"/>
    <x v="2"/>
    <m/>
    <m/>
    <m/>
    <m/>
    <m/>
    <s v="fK1_SH3X2ek"/>
    <s v="https://www.youtube.com/watch?v=fK1_SH3X2ek"/>
    <m/>
    <m/>
    <x v="162"/>
    <m/>
    <m/>
    <m/>
    <m/>
    <n v="1"/>
    <s v="1"/>
    <s v="1"/>
    <m/>
    <m/>
    <m/>
    <m/>
    <m/>
    <m/>
    <m/>
    <m/>
    <m/>
  </r>
  <r>
    <s v="UCCd0rkFRNPa06VAEmnEJTAg"/>
    <s v="UCCd0rkFRNPa06VAEmnEJTAg"/>
    <s v="128, 128, 128"/>
    <n v="3"/>
    <m/>
    <n v="40"/>
    <m/>
    <m/>
    <m/>
    <m/>
    <s v="No"/>
    <n v="166"/>
    <m/>
    <m/>
    <s v="Posted Video"/>
    <x v="2"/>
    <m/>
    <m/>
    <m/>
    <m/>
    <m/>
    <s v="X2WiIHZZfTU"/>
    <s v="https://www.youtube.com/watch?v=X2WiIHZZfTU"/>
    <m/>
    <m/>
    <x v="163"/>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73" firstHeaderRow="1" firstDataRow="1" firstDataCol="1"/>
  <pivotFields count="43">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0"/>
        <item x="1"/>
        <item x="2"/>
        <item x="3"/>
        <item x="4"/>
        <item x="5"/>
        <item x="6"/>
        <item x="7"/>
        <item t="default"/>
      </items>
    </pivotField>
  </pivotFields>
  <rowFields count="2">
    <field x="42"/>
    <field x="25"/>
  </rowFields>
  <rowItems count="48">
    <i>
      <x v="1"/>
    </i>
    <i r="1">
      <x v="7"/>
    </i>
    <i r="1">
      <x v="12"/>
    </i>
    <i>
      <x v="2"/>
    </i>
    <i r="1">
      <x v="1"/>
    </i>
    <i r="1">
      <x v="4"/>
    </i>
    <i r="1">
      <x v="5"/>
    </i>
    <i r="1">
      <x v="10"/>
    </i>
    <i r="1">
      <x v="11"/>
    </i>
    <i r="1">
      <x v="12"/>
    </i>
    <i>
      <x v="3"/>
    </i>
    <i r="1">
      <x v="1"/>
    </i>
    <i r="1">
      <x v="2"/>
    </i>
    <i r="1">
      <x v="7"/>
    </i>
    <i r="1">
      <x v="9"/>
    </i>
    <i r="1">
      <x v="11"/>
    </i>
    <i r="1">
      <x v="12"/>
    </i>
    <i>
      <x v="4"/>
    </i>
    <i r="1">
      <x v="1"/>
    </i>
    <i r="1">
      <x v="2"/>
    </i>
    <i r="1">
      <x v="3"/>
    </i>
    <i r="1">
      <x v="4"/>
    </i>
    <i r="1">
      <x v="6"/>
    </i>
    <i r="1">
      <x v="9"/>
    </i>
    <i r="1">
      <x v="10"/>
    </i>
    <i r="1">
      <x v="11"/>
    </i>
    <i r="1">
      <x v="12"/>
    </i>
    <i>
      <x v="5"/>
    </i>
    <i r="1">
      <x v="1"/>
    </i>
    <i r="1">
      <x v="2"/>
    </i>
    <i r="1">
      <x v="3"/>
    </i>
    <i r="1">
      <x v="4"/>
    </i>
    <i r="1">
      <x v="5"/>
    </i>
    <i r="1">
      <x v="6"/>
    </i>
    <i r="1">
      <x v="7"/>
    </i>
    <i r="1">
      <x v="8"/>
    </i>
    <i r="1">
      <x v="9"/>
    </i>
    <i r="1">
      <x v="10"/>
    </i>
    <i r="1">
      <x v="11"/>
    </i>
    <i r="1">
      <x v="12"/>
    </i>
    <i>
      <x v="6"/>
    </i>
    <i r="1">
      <x v="1"/>
    </i>
    <i r="1">
      <x v="2"/>
    </i>
    <i r="1">
      <x v="3"/>
    </i>
    <i r="1">
      <x v="4"/>
    </i>
    <i r="1">
      <x v="5"/>
    </i>
    <i r="1">
      <x v="6"/>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134448183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66" totalsRowShown="0" headerRowDxfId="329" dataDxfId="293">
  <autoFilter ref="A2:AP166"/>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5" totalsRowShown="0" headerRowDxfId="211" dataDxfId="210">
  <autoFilter ref="A1:G195"/>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02" dataDxfId="201">
  <autoFilter ref="A1:L5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1" totalsRowShown="0" headerRowDxfId="160" dataDxfId="159">
  <autoFilter ref="A2:C21"/>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
    <tableColumn id="2" name="Value" dataDxfId="0"/>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6" totalsRowShown="0" headerRowDxfId="138" dataDxfId="137">
  <autoFilter ref="A1:V6"/>
  <tableColumns count="22">
    <tableColumn id="1" name="Top URLs In Comment in Entire Graph" dataDxfId="136"/>
    <tableColumn id="2" name="Entire Graph Count" dataDxfId="135"/>
    <tableColumn id="3" name="Top URLs In Comment in G1" dataDxfId="134"/>
    <tableColumn id="4" name="G1 Count" dataDxfId="133"/>
    <tableColumn id="5" name="Top URLs In Comment in G2" dataDxfId="132"/>
    <tableColumn id="6" name="G2 Count" dataDxfId="131"/>
    <tableColumn id="7" name="Top URLs In Comment in G3" dataDxfId="130"/>
    <tableColumn id="8" name="G3 Count" dataDxfId="129"/>
    <tableColumn id="9" name="Top URLs In Comment in G4" dataDxfId="128"/>
    <tableColumn id="10" name="G4 Count" dataDxfId="127"/>
    <tableColumn id="11" name="Top URLs In Comment in G5" dataDxfId="126"/>
    <tableColumn id="12" name="G5 Count" dataDxfId="125"/>
    <tableColumn id="13" name="Top URLs In Comment in G6" dataDxfId="124"/>
    <tableColumn id="14" name="G6 Count" dataDxfId="123"/>
    <tableColumn id="15" name="Top URLs In Comment in G7" dataDxfId="122"/>
    <tableColumn id="16" name="G7 Count" dataDxfId="121"/>
    <tableColumn id="17" name="Top URLs In Comment in G8" dataDxfId="120"/>
    <tableColumn id="18" name="G8 Count" dataDxfId="119"/>
    <tableColumn id="19" name="Top URLs In Comment in G9" dataDxfId="118"/>
    <tableColumn id="20" name="G9 Count" dataDxfId="117"/>
    <tableColumn id="21" name="Top URLs In Comment in G10" dataDxfId="116"/>
    <tableColumn id="22" name="G10 Count" dataDxfId="115"/>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9:V13" totalsRowShown="0" headerRowDxfId="113" dataDxfId="112">
  <autoFilter ref="A9:V13"/>
  <tableColumns count="22">
    <tableColumn id="1" name="Top Domains In Comment in Entire Graph" dataDxfId="111"/>
    <tableColumn id="2" name="Entire Graph Count" dataDxfId="110"/>
    <tableColumn id="3" name="Top Domains In Comment in G1" dataDxfId="109"/>
    <tableColumn id="4" name="G1 Count" dataDxfId="108"/>
    <tableColumn id="5" name="Top Domains In Comment in G2" dataDxfId="107"/>
    <tableColumn id="6" name="G2 Count" dataDxfId="106"/>
    <tableColumn id="7" name="Top Domains In Comment in G3" dataDxfId="105"/>
    <tableColumn id="8" name="G3 Count" dataDxfId="104"/>
    <tableColumn id="9" name="Top Domains In Comment in G4" dataDxfId="103"/>
    <tableColumn id="10" name="G4 Count" dataDxfId="102"/>
    <tableColumn id="11" name="Top Domains In Comment in G5" dataDxfId="101"/>
    <tableColumn id="12" name="G5 Count" dataDxfId="100"/>
    <tableColumn id="13" name="Top Domains In Comment in G6" dataDxfId="99"/>
    <tableColumn id="14" name="G6 Count" dataDxfId="98"/>
    <tableColumn id="15" name="Top Domains In Comment in G7" dataDxfId="97"/>
    <tableColumn id="16" name="G7 Count" dataDxfId="96"/>
    <tableColumn id="17" name="Top Domains In Comment in G8" dataDxfId="95"/>
    <tableColumn id="18" name="G8 Count" dataDxfId="94"/>
    <tableColumn id="19" name="Top Domains In Comment in G9" dataDxfId="93"/>
    <tableColumn id="20" name="G9 Count" dataDxfId="92"/>
    <tableColumn id="21" name="Top Domains In Comment in G10" dataDxfId="91"/>
    <tableColumn id="22" name="G10 Count" dataDxfId="90"/>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6:V17" totalsRowShown="0" headerRowDxfId="88" dataDxfId="87">
  <autoFilter ref="A16:V17"/>
  <tableColumns count="22">
    <tableColumn id="1" name="Top Hashtags In Comment in Entire Graph" dataDxfId="86"/>
    <tableColumn id="2" name="Entire Graph Count" dataDxfId="85"/>
    <tableColumn id="3" name="Top Hashtags In Comment in G1" dataDxfId="84"/>
    <tableColumn id="4" name="G1 Count" dataDxfId="83"/>
    <tableColumn id="5" name="Top Hashtags In Comment in G2" dataDxfId="82"/>
    <tableColumn id="6" name="G2 Count" dataDxfId="81"/>
    <tableColumn id="7" name="Top Hashtags In Comment in G3" dataDxfId="80"/>
    <tableColumn id="8" name="G3 Count" dataDxfId="79"/>
    <tableColumn id="9" name="Top Hashtags In Comment in G4" dataDxfId="78"/>
    <tableColumn id="10" name="G4 Count" dataDxfId="77"/>
    <tableColumn id="11" name="Top Hashtags In Comment in G5" dataDxfId="76"/>
    <tableColumn id="12" name="G5 Count" dataDxfId="75"/>
    <tableColumn id="13" name="Top Hashtags In Comment in G6" dataDxfId="74"/>
    <tableColumn id="14" name="G6 Count" dataDxfId="73"/>
    <tableColumn id="15" name="Top Hashtags In Comment in G7" dataDxfId="72"/>
    <tableColumn id="16" name="G7 Count" dataDxfId="71"/>
    <tableColumn id="17" name="Top Hashtags In Comment in G8" dataDxfId="70"/>
    <tableColumn id="18" name="G8 Count" dataDxfId="69"/>
    <tableColumn id="19" name="Top Hashtags In Comment in G9" dataDxfId="68"/>
    <tableColumn id="20" name="G9 Count" dataDxfId="67"/>
    <tableColumn id="21" name="Top Hashtags In Comment in G10" dataDxfId="66"/>
    <tableColumn id="22" name="G10 Count" dataDxfId="6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19:V29" totalsRowShown="0" headerRowDxfId="63" dataDxfId="62">
  <autoFilter ref="A19:V29"/>
  <tableColumns count="22">
    <tableColumn id="1" name="Top Words in Comment in Entire Graph" dataDxfId="61"/>
    <tableColumn id="2" name="Entire Graph Count" dataDxfId="60"/>
    <tableColumn id="3" name="Top Words in Comment in G1" dataDxfId="59"/>
    <tableColumn id="4" name="G1 Count" dataDxfId="58"/>
    <tableColumn id="5" name="Top Words in Comment in G2" dataDxfId="57"/>
    <tableColumn id="6" name="G2 Count" dataDxfId="56"/>
    <tableColumn id="7" name="Top Words in Comment in G3" dataDxfId="55"/>
    <tableColumn id="8" name="G3 Count" dataDxfId="54"/>
    <tableColumn id="9" name="Top Words in Comment in G4" dataDxfId="53"/>
    <tableColumn id="10" name="G4 Count" dataDxfId="52"/>
    <tableColumn id="11" name="Top Words in Comment in G5" dataDxfId="51"/>
    <tableColumn id="12" name="G5 Count" dataDxfId="50"/>
    <tableColumn id="13" name="Top Words in Comment in G6" dataDxfId="49"/>
    <tableColumn id="14" name="G6 Count" dataDxfId="48"/>
    <tableColumn id="15" name="Top Words in Comment in G7" dataDxfId="47"/>
    <tableColumn id="16" name="G7 Count" dataDxfId="46"/>
    <tableColumn id="17" name="Top Words in Comment in G8" dataDxfId="45"/>
    <tableColumn id="18" name="G8 Count" dataDxfId="44"/>
    <tableColumn id="19" name="Top Words in Comment in G9" dataDxfId="43"/>
    <tableColumn id="20" name="G9 Count" dataDxfId="42"/>
    <tableColumn id="21" name="Top Words in Comment in G10" dataDxfId="41"/>
    <tableColumn id="22" name="G10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31" totalsRowShown="0" headerRowDxfId="328" dataDxfId="279">
  <autoFilter ref="A2:BN131"/>
  <sortState ref="A3:AT131">
    <sortCondition sortBy="value" ref="AD3:AD131"/>
  </sortState>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2"/>
    <tableColumn id="57" name="URLs In Comment by Count" dataDxfId="11"/>
    <tableColumn id="58" name="URLs In Comment by Salience" dataDxfId="10"/>
    <tableColumn id="59" name="Domains In Comment by Count" dataDxfId="9"/>
    <tableColumn id="60" name="Domains In Comment by Salience" dataDxfId="8"/>
    <tableColumn id="61" name="Hashtags In Comment by Count" dataDxfId="7"/>
    <tableColumn id="62" name="Hashtags In Comment by Salience" dataDxfId="6"/>
    <tableColumn id="63" name="Top Words in Comment by Count" dataDxfId="5"/>
    <tableColumn id="64" name="Top Words in Comment by Salience" dataDxfId="4"/>
    <tableColumn id="65" name="Top Word Pairs in Comment by Count" dataDxfId="3"/>
    <tableColumn id="66" name="Top Word Pairs in Comment by Salience" dataDxfId="2"/>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2:V42" totalsRowShown="0" headerRowDxfId="38" dataDxfId="37">
  <autoFilter ref="A32:V42"/>
  <tableColumns count="22">
    <tableColumn id="1" name="Top Word Pairs in Comment in Entire Graph" dataDxfId="36"/>
    <tableColumn id="2" name="Entire Graph Count" dataDxfId="35"/>
    <tableColumn id="3" name="Top Word Pairs in Comment in G1" dataDxfId="34"/>
    <tableColumn id="4" name="G1 Count" dataDxfId="33"/>
    <tableColumn id="5" name="Top Word Pairs in Comment in G2" dataDxfId="32"/>
    <tableColumn id="6" name="G2 Count" dataDxfId="31"/>
    <tableColumn id="7" name="Top Word Pairs in Comment in G3" dataDxfId="30"/>
    <tableColumn id="8" name="G3 Count" dataDxfId="29"/>
    <tableColumn id="9" name="Top Word Pairs in Comment in G4" dataDxfId="28"/>
    <tableColumn id="10" name="G4 Count" dataDxfId="27"/>
    <tableColumn id="11" name="Top Word Pairs in Comment in G5" dataDxfId="26"/>
    <tableColumn id="12" name="G5 Count" dataDxfId="25"/>
    <tableColumn id="13" name="Top Word Pairs in Comment in G6" dataDxfId="24"/>
    <tableColumn id="14" name="G6 Count" dataDxfId="23"/>
    <tableColumn id="15" name="Top Word Pairs in Comment in G7" dataDxfId="22"/>
    <tableColumn id="16" name="G7 Count" dataDxfId="21"/>
    <tableColumn id="17" name="Top Word Pairs in Comment in G8" dataDxfId="20"/>
    <tableColumn id="18" name="G8 Count" dataDxfId="19"/>
    <tableColumn id="19" name="Top Word Pairs in Comment in G9" dataDxfId="18"/>
    <tableColumn id="20" name="G9 Count" dataDxfId="17"/>
    <tableColumn id="21" name="Top Word Pairs in Comment in G10" dataDxfId="16"/>
    <tableColumn id="22" name="G10 Count" dataDxfId="15"/>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3" totalsRowShown="0" headerRowDxfId="327">
  <autoFilter ref="A2:AL13"/>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4"/>
    <tableColumn id="34" name="Top URLs In Comment" dataDxfId="89"/>
    <tableColumn id="35" name="Top Domains In Comment" dataDxfId="64"/>
    <tableColumn id="36" name="Top Hashtags In Comment" dataDxfId="39"/>
    <tableColumn id="37" name="Top Words in Comment" dataDxfId="14"/>
    <tableColumn id="38" name="Top Word Pairs in Comment" dataDxfId="1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324" dataDxfId="323">
  <autoFilter ref="A1:C130"/>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gurudeseyesubai.org/hidden-causes-of-disease-3/" TargetMode="External" /><Relationship Id="rId2" Type="http://schemas.openxmlformats.org/officeDocument/2006/relationships/hyperlink" Target="http://gmail.com/" TargetMode="External" /><Relationship Id="rId3" Type="http://schemas.openxmlformats.org/officeDocument/2006/relationships/hyperlink" Target="https://www.youtube.com/watch?v=fK1_SH3X2ek&amp;amp;t=2m13s" TargetMode="External" /><Relationship Id="rId4" Type="http://schemas.openxmlformats.org/officeDocument/2006/relationships/hyperlink" Target="http://www.paho.org/nmh" TargetMode="External" /><Relationship Id="rId5" Type="http://schemas.openxmlformats.org/officeDocument/2006/relationships/hyperlink" Target="http://paho.org/" TargetMode="External" /><Relationship Id="rId6" Type="http://schemas.openxmlformats.org/officeDocument/2006/relationships/hyperlink" Target="https://gurudeseyesubai.org/hidden-causes-of-disease-3/" TargetMode="External" /><Relationship Id="rId7" Type="http://schemas.openxmlformats.org/officeDocument/2006/relationships/hyperlink" Target="http://gmail.com/" TargetMode="External" /><Relationship Id="rId8" Type="http://schemas.openxmlformats.org/officeDocument/2006/relationships/hyperlink" Target="http://paho.org/" TargetMode="External" /><Relationship Id="rId9" Type="http://schemas.openxmlformats.org/officeDocument/2006/relationships/hyperlink" Target="http://www.paho.org/nmh" TargetMode="External" /><Relationship Id="rId10" Type="http://schemas.openxmlformats.org/officeDocument/2006/relationships/hyperlink" Target="https://www.youtube.com/watch?v=fK1_SH3X2ek&amp;amp;t=2m13s" TargetMode="External" /><Relationship Id="rId11" Type="http://schemas.openxmlformats.org/officeDocument/2006/relationships/hyperlink" Target="https://gurudeseyesubai.org/hidden-causes-of-disease-3/" TargetMode="Externa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66"/>
  <sheetViews>
    <sheetView workbookViewId="0" topLeftCell="A1">
      <pane xSplit="2" ySplit="2" topLeftCell="L141"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t="s">
        <v>738</v>
      </c>
      <c r="AF2" s="13" t="s">
        <v>762</v>
      </c>
      <c r="AG2" s="13" t="s">
        <v>763</v>
      </c>
      <c r="AH2" s="54" t="s">
        <v>888</v>
      </c>
      <c r="AI2" s="54" t="s">
        <v>889</v>
      </c>
      <c r="AJ2" s="54" t="s">
        <v>890</v>
      </c>
      <c r="AK2" s="54" t="s">
        <v>891</v>
      </c>
      <c r="AL2" s="54" t="s">
        <v>892</v>
      </c>
      <c r="AM2" s="54" t="s">
        <v>893</v>
      </c>
      <c r="AN2" s="54" t="s">
        <v>894</v>
      </c>
      <c r="AO2" s="54" t="s">
        <v>895</v>
      </c>
      <c r="AP2" s="54" t="s">
        <v>896</v>
      </c>
    </row>
    <row r="3" spans="1:42" ht="15" customHeight="1">
      <c r="A3" s="65" t="s">
        <v>354</v>
      </c>
      <c r="B3" s="65" t="s">
        <v>349</v>
      </c>
      <c r="C3" s="66" t="s">
        <v>1220</v>
      </c>
      <c r="D3" s="67">
        <v>3</v>
      </c>
      <c r="E3" s="68"/>
      <c r="F3" s="69">
        <v>40</v>
      </c>
      <c r="G3" s="66"/>
      <c r="H3" s="70"/>
      <c r="I3" s="71"/>
      <c r="J3" s="71"/>
      <c r="K3" s="35" t="s">
        <v>65</v>
      </c>
      <c r="L3" s="72">
        <v>3</v>
      </c>
      <c r="M3" s="72"/>
      <c r="N3" s="73"/>
      <c r="O3" s="89" t="s">
        <v>356</v>
      </c>
      <c r="P3" s="89" t="s">
        <v>212</v>
      </c>
      <c r="Q3" s="93" t="s">
        <v>504</v>
      </c>
      <c r="R3" s="89" t="s">
        <v>354</v>
      </c>
      <c r="S3" s="89" t="s">
        <v>627</v>
      </c>
      <c r="T3" s="95" t="str">
        <f>HYPERLINK("http://www.youtube.com/channel/UCAmn8fQuS8x3TBLBRXr4QYQ")</f>
        <v>http://www.youtube.com/channel/UCAmn8fQuS8x3TBLBRXr4QYQ</v>
      </c>
      <c r="U3" s="89"/>
      <c r="V3" s="89" t="s">
        <v>649</v>
      </c>
      <c r="W3" s="95" t="str">
        <f>HYPERLINK("https://www.youtube.com/watch?v=MWk8XJWEiO4")</f>
        <v>https://www.youtube.com/watch?v=MWk8XJWEiO4</v>
      </c>
      <c r="X3" s="89" t="s">
        <v>656</v>
      </c>
      <c r="Y3" s="89">
        <v>1</v>
      </c>
      <c r="Z3" s="98">
        <v>43031.67581018519</v>
      </c>
      <c r="AA3" s="98">
        <v>43031.67581018519</v>
      </c>
      <c r="AB3" s="89"/>
      <c r="AC3" s="89"/>
      <c r="AD3" s="93" t="s">
        <v>666</v>
      </c>
      <c r="AE3" s="92">
        <v>1</v>
      </c>
      <c r="AF3" s="93" t="str">
        <f>REPLACE(INDEX(GroupVertices[Group],MATCH(Edges[[#This Row],[Vertex 1]],GroupVertices[Vertex],0)),1,1,"")</f>
        <v>4</v>
      </c>
      <c r="AG3" s="93" t="str">
        <f>REPLACE(INDEX(GroupVertices[Group],MATCH(Edges[[#This Row],[Vertex 2]],GroupVertices[Vertex],0)),1,1,"")</f>
        <v>4</v>
      </c>
      <c r="AH3" s="127">
        <v>1</v>
      </c>
      <c r="AI3" s="128">
        <v>33.333333333333336</v>
      </c>
      <c r="AJ3" s="127">
        <v>0</v>
      </c>
      <c r="AK3" s="128">
        <v>0</v>
      </c>
      <c r="AL3" s="127">
        <v>0</v>
      </c>
      <c r="AM3" s="128">
        <v>0</v>
      </c>
      <c r="AN3" s="127">
        <v>2</v>
      </c>
      <c r="AO3" s="128">
        <v>66.66666666666667</v>
      </c>
      <c r="AP3" s="127">
        <v>3</v>
      </c>
    </row>
    <row r="4" spans="1:42" ht="15" customHeight="1">
      <c r="A4" s="65" t="s">
        <v>226</v>
      </c>
      <c r="B4" s="65" t="s">
        <v>228</v>
      </c>
      <c r="C4" s="66" t="s">
        <v>1220</v>
      </c>
      <c r="D4" s="67">
        <v>3</v>
      </c>
      <c r="E4" s="68"/>
      <c r="F4" s="69">
        <v>40</v>
      </c>
      <c r="G4" s="66"/>
      <c r="H4" s="70"/>
      <c r="I4" s="71"/>
      <c r="J4" s="71"/>
      <c r="K4" s="35" t="s">
        <v>65</v>
      </c>
      <c r="L4" s="79">
        <v>4</v>
      </c>
      <c r="M4" s="79"/>
      <c r="N4" s="73"/>
      <c r="O4" s="90" t="s">
        <v>355</v>
      </c>
      <c r="P4" s="90" t="s">
        <v>358</v>
      </c>
      <c r="Q4" s="94" t="s">
        <v>359</v>
      </c>
      <c r="R4" s="90" t="s">
        <v>226</v>
      </c>
      <c r="S4" s="90" t="s">
        <v>505</v>
      </c>
      <c r="T4" s="96" t="str">
        <f>HYPERLINK("http://www.youtube.com/channel/UCIfypgNfXhTaHAQru-uUyxg")</f>
        <v>http://www.youtube.com/channel/UCIfypgNfXhTaHAQru-uUyxg</v>
      </c>
      <c r="U4" s="90" t="s">
        <v>628</v>
      </c>
      <c r="V4" s="90" t="s">
        <v>649</v>
      </c>
      <c r="W4" s="96" t="str">
        <f>HYPERLINK("https://www.youtube.com/watch?v=MWk8XJWEiO4")</f>
        <v>https://www.youtube.com/watch?v=MWk8XJWEiO4</v>
      </c>
      <c r="X4" s="90" t="s">
        <v>656</v>
      </c>
      <c r="Y4" s="90">
        <v>0</v>
      </c>
      <c r="Z4" s="99">
        <v>43072.0399537037</v>
      </c>
      <c r="AA4" s="99">
        <v>43072.0399537037</v>
      </c>
      <c r="AB4" s="90"/>
      <c r="AC4" s="90"/>
      <c r="AD4" s="94" t="s">
        <v>666</v>
      </c>
      <c r="AE4" s="92">
        <v>1</v>
      </c>
      <c r="AF4" s="93" t="str">
        <f>REPLACE(INDEX(GroupVertices[Group],MATCH(Edges[[#This Row],[Vertex 1]],GroupVertices[Vertex],0)),1,1,"")</f>
        <v>4</v>
      </c>
      <c r="AG4" s="93" t="str">
        <f>REPLACE(INDEX(GroupVertices[Group],MATCH(Edges[[#This Row],[Vertex 2]],GroupVertices[Vertex],0)),1,1,"")</f>
        <v>4</v>
      </c>
      <c r="AH4" s="127">
        <v>0</v>
      </c>
      <c r="AI4" s="128">
        <v>0</v>
      </c>
      <c r="AJ4" s="127">
        <v>0</v>
      </c>
      <c r="AK4" s="128">
        <v>0</v>
      </c>
      <c r="AL4" s="127">
        <v>0</v>
      </c>
      <c r="AM4" s="128">
        <v>0</v>
      </c>
      <c r="AN4" s="127">
        <v>2</v>
      </c>
      <c r="AO4" s="128">
        <v>100</v>
      </c>
      <c r="AP4" s="127">
        <v>2</v>
      </c>
    </row>
    <row r="5" spans="1:42" ht="15">
      <c r="A5" s="65" t="s">
        <v>227</v>
      </c>
      <c r="B5" s="65" t="s">
        <v>228</v>
      </c>
      <c r="C5" s="66" t="s">
        <v>1220</v>
      </c>
      <c r="D5" s="67">
        <v>3</v>
      </c>
      <c r="E5" s="68"/>
      <c r="F5" s="69">
        <v>40</v>
      </c>
      <c r="G5" s="66"/>
      <c r="H5" s="70"/>
      <c r="I5" s="71"/>
      <c r="J5" s="71"/>
      <c r="K5" s="35" t="s">
        <v>65</v>
      </c>
      <c r="L5" s="79">
        <v>5</v>
      </c>
      <c r="M5" s="79"/>
      <c r="N5" s="73"/>
      <c r="O5" s="90" t="s">
        <v>355</v>
      </c>
      <c r="P5" s="90" t="s">
        <v>358</v>
      </c>
      <c r="Q5" s="94" t="s">
        <v>360</v>
      </c>
      <c r="R5" s="90" t="s">
        <v>227</v>
      </c>
      <c r="S5" s="90" t="s">
        <v>506</v>
      </c>
      <c r="T5" s="96" t="str">
        <f>HYPERLINK("http://www.youtube.com/channel/UCXluBqiQge_RLYUebJShy8w")</f>
        <v>http://www.youtube.com/channel/UCXluBqiQge_RLYUebJShy8w</v>
      </c>
      <c r="U5" s="90" t="s">
        <v>628</v>
      </c>
      <c r="V5" s="90" t="s">
        <v>649</v>
      </c>
      <c r="W5" s="96" t="str">
        <f>HYPERLINK("https://www.youtube.com/watch?v=MWk8XJWEiO4")</f>
        <v>https://www.youtube.com/watch?v=MWk8XJWEiO4</v>
      </c>
      <c r="X5" s="90" t="s">
        <v>656</v>
      </c>
      <c r="Y5" s="90">
        <v>0</v>
      </c>
      <c r="Z5" s="99">
        <v>44337.25510416667</v>
      </c>
      <c r="AA5" s="99">
        <v>44337.25510416667</v>
      </c>
      <c r="AB5" s="90"/>
      <c r="AC5" s="90"/>
      <c r="AD5" s="94" t="s">
        <v>666</v>
      </c>
      <c r="AE5" s="92">
        <v>1</v>
      </c>
      <c r="AF5" s="93" t="str">
        <f>REPLACE(INDEX(GroupVertices[Group],MATCH(Edges[[#This Row],[Vertex 1]],GroupVertices[Vertex],0)),1,1,"")</f>
        <v>4</v>
      </c>
      <c r="AG5" s="93" t="str">
        <f>REPLACE(INDEX(GroupVertices[Group],MATCH(Edges[[#This Row],[Vertex 2]],GroupVertices[Vertex],0)),1,1,"")</f>
        <v>4</v>
      </c>
      <c r="AH5" s="127">
        <v>0</v>
      </c>
      <c r="AI5" s="128">
        <v>0</v>
      </c>
      <c r="AJ5" s="127">
        <v>0</v>
      </c>
      <c r="AK5" s="128">
        <v>0</v>
      </c>
      <c r="AL5" s="127">
        <v>0</v>
      </c>
      <c r="AM5" s="128">
        <v>0</v>
      </c>
      <c r="AN5" s="127">
        <v>2</v>
      </c>
      <c r="AO5" s="128">
        <v>100</v>
      </c>
      <c r="AP5" s="127">
        <v>2</v>
      </c>
    </row>
    <row r="6" spans="1:42" ht="15">
      <c r="A6" s="65" t="s">
        <v>228</v>
      </c>
      <c r="B6" s="65" t="s">
        <v>349</v>
      </c>
      <c r="C6" s="66" t="s">
        <v>1220</v>
      </c>
      <c r="D6" s="67">
        <v>3</v>
      </c>
      <c r="E6" s="68"/>
      <c r="F6" s="69">
        <v>40</v>
      </c>
      <c r="G6" s="66"/>
      <c r="H6" s="70"/>
      <c r="I6" s="71"/>
      <c r="J6" s="71"/>
      <c r="K6" s="35" t="s">
        <v>65</v>
      </c>
      <c r="L6" s="79">
        <v>6</v>
      </c>
      <c r="M6" s="79"/>
      <c r="N6" s="73"/>
      <c r="O6" s="90" t="s">
        <v>356</v>
      </c>
      <c r="P6" s="90" t="s">
        <v>212</v>
      </c>
      <c r="Q6" s="94" t="s">
        <v>361</v>
      </c>
      <c r="R6" s="90" t="s">
        <v>228</v>
      </c>
      <c r="S6" s="90" t="s">
        <v>507</v>
      </c>
      <c r="T6" s="96" t="str">
        <f>HYPERLINK("http://www.youtube.com/channel/UCwChU2l1801enAbBJJq2c0g")</f>
        <v>http://www.youtube.com/channel/UCwChU2l1801enAbBJJq2c0g</v>
      </c>
      <c r="U6" s="90"/>
      <c r="V6" s="90" t="s">
        <v>649</v>
      </c>
      <c r="W6" s="96" t="str">
        <f>HYPERLINK("https://www.youtube.com/watch?v=MWk8XJWEiO4")</f>
        <v>https://www.youtube.com/watch?v=MWk8XJWEiO4</v>
      </c>
      <c r="X6" s="90" t="s">
        <v>656</v>
      </c>
      <c r="Y6" s="90">
        <v>1</v>
      </c>
      <c r="Z6" s="99">
        <v>43040.53482638889</v>
      </c>
      <c r="AA6" s="99">
        <v>43040.53482638889</v>
      </c>
      <c r="AB6" s="90"/>
      <c r="AC6" s="90"/>
      <c r="AD6" s="94" t="s">
        <v>666</v>
      </c>
      <c r="AE6" s="92">
        <v>1</v>
      </c>
      <c r="AF6" s="93" t="str">
        <f>REPLACE(INDEX(GroupVertices[Group],MATCH(Edges[[#This Row],[Vertex 1]],GroupVertices[Vertex],0)),1,1,"")</f>
        <v>4</v>
      </c>
      <c r="AG6" s="93" t="str">
        <f>REPLACE(INDEX(GroupVertices[Group],MATCH(Edges[[#This Row],[Vertex 2]],GroupVertices[Vertex],0)),1,1,"")</f>
        <v>4</v>
      </c>
      <c r="AH6" s="127">
        <v>0</v>
      </c>
      <c r="AI6" s="128">
        <v>0</v>
      </c>
      <c r="AJ6" s="127">
        <v>0</v>
      </c>
      <c r="AK6" s="128">
        <v>0</v>
      </c>
      <c r="AL6" s="127">
        <v>0</v>
      </c>
      <c r="AM6" s="128">
        <v>0</v>
      </c>
      <c r="AN6" s="127">
        <v>11</v>
      </c>
      <c r="AO6" s="128">
        <v>100</v>
      </c>
      <c r="AP6" s="127">
        <v>11</v>
      </c>
    </row>
    <row r="7" spans="1:42" ht="15">
      <c r="A7" s="65" t="s">
        <v>229</v>
      </c>
      <c r="B7" s="65" t="s">
        <v>349</v>
      </c>
      <c r="C7" s="66" t="s">
        <v>1220</v>
      </c>
      <c r="D7" s="67">
        <v>3</v>
      </c>
      <c r="E7" s="68"/>
      <c r="F7" s="69">
        <v>40</v>
      </c>
      <c r="G7" s="66"/>
      <c r="H7" s="70"/>
      <c r="I7" s="71"/>
      <c r="J7" s="71"/>
      <c r="K7" s="35" t="s">
        <v>65</v>
      </c>
      <c r="L7" s="79">
        <v>7</v>
      </c>
      <c r="M7" s="79"/>
      <c r="N7" s="73"/>
      <c r="O7" s="90" t="s">
        <v>356</v>
      </c>
      <c r="P7" s="90" t="s">
        <v>212</v>
      </c>
      <c r="Q7" s="94" t="s">
        <v>362</v>
      </c>
      <c r="R7" s="90" t="s">
        <v>229</v>
      </c>
      <c r="S7" s="90" t="s">
        <v>508</v>
      </c>
      <c r="T7" s="96" t="str">
        <f>HYPERLINK("http://www.youtube.com/channel/UCAwNUJZntOgEy085kqcyyTg")</f>
        <v>http://www.youtube.com/channel/UCAwNUJZntOgEy085kqcyyTg</v>
      </c>
      <c r="U7" s="90"/>
      <c r="V7" s="90" t="s">
        <v>649</v>
      </c>
      <c r="W7" s="96" t="str">
        <f>HYPERLINK("https://www.youtube.com/watch?v=MWk8XJWEiO4")</f>
        <v>https://www.youtube.com/watch?v=MWk8XJWEiO4</v>
      </c>
      <c r="X7" s="90" t="s">
        <v>656</v>
      </c>
      <c r="Y7" s="90">
        <v>1</v>
      </c>
      <c r="Z7" s="99">
        <v>43057.304918981485</v>
      </c>
      <c r="AA7" s="99">
        <v>43057.304918981485</v>
      </c>
      <c r="AB7" s="90"/>
      <c r="AC7" s="90"/>
      <c r="AD7" s="94" t="s">
        <v>666</v>
      </c>
      <c r="AE7" s="92">
        <v>1</v>
      </c>
      <c r="AF7" s="93" t="str">
        <f>REPLACE(INDEX(GroupVertices[Group],MATCH(Edges[[#This Row],[Vertex 1]],GroupVertices[Vertex],0)),1,1,"")</f>
        <v>4</v>
      </c>
      <c r="AG7" s="93" t="str">
        <f>REPLACE(INDEX(GroupVertices[Group],MATCH(Edges[[#This Row],[Vertex 2]],GroupVertices[Vertex],0)),1,1,"")</f>
        <v>4</v>
      </c>
      <c r="AH7" s="127">
        <v>0</v>
      </c>
      <c r="AI7" s="128">
        <v>0</v>
      </c>
      <c r="AJ7" s="127">
        <v>0</v>
      </c>
      <c r="AK7" s="128">
        <v>0</v>
      </c>
      <c r="AL7" s="127">
        <v>0</v>
      </c>
      <c r="AM7" s="128">
        <v>0</v>
      </c>
      <c r="AN7" s="127">
        <v>12</v>
      </c>
      <c r="AO7" s="128">
        <v>100</v>
      </c>
      <c r="AP7" s="127">
        <v>12</v>
      </c>
    </row>
    <row r="8" spans="1:42" ht="15">
      <c r="A8" s="65" t="s">
        <v>230</v>
      </c>
      <c r="B8" s="65" t="s">
        <v>231</v>
      </c>
      <c r="C8" s="66" t="s">
        <v>1221</v>
      </c>
      <c r="D8" s="67">
        <v>3</v>
      </c>
      <c r="E8" s="68"/>
      <c r="F8" s="69">
        <v>40</v>
      </c>
      <c r="G8" s="66"/>
      <c r="H8" s="70"/>
      <c r="I8" s="71"/>
      <c r="J8" s="71"/>
      <c r="K8" s="35" t="s">
        <v>65</v>
      </c>
      <c r="L8" s="79">
        <v>8</v>
      </c>
      <c r="M8" s="79"/>
      <c r="N8" s="73"/>
      <c r="O8" s="90" t="s">
        <v>355</v>
      </c>
      <c r="P8" s="90" t="s">
        <v>358</v>
      </c>
      <c r="Q8" s="94" t="s">
        <v>363</v>
      </c>
      <c r="R8" s="90" t="s">
        <v>230</v>
      </c>
      <c r="S8" s="90" t="s">
        <v>509</v>
      </c>
      <c r="T8" s="96" t="str">
        <f>HYPERLINK("http://www.youtube.com/channel/UCqCZk9JftPi0q4Ihsz27kDQ")</f>
        <v>http://www.youtube.com/channel/UCqCZk9JftPi0q4Ihsz27kDQ</v>
      </c>
      <c r="U8" s="90" t="s">
        <v>629</v>
      </c>
      <c r="V8" s="90" t="s">
        <v>649</v>
      </c>
      <c r="W8" s="96" t="str">
        <f>HYPERLINK("https://www.youtube.com/watch?v=MWk8XJWEiO4")</f>
        <v>https://www.youtube.com/watch?v=MWk8XJWEiO4</v>
      </c>
      <c r="X8" s="90" t="s">
        <v>656</v>
      </c>
      <c r="Y8" s="90">
        <v>1</v>
      </c>
      <c r="Z8" s="99">
        <v>43944.376851851855</v>
      </c>
      <c r="AA8" s="99">
        <v>43944.376851851855</v>
      </c>
      <c r="AB8" s="90"/>
      <c r="AC8" s="90"/>
      <c r="AD8" s="94" t="s">
        <v>666</v>
      </c>
      <c r="AE8" s="92">
        <v>2</v>
      </c>
      <c r="AF8" s="93" t="str">
        <f>REPLACE(INDEX(GroupVertices[Group],MATCH(Edges[[#This Row],[Vertex 1]],GroupVertices[Vertex],0)),1,1,"")</f>
        <v>4</v>
      </c>
      <c r="AG8" s="93" t="str">
        <f>REPLACE(INDEX(GroupVertices[Group],MATCH(Edges[[#This Row],[Vertex 2]],GroupVertices[Vertex],0)),1,1,"")</f>
        <v>4</v>
      </c>
      <c r="AH8" s="127">
        <v>0</v>
      </c>
      <c r="AI8" s="128">
        <v>0</v>
      </c>
      <c r="AJ8" s="127">
        <v>0</v>
      </c>
      <c r="AK8" s="128">
        <v>0</v>
      </c>
      <c r="AL8" s="127">
        <v>0</v>
      </c>
      <c r="AM8" s="128">
        <v>0</v>
      </c>
      <c r="AN8" s="127">
        <v>8</v>
      </c>
      <c r="AO8" s="128">
        <v>100</v>
      </c>
      <c r="AP8" s="127">
        <v>8</v>
      </c>
    </row>
    <row r="9" spans="1:42" ht="15">
      <c r="A9" s="65" t="s">
        <v>230</v>
      </c>
      <c r="B9" s="65" t="s">
        <v>231</v>
      </c>
      <c r="C9" s="66" t="s">
        <v>1221</v>
      </c>
      <c r="D9" s="67">
        <v>3</v>
      </c>
      <c r="E9" s="68"/>
      <c r="F9" s="69">
        <v>40</v>
      </c>
      <c r="G9" s="66"/>
      <c r="H9" s="70"/>
      <c r="I9" s="71"/>
      <c r="J9" s="71"/>
      <c r="K9" s="35" t="s">
        <v>65</v>
      </c>
      <c r="L9" s="79">
        <v>9</v>
      </c>
      <c r="M9" s="79"/>
      <c r="N9" s="73"/>
      <c r="O9" s="90" t="s">
        <v>355</v>
      </c>
      <c r="P9" s="90" t="s">
        <v>358</v>
      </c>
      <c r="Q9" s="94" t="s">
        <v>364</v>
      </c>
      <c r="R9" s="90" t="s">
        <v>230</v>
      </c>
      <c r="S9" s="90" t="s">
        <v>509</v>
      </c>
      <c r="T9" s="96" t="str">
        <f>HYPERLINK("http://www.youtube.com/channel/UCqCZk9JftPi0q4Ihsz27kDQ")</f>
        <v>http://www.youtube.com/channel/UCqCZk9JftPi0q4Ihsz27kDQ</v>
      </c>
      <c r="U9" s="90" t="s">
        <v>629</v>
      </c>
      <c r="V9" s="90" t="s">
        <v>649</v>
      </c>
      <c r="W9" s="96" t="str">
        <f>HYPERLINK("https://www.youtube.com/watch?v=MWk8XJWEiO4")</f>
        <v>https://www.youtube.com/watch?v=MWk8XJWEiO4</v>
      </c>
      <c r="X9" s="90" t="s">
        <v>656</v>
      </c>
      <c r="Y9" s="90">
        <v>0</v>
      </c>
      <c r="Z9" s="99">
        <v>43944.38097222222</v>
      </c>
      <c r="AA9" s="99">
        <v>43944.38097222222</v>
      </c>
      <c r="AB9" s="90"/>
      <c r="AC9" s="90"/>
      <c r="AD9" s="94" t="s">
        <v>666</v>
      </c>
      <c r="AE9" s="92">
        <v>2</v>
      </c>
      <c r="AF9" s="93" t="str">
        <f>REPLACE(INDEX(GroupVertices[Group],MATCH(Edges[[#This Row],[Vertex 1]],GroupVertices[Vertex],0)),1,1,"")</f>
        <v>4</v>
      </c>
      <c r="AG9" s="93" t="str">
        <f>REPLACE(INDEX(GroupVertices[Group],MATCH(Edges[[#This Row],[Vertex 2]],GroupVertices[Vertex],0)),1,1,"")</f>
        <v>4</v>
      </c>
      <c r="AH9" s="127">
        <v>0</v>
      </c>
      <c r="AI9" s="128">
        <v>0</v>
      </c>
      <c r="AJ9" s="127">
        <v>0</v>
      </c>
      <c r="AK9" s="128">
        <v>0</v>
      </c>
      <c r="AL9" s="127">
        <v>0</v>
      </c>
      <c r="AM9" s="128">
        <v>0</v>
      </c>
      <c r="AN9" s="127">
        <v>4</v>
      </c>
      <c r="AO9" s="128">
        <v>100</v>
      </c>
      <c r="AP9" s="127">
        <v>4</v>
      </c>
    </row>
    <row r="10" spans="1:42" ht="15">
      <c r="A10" s="65" t="s">
        <v>231</v>
      </c>
      <c r="B10" s="65" t="s">
        <v>349</v>
      </c>
      <c r="C10" s="66" t="s">
        <v>1220</v>
      </c>
      <c r="D10" s="67">
        <v>3</v>
      </c>
      <c r="E10" s="68"/>
      <c r="F10" s="69">
        <v>40</v>
      </c>
      <c r="G10" s="66"/>
      <c r="H10" s="70"/>
      <c r="I10" s="71"/>
      <c r="J10" s="71"/>
      <c r="K10" s="35" t="s">
        <v>65</v>
      </c>
      <c r="L10" s="79">
        <v>10</v>
      </c>
      <c r="M10" s="79"/>
      <c r="N10" s="73"/>
      <c r="O10" s="90" t="s">
        <v>356</v>
      </c>
      <c r="P10" s="90" t="s">
        <v>212</v>
      </c>
      <c r="Q10" s="94" t="s">
        <v>365</v>
      </c>
      <c r="R10" s="90" t="s">
        <v>231</v>
      </c>
      <c r="S10" s="90" t="s">
        <v>510</v>
      </c>
      <c r="T10" s="96" t="str">
        <f>HYPERLINK("http://www.youtube.com/channel/UCcPcpbjgONtEip-VGOdTjjQ")</f>
        <v>http://www.youtube.com/channel/UCcPcpbjgONtEip-VGOdTjjQ</v>
      </c>
      <c r="U10" s="90"/>
      <c r="V10" s="90" t="s">
        <v>649</v>
      </c>
      <c r="W10" s="96" t="str">
        <f>HYPERLINK("https://www.youtube.com/watch?v=MWk8XJWEiO4")</f>
        <v>https://www.youtube.com/watch?v=MWk8XJWEiO4</v>
      </c>
      <c r="X10" s="90" t="s">
        <v>656</v>
      </c>
      <c r="Y10" s="90">
        <v>3</v>
      </c>
      <c r="Z10" s="99">
        <v>43156.63675925926</v>
      </c>
      <c r="AA10" s="99">
        <v>43156.63675925926</v>
      </c>
      <c r="AB10" s="90"/>
      <c r="AC10" s="90"/>
      <c r="AD10" s="94" t="s">
        <v>666</v>
      </c>
      <c r="AE10" s="92">
        <v>1</v>
      </c>
      <c r="AF10" s="93" t="str">
        <f>REPLACE(INDEX(GroupVertices[Group],MATCH(Edges[[#This Row],[Vertex 1]],GroupVertices[Vertex],0)),1,1,"")</f>
        <v>4</v>
      </c>
      <c r="AG10" s="93" t="str">
        <f>REPLACE(INDEX(GroupVertices[Group],MATCH(Edges[[#This Row],[Vertex 2]],GroupVertices[Vertex],0)),1,1,"")</f>
        <v>4</v>
      </c>
      <c r="AH10" s="127">
        <v>1</v>
      </c>
      <c r="AI10" s="128">
        <v>50</v>
      </c>
      <c r="AJ10" s="127">
        <v>0</v>
      </c>
      <c r="AK10" s="128">
        <v>0</v>
      </c>
      <c r="AL10" s="127">
        <v>0</v>
      </c>
      <c r="AM10" s="128">
        <v>0</v>
      </c>
      <c r="AN10" s="127">
        <v>1</v>
      </c>
      <c r="AO10" s="128">
        <v>50</v>
      </c>
      <c r="AP10" s="127">
        <v>2</v>
      </c>
    </row>
    <row r="11" spans="1:42" ht="15">
      <c r="A11" s="65" t="s">
        <v>232</v>
      </c>
      <c r="B11" s="65" t="s">
        <v>233</v>
      </c>
      <c r="C11" s="66" t="s">
        <v>1220</v>
      </c>
      <c r="D11" s="67">
        <v>3</v>
      </c>
      <c r="E11" s="68"/>
      <c r="F11" s="69">
        <v>40</v>
      </c>
      <c r="G11" s="66"/>
      <c r="H11" s="70"/>
      <c r="I11" s="71"/>
      <c r="J11" s="71"/>
      <c r="K11" s="35" t="s">
        <v>65</v>
      </c>
      <c r="L11" s="79">
        <v>11</v>
      </c>
      <c r="M11" s="79"/>
      <c r="N11" s="73"/>
      <c r="O11" s="90" t="s">
        <v>355</v>
      </c>
      <c r="P11" s="90" t="s">
        <v>358</v>
      </c>
      <c r="Q11" s="94" t="s">
        <v>366</v>
      </c>
      <c r="R11" s="90" t="s">
        <v>232</v>
      </c>
      <c r="S11" s="90" t="s">
        <v>511</v>
      </c>
      <c r="T11" s="96" t="str">
        <f>HYPERLINK("http://www.youtube.com/channel/UCSLzh_2e-fC7yrOAj39TAAw")</f>
        <v>http://www.youtube.com/channel/UCSLzh_2e-fC7yrOAj39TAAw</v>
      </c>
      <c r="U11" s="90" t="s">
        <v>630</v>
      </c>
      <c r="V11" s="90" t="s">
        <v>649</v>
      </c>
      <c r="W11" s="96" t="str">
        <f>HYPERLINK("https://www.youtube.com/watch?v=MWk8XJWEiO4")</f>
        <v>https://www.youtube.com/watch?v=MWk8XJWEiO4</v>
      </c>
      <c r="X11" s="90" t="s">
        <v>656</v>
      </c>
      <c r="Y11" s="90">
        <v>0</v>
      </c>
      <c r="Z11" s="99">
        <v>44301.496342592596</v>
      </c>
      <c r="AA11" s="99">
        <v>44301.496342592596</v>
      </c>
      <c r="AB11" s="90"/>
      <c r="AC11" s="90"/>
      <c r="AD11" s="94" t="s">
        <v>666</v>
      </c>
      <c r="AE11" s="92">
        <v>1</v>
      </c>
      <c r="AF11" s="93" t="str">
        <f>REPLACE(INDEX(GroupVertices[Group],MATCH(Edges[[#This Row],[Vertex 1]],GroupVertices[Vertex],0)),1,1,"")</f>
        <v>4</v>
      </c>
      <c r="AG11" s="93" t="str">
        <f>REPLACE(INDEX(GroupVertices[Group],MATCH(Edges[[#This Row],[Vertex 2]],GroupVertices[Vertex],0)),1,1,"")</f>
        <v>4</v>
      </c>
      <c r="AH11" s="127">
        <v>0</v>
      </c>
      <c r="AI11" s="128">
        <v>0</v>
      </c>
      <c r="AJ11" s="127">
        <v>0</v>
      </c>
      <c r="AK11" s="128">
        <v>0</v>
      </c>
      <c r="AL11" s="127">
        <v>0</v>
      </c>
      <c r="AM11" s="128">
        <v>0</v>
      </c>
      <c r="AN11" s="127">
        <v>5</v>
      </c>
      <c r="AO11" s="128">
        <v>100</v>
      </c>
      <c r="AP11" s="127">
        <v>5</v>
      </c>
    </row>
    <row r="12" spans="1:42" ht="15">
      <c r="A12" s="65" t="s">
        <v>233</v>
      </c>
      <c r="B12" s="65" t="s">
        <v>349</v>
      </c>
      <c r="C12" s="66" t="s">
        <v>1220</v>
      </c>
      <c r="D12" s="67">
        <v>3</v>
      </c>
      <c r="E12" s="68"/>
      <c r="F12" s="69">
        <v>40</v>
      </c>
      <c r="G12" s="66"/>
      <c r="H12" s="70"/>
      <c r="I12" s="71"/>
      <c r="J12" s="71"/>
      <c r="K12" s="35" t="s">
        <v>65</v>
      </c>
      <c r="L12" s="79">
        <v>12</v>
      </c>
      <c r="M12" s="79"/>
      <c r="N12" s="73"/>
      <c r="O12" s="90" t="s">
        <v>356</v>
      </c>
      <c r="P12" s="90" t="s">
        <v>212</v>
      </c>
      <c r="Q12" s="94" t="s">
        <v>367</v>
      </c>
      <c r="R12" s="90" t="s">
        <v>233</v>
      </c>
      <c r="S12" s="90" t="s">
        <v>512</v>
      </c>
      <c r="T12" s="96" t="str">
        <f>HYPERLINK("http://www.youtube.com/channel/UCwSB6LON4E0a7yTaZxepNZA")</f>
        <v>http://www.youtube.com/channel/UCwSB6LON4E0a7yTaZxepNZA</v>
      </c>
      <c r="U12" s="90"/>
      <c r="V12" s="90" t="s">
        <v>649</v>
      </c>
      <c r="W12" s="96" t="str">
        <f>HYPERLINK("https://www.youtube.com/watch?v=MWk8XJWEiO4")</f>
        <v>https://www.youtube.com/watch?v=MWk8XJWEiO4</v>
      </c>
      <c r="X12" s="90" t="s">
        <v>656</v>
      </c>
      <c r="Y12" s="90">
        <v>0</v>
      </c>
      <c r="Z12" s="99">
        <v>44143.67496527778</v>
      </c>
      <c r="AA12" s="99">
        <v>44143.67496527778</v>
      </c>
      <c r="AB12" s="90"/>
      <c r="AC12" s="90"/>
      <c r="AD12" s="94" t="s">
        <v>666</v>
      </c>
      <c r="AE12" s="92">
        <v>1</v>
      </c>
      <c r="AF12" s="93" t="str">
        <f>REPLACE(INDEX(GroupVertices[Group],MATCH(Edges[[#This Row],[Vertex 1]],GroupVertices[Vertex],0)),1,1,"")</f>
        <v>4</v>
      </c>
      <c r="AG12" s="93" t="str">
        <f>REPLACE(INDEX(GroupVertices[Group],MATCH(Edges[[#This Row],[Vertex 2]],GroupVertices[Vertex],0)),1,1,"")</f>
        <v>4</v>
      </c>
      <c r="AH12" s="127">
        <v>1</v>
      </c>
      <c r="AI12" s="128">
        <v>50</v>
      </c>
      <c r="AJ12" s="127">
        <v>0</v>
      </c>
      <c r="AK12" s="128">
        <v>0</v>
      </c>
      <c r="AL12" s="127">
        <v>0</v>
      </c>
      <c r="AM12" s="128">
        <v>0</v>
      </c>
      <c r="AN12" s="127">
        <v>1</v>
      </c>
      <c r="AO12" s="128">
        <v>50</v>
      </c>
      <c r="AP12" s="127">
        <v>2</v>
      </c>
    </row>
    <row r="13" spans="1:42" ht="15">
      <c r="A13" s="65" t="s">
        <v>234</v>
      </c>
      <c r="B13" s="65" t="s">
        <v>349</v>
      </c>
      <c r="C13" s="66" t="s">
        <v>1220</v>
      </c>
      <c r="D13" s="67">
        <v>3</v>
      </c>
      <c r="E13" s="68"/>
      <c r="F13" s="69">
        <v>40</v>
      </c>
      <c r="G13" s="66"/>
      <c r="H13" s="70"/>
      <c r="I13" s="71"/>
      <c r="J13" s="71"/>
      <c r="K13" s="35" t="s">
        <v>65</v>
      </c>
      <c r="L13" s="79">
        <v>13</v>
      </c>
      <c r="M13" s="79"/>
      <c r="N13" s="73"/>
      <c r="O13" s="90" t="s">
        <v>356</v>
      </c>
      <c r="P13" s="90" t="s">
        <v>212</v>
      </c>
      <c r="Q13" s="94" t="s">
        <v>368</v>
      </c>
      <c r="R13" s="90" t="s">
        <v>234</v>
      </c>
      <c r="S13" s="90" t="s">
        <v>513</v>
      </c>
      <c r="T13" s="96" t="str">
        <f>HYPERLINK("http://www.youtube.com/channel/UC2LxcXUNLqPhJrjxhuQMT3w")</f>
        <v>http://www.youtube.com/channel/UC2LxcXUNLqPhJrjxhuQMT3w</v>
      </c>
      <c r="U13" s="90"/>
      <c r="V13" s="90" t="s">
        <v>649</v>
      </c>
      <c r="W13" s="96" t="str">
        <f>HYPERLINK("https://www.youtube.com/watch?v=MWk8XJWEiO4")</f>
        <v>https://www.youtube.com/watch?v=MWk8XJWEiO4</v>
      </c>
      <c r="X13" s="90" t="s">
        <v>656</v>
      </c>
      <c r="Y13" s="90">
        <v>0</v>
      </c>
      <c r="Z13" s="99">
        <v>44159.11273148148</v>
      </c>
      <c r="AA13" s="99">
        <v>44159.11273148148</v>
      </c>
      <c r="AB13" s="90"/>
      <c r="AC13" s="90"/>
      <c r="AD13" s="94" t="s">
        <v>666</v>
      </c>
      <c r="AE13" s="92">
        <v>1</v>
      </c>
      <c r="AF13" s="93" t="str">
        <f>REPLACE(INDEX(GroupVertices[Group],MATCH(Edges[[#This Row],[Vertex 1]],GroupVertices[Vertex],0)),1,1,"")</f>
        <v>4</v>
      </c>
      <c r="AG13" s="93" t="str">
        <f>REPLACE(INDEX(GroupVertices[Group],MATCH(Edges[[#This Row],[Vertex 2]],GroupVertices[Vertex],0)),1,1,"")</f>
        <v>4</v>
      </c>
      <c r="AH13" s="127">
        <v>0</v>
      </c>
      <c r="AI13" s="128">
        <v>0</v>
      </c>
      <c r="AJ13" s="127">
        <v>1</v>
      </c>
      <c r="AK13" s="128">
        <v>33.333333333333336</v>
      </c>
      <c r="AL13" s="127">
        <v>0</v>
      </c>
      <c r="AM13" s="128">
        <v>0</v>
      </c>
      <c r="AN13" s="127">
        <v>2</v>
      </c>
      <c r="AO13" s="128">
        <v>66.66666666666667</v>
      </c>
      <c r="AP13" s="127">
        <v>3</v>
      </c>
    </row>
    <row r="14" spans="1:42" ht="15">
      <c r="A14" s="65" t="s">
        <v>235</v>
      </c>
      <c r="B14" s="65" t="s">
        <v>350</v>
      </c>
      <c r="C14" s="66" t="s">
        <v>1220</v>
      </c>
      <c r="D14" s="67">
        <v>3</v>
      </c>
      <c r="E14" s="68"/>
      <c r="F14" s="69">
        <v>40</v>
      </c>
      <c r="G14" s="66"/>
      <c r="H14" s="70"/>
      <c r="I14" s="71"/>
      <c r="J14" s="71"/>
      <c r="K14" s="35" t="s">
        <v>65</v>
      </c>
      <c r="L14" s="79">
        <v>14</v>
      </c>
      <c r="M14" s="79"/>
      <c r="N14" s="73"/>
      <c r="O14" s="90" t="s">
        <v>356</v>
      </c>
      <c r="P14" s="90" t="s">
        <v>212</v>
      </c>
      <c r="Q14" s="94" t="s">
        <v>369</v>
      </c>
      <c r="R14" s="90" t="s">
        <v>235</v>
      </c>
      <c r="S14" s="90" t="s">
        <v>514</v>
      </c>
      <c r="T14" s="96" t="str">
        <f>HYPERLINK("http://www.youtube.com/channel/UCJCl1Qw-Uor9xnVdfuhcH0Q")</f>
        <v>http://www.youtube.com/channel/UCJCl1Qw-Uor9xnVdfuhcH0Q</v>
      </c>
      <c r="U14" s="90"/>
      <c r="V14" s="90" t="s">
        <v>650</v>
      </c>
      <c r="W14" s="96" t="str">
        <f>HYPERLINK("https://www.youtube.com/watch?v=uGHwpg-fJvc")</f>
        <v>https://www.youtube.com/watch?v=uGHwpg-fJvc</v>
      </c>
      <c r="X14" s="90" t="s">
        <v>656</v>
      </c>
      <c r="Y14" s="90">
        <v>2</v>
      </c>
      <c r="Z14" s="99">
        <v>43136.205671296295</v>
      </c>
      <c r="AA14" s="99">
        <v>43136.205671296295</v>
      </c>
      <c r="AB14" s="90"/>
      <c r="AC14" s="90"/>
      <c r="AD14" s="94" t="s">
        <v>666</v>
      </c>
      <c r="AE14" s="92">
        <v>1</v>
      </c>
      <c r="AF14" s="93" t="str">
        <f>REPLACE(INDEX(GroupVertices[Group],MATCH(Edges[[#This Row],[Vertex 1]],GroupVertices[Vertex],0)),1,1,"")</f>
        <v>3</v>
      </c>
      <c r="AG14" s="93" t="str">
        <f>REPLACE(INDEX(GroupVertices[Group],MATCH(Edges[[#This Row],[Vertex 2]],GroupVertices[Vertex],0)),1,1,"")</f>
        <v>3</v>
      </c>
      <c r="AH14" s="127">
        <v>0</v>
      </c>
      <c r="AI14" s="128">
        <v>0</v>
      </c>
      <c r="AJ14" s="127">
        <v>0</v>
      </c>
      <c r="AK14" s="128">
        <v>0</v>
      </c>
      <c r="AL14" s="127">
        <v>0</v>
      </c>
      <c r="AM14" s="128">
        <v>0</v>
      </c>
      <c r="AN14" s="127">
        <v>6</v>
      </c>
      <c r="AO14" s="128">
        <v>100</v>
      </c>
      <c r="AP14" s="127">
        <v>6</v>
      </c>
    </row>
    <row r="15" spans="1:42" ht="15">
      <c r="A15" s="65" t="s">
        <v>236</v>
      </c>
      <c r="B15" s="65" t="s">
        <v>350</v>
      </c>
      <c r="C15" s="66" t="s">
        <v>1220</v>
      </c>
      <c r="D15" s="67">
        <v>3</v>
      </c>
      <c r="E15" s="68"/>
      <c r="F15" s="69">
        <v>40</v>
      </c>
      <c r="G15" s="66"/>
      <c r="H15" s="70"/>
      <c r="I15" s="71"/>
      <c r="J15" s="71"/>
      <c r="K15" s="35" t="s">
        <v>65</v>
      </c>
      <c r="L15" s="79">
        <v>15</v>
      </c>
      <c r="M15" s="79"/>
      <c r="N15" s="73"/>
      <c r="O15" s="90" t="s">
        <v>356</v>
      </c>
      <c r="P15" s="90" t="s">
        <v>212</v>
      </c>
      <c r="Q15" s="94" t="s">
        <v>370</v>
      </c>
      <c r="R15" s="90" t="s">
        <v>236</v>
      </c>
      <c r="S15" s="90" t="s">
        <v>515</v>
      </c>
      <c r="T15" s="96" t="str">
        <f>HYPERLINK("http://www.youtube.com/channel/UC7rNPh7zNnIm-1yWgTKmYrw")</f>
        <v>http://www.youtube.com/channel/UC7rNPh7zNnIm-1yWgTKmYrw</v>
      </c>
      <c r="U15" s="90"/>
      <c r="V15" s="90" t="s">
        <v>650</v>
      </c>
      <c r="W15" s="96" t="str">
        <f>HYPERLINK("https://www.youtube.com/watch?v=uGHwpg-fJvc")</f>
        <v>https://www.youtube.com/watch?v=uGHwpg-fJvc</v>
      </c>
      <c r="X15" s="90" t="s">
        <v>656</v>
      </c>
      <c r="Y15" s="90">
        <v>2</v>
      </c>
      <c r="Z15" s="99">
        <v>43291.67005787037</v>
      </c>
      <c r="AA15" s="99">
        <v>43291.67005787037</v>
      </c>
      <c r="AB15" s="90"/>
      <c r="AC15" s="90"/>
      <c r="AD15" s="94" t="s">
        <v>666</v>
      </c>
      <c r="AE15" s="92">
        <v>1</v>
      </c>
      <c r="AF15" s="93" t="str">
        <f>REPLACE(INDEX(GroupVertices[Group],MATCH(Edges[[#This Row],[Vertex 1]],GroupVertices[Vertex],0)),1,1,"")</f>
        <v>3</v>
      </c>
      <c r="AG15" s="93" t="str">
        <f>REPLACE(INDEX(GroupVertices[Group],MATCH(Edges[[#This Row],[Vertex 2]],GroupVertices[Vertex],0)),1,1,"")</f>
        <v>3</v>
      </c>
      <c r="AH15" s="127">
        <v>0</v>
      </c>
      <c r="AI15" s="128">
        <v>0</v>
      </c>
      <c r="AJ15" s="127">
        <v>0</v>
      </c>
      <c r="AK15" s="128">
        <v>0</v>
      </c>
      <c r="AL15" s="127">
        <v>0</v>
      </c>
      <c r="AM15" s="128">
        <v>0</v>
      </c>
      <c r="AN15" s="127">
        <v>3</v>
      </c>
      <c r="AO15" s="128">
        <v>100</v>
      </c>
      <c r="AP15" s="127">
        <v>3</v>
      </c>
    </row>
    <row r="16" spans="1:42" ht="15">
      <c r="A16" s="65" t="s">
        <v>237</v>
      </c>
      <c r="B16" s="65" t="s">
        <v>350</v>
      </c>
      <c r="C16" s="66" t="s">
        <v>1220</v>
      </c>
      <c r="D16" s="67">
        <v>3</v>
      </c>
      <c r="E16" s="68"/>
      <c r="F16" s="69">
        <v>40</v>
      </c>
      <c r="G16" s="66"/>
      <c r="H16" s="70"/>
      <c r="I16" s="71"/>
      <c r="J16" s="71"/>
      <c r="K16" s="35" t="s">
        <v>65</v>
      </c>
      <c r="L16" s="79">
        <v>16</v>
      </c>
      <c r="M16" s="79"/>
      <c r="N16" s="73"/>
      <c r="O16" s="90" t="s">
        <v>356</v>
      </c>
      <c r="P16" s="90" t="s">
        <v>212</v>
      </c>
      <c r="Q16" s="94" t="s">
        <v>371</v>
      </c>
      <c r="R16" s="90" t="s">
        <v>237</v>
      </c>
      <c r="S16" s="90" t="s">
        <v>516</v>
      </c>
      <c r="T16" s="96" t="str">
        <f>HYPERLINK("http://www.youtube.com/channel/UC5f6Lx2sf0O43HKt0G5_4YA")</f>
        <v>http://www.youtube.com/channel/UC5f6Lx2sf0O43HKt0G5_4YA</v>
      </c>
      <c r="U16" s="90"/>
      <c r="V16" s="90" t="s">
        <v>650</v>
      </c>
      <c r="W16" s="96" t="str">
        <f>HYPERLINK("https://www.youtube.com/watch?v=uGHwpg-fJvc")</f>
        <v>https://www.youtube.com/watch?v=uGHwpg-fJvc</v>
      </c>
      <c r="X16" s="90" t="s">
        <v>656</v>
      </c>
      <c r="Y16" s="90">
        <v>4</v>
      </c>
      <c r="Z16" s="99">
        <v>43461.63012731481</v>
      </c>
      <c r="AA16" s="99">
        <v>43461.63012731481</v>
      </c>
      <c r="AB16" s="90"/>
      <c r="AC16" s="90"/>
      <c r="AD16" s="94" t="s">
        <v>666</v>
      </c>
      <c r="AE16" s="92">
        <v>1</v>
      </c>
      <c r="AF16" s="93" t="str">
        <f>REPLACE(INDEX(GroupVertices[Group],MATCH(Edges[[#This Row],[Vertex 1]],GroupVertices[Vertex],0)),1,1,"")</f>
        <v>3</v>
      </c>
      <c r="AG16" s="93" t="str">
        <f>REPLACE(INDEX(GroupVertices[Group],MATCH(Edges[[#This Row],[Vertex 2]],GroupVertices[Vertex],0)),1,1,"")</f>
        <v>3</v>
      </c>
      <c r="AH16" s="127">
        <v>1</v>
      </c>
      <c r="AI16" s="128">
        <v>50</v>
      </c>
      <c r="AJ16" s="127">
        <v>0</v>
      </c>
      <c r="AK16" s="128">
        <v>0</v>
      </c>
      <c r="AL16" s="127">
        <v>0</v>
      </c>
      <c r="AM16" s="128">
        <v>0</v>
      </c>
      <c r="AN16" s="127">
        <v>1</v>
      </c>
      <c r="AO16" s="128">
        <v>50</v>
      </c>
      <c r="AP16" s="127">
        <v>2</v>
      </c>
    </row>
    <row r="17" spans="1:42" ht="15">
      <c r="A17" s="65" t="s">
        <v>238</v>
      </c>
      <c r="B17" s="65" t="s">
        <v>350</v>
      </c>
      <c r="C17" s="66" t="s">
        <v>1220</v>
      </c>
      <c r="D17" s="67">
        <v>3</v>
      </c>
      <c r="E17" s="68"/>
      <c r="F17" s="69">
        <v>40</v>
      </c>
      <c r="G17" s="66"/>
      <c r="H17" s="70"/>
      <c r="I17" s="71"/>
      <c r="J17" s="71"/>
      <c r="K17" s="35" t="s">
        <v>65</v>
      </c>
      <c r="L17" s="79">
        <v>17</v>
      </c>
      <c r="M17" s="79"/>
      <c r="N17" s="73"/>
      <c r="O17" s="90" t="s">
        <v>356</v>
      </c>
      <c r="P17" s="90" t="s">
        <v>212</v>
      </c>
      <c r="Q17" s="94" t="s">
        <v>372</v>
      </c>
      <c r="R17" s="90" t="s">
        <v>238</v>
      </c>
      <c r="S17" s="90" t="s">
        <v>517</v>
      </c>
      <c r="T17" s="96" t="str">
        <f>HYPERLINK("http://www.youtube.com/channel/UC2m5BR47ai-hasWinpJQIrQ")</f>
        <v>http://www.youtube.com/channel/UC2m5BR47ai-hasWinpJQIrQ</v>
      </c>
      <c r="U17" s="90"/>
      <c r="V17" s="90" t="s">
        <v>650</v>
      </c>
      <c r="W17" s="96" t="str">
        <f>HYPERLINK("https://www.youtube.com/watch?v=uGHwpg-fJvc")</f>
        <v>https://www.youtube.com/watch?v=uGHwpg-fJvc</v>
      </c>
      <c r="X17" s="90" t="s">
        <v>656</v>
      </c>
      <c r="Y17" s="90">
        <v>2</v>
      </c>
      <c r="Z17" s="99">
        <v>43523.63946759259</v>
      </c>
      <c r="AA17" s="99">
        <v>43523.63946759259</v>
      </c>
      <c r="AB17" s="90"/>
      <c r="AC17" s="90"/>
      <c r="AD17" s="94" t="s">
        <v>666</v>
      </c>
      <c r="AE17" s="92">
        <v>1</v>
      </c>
      <c r="AF17" s="93" t="str">
        <f>REPLACE(INDEX(GroupVertices[Group],MATCH(Edges[[#This Row],[Vertex 1]],GroupVertices[Vertex],0)),1,1,"")</f>
        <v>3</v>
      </c>
      <c r="AG17" s="93" t="str">
        <f>REPLACE(INDEX(GroupVertices[Group],MATCH(Edges[[#This Row],[Vertex 2]],GroupVertices[Vertex],0)),1,1,"")</f>
        <v>3</v>
      </c>
      <c r="AH17" s="127">
        <v>1</v>
      </c>
      <c r="AI17" s="128">
        <v>50</v>
      </c>
      <c r="AJ17" s="127">
        <v>0</v>
      </c>
      <c r="AK17" s="128">
        <v>0</v>
      </c>
      <c r="AL17" s="127">
        <v>0</v>
      </c>
      <c r="AM17" s="128">
        <v>0</v>
      </c>
      <c r="AN17" s="127">
        <v>1</v>
      </c>
      <c r="AO17" s="128">
        <v>50</v>
      </c>
      <c r="AP17" s="127">
        <v>2</v>
      </c>
    </row>
    <row r="18" spans="1:42" ht="15">
      <c r="A18" s="65" t="s">
        <v>239</v>
      </c>
      <c r="B18" s="65" t="s">
        <v>240</v>
      </c>
      <c r="C18" s="66" t="s">
        <v>1220</v>
      </c>
      <c r="D18" s="67">
        <v>3</v>
      </c>
      <c r="E18" s="68"/>
      <c r="F18" s="69">
        <v>40</v>
      </c>
      <c r="G18" s="66"/>
      <c r="H18" s="70"/>
      <c r="I18" s="71"/>
      <c r="J18" s="71"/>
      <c r="K18" s="35" t="s">
        <v>65</v>
      </c>
      <c r="L18" s="79">
        <v>18</v>
      </c>
      <c r="M18" s="79"/>
      <c r="N18" s="73"/>
      <c r="O18" s="90" t="s">
        <v>355</v>
      </c>
      <c r="P18" s="90" t="s">
        <v>358</v>
      </c>
      <c r="Q18" s="94" t="s">
        <v>373</v>
      </c>
      <c r="R18" s="90" t="s">
        <v>239</v>
      </c>
      <c r="S18" s="90" t="s">
        <v>518</v>
      </c>
      <c r="T18" s="96" t="str">
        <f>HYPERLINK("http://www.youtube.com/channel/UC_k3eP9m8U3bW2ByWs3BRlg")</f>
        <v>http://www.youtube.com/channel/UC_k3eP9m8U3bW2ByWs3BRlg</v>
      </c>
      <c r="U18" s="90" t="s">
        <v>631</v>
      </c>
      <c r="V18" s="90" t="s">
        <v>650</v>
      </c>
      <c r="W18" s="96" t="str">
        <f>HYPERLINK("https://www.youtube.com/watch?v=uGHwpg-fJvc")</f>
        <v>https://www.youtube.com/watch?v=uGHwpg-fJvc</v>
      </c>
      <c r="X18" s="90" t="s">
        <v>656</v>
      </c>
      <c r="Y18" s="90">
        <v>0</v>
      </c>
      <c r="Z18" s="99">
        <v>44257.54924768519</v>
      </c>
      <c r="AA18" s="99">
        <v>44257.54924768519</v>
      </c>
      <c r="AB18" s="90"/>
      <c r="AC18" s="90"/>
      <c r="AD18" s="94" t="s">
        <v>666</v>
      </c>
      <c r="AE18" s="92">
        <v>1</v>
      </c>
      <c r="AF18" s="93" t="str">
        <f>REPLACE(INDEX(GroupVertices[Group],MATCH(Edges[[#This Row],[Vertex 1]],GroupVertices[Vertex],0)),1,1,"")</f>
        <v>3</v>
      </c>
      <c r="AG18" s="93" t="str">
        <f>REPLACE(INDEX(GroupVertices[Group],MATCH(Edges[[#This Row],[Vertex 2]],GroupVertices[Vertex],0)),1,1,"")</f>
        <v>3</v>
      </c>
      <c r="AH18" s="127">
        <v>0</v>
      </c>
      <c r="AI18" s="128">
        <v>0</v>
      </c>
      <c r="AJ18" s="127">
        <v>0</v>
      </c>
      <c r="AK18" s="128">
        <v>0</v>
      </c>
      <c r="AL18" s="127">
        <v>0</v>
      </c>
      <c r="AM18" s="128">
        <v>0</v>
      </c>
      <c r="AN18" s="127">
        <v>2</v>
      </c>
      <c r="AO18" s="128">
        <v>100</v>
      </c>
      <c r="AP18" s="127">
        <v>2</v>
      </c>
    </row>
    <row r="19" spans="1:42" ht="15">
      <c r="A19" s="65" t="s">
        <v>240</v>
      </c>
      <c r="B19" s="65" t="s">
        <v>350</v>
      </c>
      <c r="C19" s="66" t="s">
        <v>1220</v>
      </c>
      <c r="D19" s="67">
        <v>3</v>
      </c>
      <c r="E19" s="68"/>
      <c r="F19" s="69">
        <v>40</v>
      </c>
      <c r="G19" s="66"/>
      <c r="H19" s="70"/>
      <c r="I19" s="71"/>
      <c r="J19" s="71"/>
      <c r="K19" s="35" t="s">
        <v>65</v>
      </c>
      <c r="L19" s="79">
        <v>19</v>
      </c>
      <c r="M19" s="79"/>
      <c r="N19" s="73"/>
      <c r="O19" s="90" t="s">
        <v>356</v>
      </c>
      <c r="P19" s="90" t="s">
        <v>212</v>
      </c>
      <c r="Q19" s="94" t="s">
        <v>374</v>
      </c>
      <c r="R19" s="90" t="s">
        <v>240</v>
      </c>
      <c r="S19" s="90" t="s">
        <v>519</v>
      </c>
      <c r="T19" s="96" t="str">
        <f>HYPERLINK("http://www.youtube.com/channel/UC4NI7ilrRqfiK8xMUG1dZ0w")</f>
        <v>http://www.youtube.com/channel/UC4NI7ilrRqfiK8xMUG1dZ0w</v>
      </c>
      <c r="U19" s="90"/>
      <c r="V19" s="90" t="s">
        <v>650</v>
      </c>
      <c r="W19" s="96" t="str">
        <f>HYPERLINK("https://www.youtube.com/watch?v=uGHwpg-fJvc")</f>
        <v>https://www.youtube.com/watch?v=uGHwpg-fJvc</v>
      </c>
      <c r="X19" s="90" t="s">
        <v>656</v>
      </c>
      <c r="Y19" s="90">
        <v>4</v>
      </c>
      <c r="Z19" s="99">
        <v>43548.24267361111</v>
      </c>
      <c r="AA19" s="99">
        <v>43548.242847222224</v>
      </c>
      <c r="AB19" s="90"/>
      <c r="AC19" s="90"/>
      <c r="AD19" s="94" t="s">
        <v>666</v>
      </c>
      <c r="AE19" s="92">
        <v>1</v>
      </c>
      <c r="AF19" s="93" t="str">
        <f>REPLACE(INDEX(GroupVertices[Group],MATCH(Edges[[#This Row],[Vertex 1]],GroupVertices[Vertex],0)),1,1,"")</f>
        <v>3</v>
      </c>
      <c r="AG19" s="93" t="str">
        <f>REPLACE(INDEX(GroupVertices[Group],MATCH(Edges[[#This Row],[Vertex 2]],GroupVertices[Vertex],0)),1,1,"")</f>
        <v>3</v>
      </c>
      <c r="AH19" s="127">
        <v>0</v>
      </c>
      <c r="AI19" s="128">
        <v>0</v>
      </c>
      <c r="AJ19" s="127">
        <v>0</v>
      </c>
      <c r="AK19" s="128">
        <v>0</v>
      </c>
      <c r="AL19" s="127">
        <v>0</v>
      </c>
      <c r="AM19" s="128">
        <v>0</v>
      </c>
      <c r="AN19" s="127">
        <v>10</v>
      </c>
      <c r="AO19" s="128">
        <v>100</v>
      </c>
      <c r="AP19" s="127">
        <v>10</v>
      </c>
    </row>
    <row r="20" spans="1:42" ht="15">
      <c r="A20" s="65" t="s">
        <v>241</v>
      </c>
      <c r="B20" s="65" t="s">
        <v>350</v>
      </c>
      <c r="C20" s="66" t="s">
        <v>1220</v>
      </c>
      <c r="D20" s="67">
        <v>3</v>
      </c>
      <c r="E20" s="68"/>
      <c r="F20" s="69">
        <v>40</v>
      </c>
      <c r="G20" s="66"/>
      <c r="H20" s="70"/>
      <c r="I20" s="71"/>
      <c r="J20" s="71"/>
      <c r="K20" s="35" t="s">
        <v>65</v>
      </c>
      <c r="L20" s="79">
        <v>20</v>
      </c>
      <c r="M20" s="79"/>
      <c r="N20" s="73"/>
      <c r="O20" s="90" t="s">
        <v>356</v>
      </c>
      <c r="P20" s="90" t="s">
        <v>212</v>
      </c>
      <c r="Q20" s="94" t="s">
        <v>375</v>
      </c>
      <c r="R20" s="90" t="s">
        <v>241</v>
      </c>
      <c r="S20" s="90" t="s">
        <v>520</v>
      </c>
      <c r="T20" s="96" t="str">
        <f>HYPERLINK("http://www.youtube.com/channel/UCEQkX3yQvmG-23u9b8lvmuw")</f>
        <v>http://www.youtube.com/channel/UCEQkX3yQvmG-23u9b8lvmuw</v>
      </c>
      <c r="U20" s="90"/>
      <c r="V20" s="90" t="s">
        <v>650</v>
      </c>
      <c r="W20" s="96" t="str">
        <f>HYPERLINK("https://www.youtube.com/watch?v=uGHwpg-fJvc")</f>
        <v>https://www.youtube.com/watch?v=uGHwpg-fJvc</v>
      </c>
      <c r="X20" s="90" t="s">
        <v>656</v>
      </c>
      <c r="Y20" s="90">
        <v>4</v>
      </c>
      <c r="Z20" s="99">
        <v>43558.692928240744</v>
      </c>
      <c r="AA20" s="99">
        <v>43558.692928240744</v>
      </c>
      <c r="AB20" s="90"/>
      <c r="AC20" s="90"/>
      <c r="AD20" s="94" t="s">
        <v>666</v>
      </c>
      <c r="AE20" s="92">
        <v>1</v>
      </c>
      <c r="AF20" s="93" t="str">
        <f>REPLACE(INDEX(GroupVertices[Group],MATCH(Edges[[#This Row],[Vertex 1]],GroupVertices[Vertex],0)),1,1,"")</f>
        <v>3</v>
      </c>
      <c r="AG20" s="93" t="str">
        <f>REPLACE(INDEX(GroupVertices[Group],MATCH(Edges[[#This Row],[Vertex 2]],GroupVertices[Vertex],0)),1,1,"")</f>
        <v>3</v>
      </c>
      <c r="AH20" s="127">
        <v>2</v>
      </c>
      <c r="AI20" s="128">
        <v>22.22222222222222</v>
      </c>
      <c r="AJ20" s="127">
        <v>0</v>
      </c>
      <c r="AK20" s="128">
        <v>0</v>
      </c>
      <c r="AL20" s="127">
        <v>0</v>
      </c>
      <c r="AM20" s="128">
        <v>0</v>
      </c>
      <c r="AN20" s="127">
        <v>7</v>
      </c>
      <c r="AO20" s="128">
        <v>77.77777777777777</v>
      </c>
      <c r="AP20" s="127">
        <v>9</v>
      </c>
    </row>
    <row r="21" spans="1:42" ht="15">
      <c r="A21" s="65" t="s">
        <v>242</v>
      </c>
      <c r="B21" s="65" t="s">
        <v>350</v>
      </c>
      <c r="C21" s="66" t="s">
        <v>1220</v>
      </c>
      <c r="D21" s="67">
        <v>3</v>
      </c>
      <c r="E21" s="68"/>
      <c r="F21" s="69">
        <v>40</v>
      </c>
      <c r="G21" s="66"/>
      <c r="H21" s="70"/>
      <c r="I21" s="71"/>
      <c r="J21" s="71"/>
      <c r="K21" s="35" t="s">
        <v>65</v>
      </c>
      <c r="L21" s="79">
        <v>21</v>
      </c>
      <c r="M21" s="79"/>
      <c r="N21" s="73"/>
      <c r="O21" s="90" t="s">
        <v>356</v>
      </c>
      <c r="P21" s="90" t="s">
        <v>212</v>
      </c>
      <c r="Q21" s="94" t="s">
        <v>376</v>
      </c>
      <c r="R21" s="90" t="s">
        <v>242</v>
      </c>
      <c r="S21" s="90" t="s">
        <v>521</v>
      </c>
      <c r="T21" s="96" t="str">
        <f>HYPERLINK("http://www.youtube.com/channel/UCNpJn9ONNVoW_DGiP6khUFg")</f>
        <v>http://www.youtube.com/channel/UCNpJn9ONNVoW_DGiP6khUFg</v>
      </c>
      <c r="U21" s="90"/>
      <c r="V21" s="90" t="s">
        <v>650</v>
      </c>
      <c r="W21" s="96" t="str">
        <f>HYPERLINK("https://www.youtube.com/watch?v=uGHwpg-fJvc")</f>
        <v>https://www.youtube.com/watch?v=uGHwpg-fJvc</v>
      </c>
      <c r="X21" s="90" t="s">
        <v>656</v>
      </c>
      <c r="Y21" s="90">
        <v>5</v>
      </c>
      <c r="Z21" s="99">
        <v>43732.94673611111</v>
      </c>
      <c r="AA21" s="99">
        <v>43732.94684027778</v>
      </c>
      <c r="AB21" s="90"/>
      <c r="AC21" s="90"/>
      <c r="AD21" s="94" t="s">
        <v>666</v>
      </c>
      <c r="AE21" s="92">
        <v>1</v>
      </c>
      <c r="AF21" s="93" t="str">
        <f>REPLACE(INDEX(GroupVertices[Group],MATCH(Edges[[#This Row],[Vertex 1]],GroupVertices[Vertex],0)),1,1,"")</f>
        <v>3</v>
      </c>
      <c r="AG21" s="93" t="str">
        <f>REPLACE(INDEX(GroupVertices[Group],MATCH(Edges[[#This Row],[Vertex 2]],GroupVertices[Vertex],0)),1,1,"")</f>
        <v>3</v>
      </c>
      <c r="AH21" s="127">
        <v>1</v>
      </c>
      <c r="AI21" s="128">
        <v>25</v>
      </c>
      <c r="AJ21" s="127">
        <v>0</v>
      </c>
      <c r="AK21" s="128">
        <v>0</v>
      </c>
      <c r="AL21" s="127">
        <v>0</v>
      </c>
      <c r="AM21" s="128">
        <v>0</v>
      </c>
      <c r="AN21" s="127">
        <v>3</v>
      </c>
      <c r="AO21" s="128">
        <v>75</v>
      </c>
      <c r="AP21" s="127">
        <v>4</v>
      </c>
    </row>
    <row r="22" spans="1:42" ht="15">
      <c r="A22" s="65" t="s">
        <v>243</v>
      </c>
      <c r="B22" s="65" t="s">
        <v>350</v>
      </c>
      <c r="C22" s="66" t="s">
        <v>1220</v>
      </c>
      <c r="D22" s="67">
        <v>3</v>
      </c>
      <c r="E22" s="68"/>
      <c r="F22" s="69">
        <v>40</v>
      </c>
      <c r="G22" s="66"/>
      <c r="H22" s="70"/>
      <c r="I22" s="71"/>
      <c r="J22" s="71"/>
      <c r="K22" s="35" t="s">
        <v>65</v>
      </c>
      <c r="L22" s="79">
        <v>22</v>
      </c>
      <c r="M22" s="79"/>
      <c r="N22" s="73"/>
      <c r="O22" s="90" t="s">
        <v>356</v>
      </c>
      <c r="P22" s="90" t="s">
        <v>212</v>
      </c>
      <c r="Q22" s="94" t="s">
        <v>377</v>
      </c>
      <c r="R22" s="90" t="s">
        <v>243</v>
      </c>
      <c r="S22" s="90" t="s">
        <v>522</v>
      </c>
      <c r="T22" s="96" t="str">
        <f>HYPERLINK("http://www.youtube.com/channel/UCzIbFH6UUwsRNVzmNkSUjiw")</f>
        <v>http://www.youtube.com/channel/UCzIbFH6UUwsRNVzmNkSUjiw</v>
      </c>
      <c r="U22" s="90"/>
      <c r="V22" s="90" t="s">
        <v>650</v>
      </c>
      <c r="W22" s="96" t="str">
        <f>HYPERLINK("https://www.youtube.com/watch?v=uGHwpg-fJvc")</f>
        <v>https://www.youtube.com/watch?v=uGHwpg-fJvc</v>
      </c>
      <c r="X22" s="90" t="s">
        <v>656</v>
      </c>
      <c r="Y22" s="90">
        <v>3</v>
      </c>
      <c r="Z22" s="99">
        <v>44069.73704861111</v>
      </c>
      <c r="AA22" s="99">
        <v>44069.73704861111</v>
      </c>
      <c r="AB22" s="90"/>
      <c r="AC22" s="90"/>
      <c r="AD22" s="94" t="s">
        <v>666</v>
      </c>
      <c r="AE22" s="92">
        <v>1</v>
      </c>
      <c r="AF22" s="93" t="str">
        <f>REPLACE(INDEX(GroupVertices[Group],MATCH(Edges[[#This Row],[Vertex 1]],GroupVertices[Vertex],0)),1,1,"")</f>
        <v>3</v>
      </c>
      <c r="AG22" s="93" t="str">
        <f>REPLACE(INDEX(GroupVertices[Group],MATCH(Edges[[#This Row],[Vertex 2]],GroupVertices[Vertex],0)),1,1,"")</f>
        <v>3</v>
      </c>
      <c r="AH22" s="127">
        <v>1</v>
      </c>
      <c r="AI22" s="128">
        <v>50</v>
      </c>
      <c r="AJ22" s="127">
        <v>0</v>
      </c>
      <c r="AK22" s="128">
        <v>0</v>
      </c>
      <c r="AL22" s="127">
        <v>0</v>
      </c>
      <c r="AM22" s="128">
        <v>0</v>
      </c>
      <c r="AN22" s="127">
        <v>1</v>
      </c>
      <c r="AO22" s="128">
        <v>50</v>
      </c>
      <c r="AP22" s="127">
        <v>2</v>
      </c>
    </row>
    <row r="23" spans="1:42" ht="15">
      <c r="A23" s="65" t="s">
        <v>244</v>
      </c>
      <c r="B23" s="65" t="s">
        <v>350</v>
      </c>
      <c r="C23" s="66" t="s">
        <v>1220</v>
      </c>
      <c r="D23" s="67">
        <v>3</v>
      </c>
      <c r="E23" s="68"/>
      <c r="F23" s="69">
        <v>40</v>
      </c>
      <c r="G23" s="66"/>
      <c r="H23" s="70"/>
      <c r="I23" s="71"/>
      <c r="J23" s="71"/>
      <c r="K23" s="35" t="s">
        <v>65</v>
      </c>
      <c r="L23" s="79">
        <v>23</v>
      </c>
      <c r="M23" s="79"/>
      <c r="N23" s="73"/>
      <c r="O23" s="90" t="s">
        <v>356</v>
      </c>
      <c r="P23" s="90" t="s">
        <v>212</v>
      </c>
      <c r="Q23" s="94" t="s">
        <v>378</v>
      </c>
      <c r="R23" s="90" t="s">
        <v>244</v>
      </c>
      <c r="S23" s="90" t="s">
        <v>523</v>
      </c>
      <c r="T23" s="96" t="str">
        <f>HYPERLINK("http://www.youtube.com/channel/UC4v9ixY7tjtvkKVlE8vXygQ")</f>
        <v>http://www.youtube.com/channel/UC4v9ixY7tjtvkKVlE8vXygQ</v>
      </c>
      <c r="U23" s="90"/>
      <c r="V23" s="90" t="s">
        <v>650</v>
      </c>
      <c r="W23" s="96" t="str">
        <f>HYPERLINK("https://www.youtube.com/watch?v=uGHwpg-fJvc")</f>
        <v>https://www.youtube.com/watch?v=uGHwpg-fJvc</v>
      </c>
      <c r="X23" s="90" t="s">
        <v>656</v>
      </c>
      <c r="Y23" s="90">
        <v>5</v>
      </c>
      <c r="Z23" s="99">
        <v>44096.153912037036</v>
      </c>
      <c r="AA23" s="99">
        <v>44096.153912037036</v>
      </c>
      <c r="AB23" s="90"/>
      <c r="AC23" s="90"/>
      <c r="AD23" s="94" t="s">
        <v>666</v>
      </c>
      <c r="AE23" s="92">
        <v>1</v>
      </c>
      <c r="AF23" s="93" t="str">
        <f>REPLACE(INDEX(GroupVertices[Group],MATCH(Edges[[#This Row],[Vertex 1]],GroupVertices[Vertex],0)),1,1,"")</f>
        <v>3</v>
      </c>
      <c r="AG23" s="93" t="str">
        <f>REPLACE(INDEX(GroupVertices[Group],MATCH(Edges[[#This Row],[Vertex 2]],GroupVertices[Vertex],0)),1,1,"")</f>
        <v>3</v>
      </c>
      <c r="AH23" s="127">
        <v>0</v>
      </c>
      <c r="AI23" s="128">
        <v>0</v>
      </c>
      <c r="AJ23" s="127">
        <v>1</v>
      </c>
      <c r="AK23" s="128">
        <v>50</v>
      </c>
      <c r="AL23" s="127">
        <v>0</v>
      </c>
      <c r="AM23" s="128">
        <v>0</v>
      </c>
      <c r="AN23" s="127">
        <v>1</v>
      </c>
      <c r="AO23" s="128">
        <v>50</v>
      </c>
      <c r="AP23" s="127">
        <v>2</v>
      </c>
    </row>
    <row r="24" spans="1:42" ht="15">
      <c r="A24" s="65" t="s">
        <v>245</v>
      </c>
      <c r="B24" s="65" t="s">
        <v>350</v>
      </c>
      <c r="C24" s="66" t="s">
        <v>1220</v>
      </c>
      <c r="D24" s="67">
        <v>3</v>
      </c>
      <c r="E24" s="68"/>
      <c r="F24" s="69">
        <v>40</v>
      </c>
      <c r="G24" s="66"/>
      <c r="H24" s="70"/>
      <c r="I24" s="71"/>
      <c r="J24" s="71"/>
      <c r="K24" s="35" t="s">
        <v>65</v>
      </c>
      <c r="L24" s="79">
        <v>24</v>
      </c>
      <c r="M24" s="79"/>
      <c r="N24" s="73"/>
      <c r="O24" s="90" t="s">
        <v>356</v>
      </c>
      <c r="P24" s="90" t="s">
        <v>212</v>
      </c>
      <c r="Q24" s="94" t="s">
        <v>379</v>
      </c>
      <c r="R24" s="90" t="s">
        <v>245</v>
      </c>
      <c r="S24" s="90" t="s">
        <v>524</v>
      </c>
      <c r="T24" s="96" t="str">
        <f>HYPERLINK("http://www.youtube.com/channel/UCR035xkdm31BkKQVhUyqB9g")</f>
        <v>http://www.youtube.com/channel/UCR035xkdm31BkKQVhUyqB9g</v>
      </c>
      <c r="U24" s="90"/>
      <c r="V24" s="90" t="s">
        <v>650</v>
      </c>
      <c r="W24" s="96" t="str">
        <f>HYPERLINK("https://www.youtube.com/watch?v=uGHwpg-fJvc")</f>
        <v>https://www.youtube.com/watch?v=uGHwpg-fJvc</v>
      </c>
      <c r="X24" s="90" t="s">
        <v>656</v>
      </c>
      <c r="Y24" s="90">
        <v>1</v>
      </c>
      <c r="Z24" s="99">
        <v>44145.546122685184</v>
      </c>
      <c r="AA24" s="99">
        <v>44145.546122685184</v>
      </c>
      <c r="AB24" s="90"/>
      <c r="AC24" s="90"/>
      <c r="AD24" s="94" t="s">
        <v>666</v>
      </c>
      <c r="AE24" s="92">
        <v>1</v>
      </c>
      <c r="AF24" s="93" t="str">
        <f>REPLACE(INDEX(GroupVertices[Group],MATCH(Edges[[#This Row],[Vertex 1]],GroupVertices[Vertex],0)),1,1,"")</f>
        <v>3</v>
      </c>
      <c r="AG24" s="93" t="str">
        <f>REPLACE(INDEX(GroupVertices[Group],MATCH(Edges[[#This Row],[Vertex 2]],GroupVertices[Vertex],0)),1,1,"")</f>
        <v>3</v>
      </c>
      <c r="AH24" s="127">
        <v>1</v>
      </c>
      <c r="AI24" s="128">
        <v>100</v>
      </c>
      <c r="AJ24" s="127">
        <v>0</v>
      </c>
      <c r="AK24" s="128">
        <v>0</v>
      </c>
      <c r="AL24" s="127">
        <v>0</v>
      </c>
      <c r="AM24" s="128">
        <v>0</v>
      </c>
      <c r="AN24" s="127">
        <v>0</v>
      </c>
      <c r="AO24" s="128">
        <v>0</v>
      </c>
      <c r="AP24" s="127">
        <v>1</v>
      </c>
    </row>
    <row r="25" spans="1:42" ht="15">
      <c r="A25" s="65" t="s">
        <v>246</v>
      </c>
      <c r="B25" s="65" t="s">
        <v>350</v>
      </c>
      <c r="C25" s="66" t="s">
        <v>1220</v>
      </c>
      <c r="D25" s="67">
        <v>3</v>
      </c>
      <c r="E25" s="68"/>
      <c r="F25" s="69">
        <v>40</v>
      </c>
      <c r="G25" s="66"/>
      <c r="H25" s="70"/>
      <c r="I25" s="71"/>
      <c r="J25" s="71"/>
      <c r="K25" s="35" t="s">
        <v>65</v>
      </c>
      <c r="L25" s="79">
        <v>25</v>
      </c>
      <c r="M25" s="79"/>
      <c r="N25" s="73"/>
      <c r="O25" s="90" t="s">
        <v>356</v>
      </c>
      <c r="P25" s="90" t="s">
        <v>212</v>
      </c>
      <c r="Q25" s="94" t="s">
        <v>380</v>
      </c>
      <c r="R25" s="90" t="s">
        <v>246</v>
      </c>
      <c r="S25" s="90" t="s">
        <v>525</v>
      </c>
      <c r="T25" s="96" t="str">
        <f>HYPERLINK("http://www.youtube.com/channel/UCZjlaVgXMjuKH5ebn207-lQ")</f>
        <v>http://www.youtube.com/channel/UCZjlaVgXMjuKH5ebn207-lQ</v>
      </c>
      <c r="U25" s="90"/>
      <c r="V25" s="90" t="s">
        <v>650</v>
      </c>
      <c r="W25" s="96" t="str">
        <f>HYPERLINK("https://www.youtube.com/watch?v=uGHwpg-fJvc")</f>
        <v>https://www.youtube.com/watch?v=uGHwpg-fJvc</v>
      </c>
      <c r="X25" s="90" t="s">
        <v>656</v>
      </c>
      <c r="Y25" s="90">
        <v>1</v>
      </c>
      <c r="Z25" s="99">
        <v>44242.18337962963</v>
      </c>
      <c r="AA25" s="99">
        <v>44242.18337962963</v>
      </c>
      <c r="AB25" s="90"/>
      <c r="AC25" s="90"/>
      <c r="AD25" s="94" t="s">
        <v>666</v>
      </c>
      <c r="AE25" s="92">
        <v>1</v>
      </c>
      <c r="AF25" s="93" t="str">
        <f>REPLACE(INDEX(GroupVertices[Group],MATCH(Edges[[#This Row],[Vertex 1]],GroupVertices[Vertex],0)),1,1,"")</f>
        <v>3</v>
      </c>
      <c r="AG25" s="93" t="str">
        <f>REPLACE(INDEX(GroupVertices[Group],MATCH(Edges[[#This Row],[Vertex 2]],GroupVertices[Vertex],0)),1,1,"")</f>
        <v>3</v>
      </c>
      <c r="AH25" s="127">
        <v>0</v>
      </c>
      <c r="AI25" s="128">
        <v>0</v>
      </c>
      <c r="AJ25" s="127">
        <v>0</v>
      </c>
      <c r="AK25" s="128">
        <v>0</v>
      </c>
      <c r="AL25" s="127">
        <v>0</v>
      </c>
      <c r="AM25" s="128">
        <v>0</v>
      </c>
      <c r="AN25" s="127">
        <v>1</v>
      </c>
      <c r="AO25" s="128">
        <v>100</v>
      </c>
      <c r="AP25" s="127">
        <v>1</v>
      </c>
    </row>
    <row r="26" spans="1:42" ht="15">
      <c r="A26" s="65" t="s">
        <v>247</v>
      </c>
      <c r="B26" s="65" t="s">
        <v>350</v>
      </c>
      <c r="C26" s="66" t="s">
        <v>1220</v>
      </c>
      <c r="D26" s="67">
        <v>3</v>
      </c>
      <c r="E26" s="68"/>
      <c r="F26" s="69">
        <v>40</v>
      </c>
      <c r="G26" s="66"/>
      <c r="H26" s="70"/>
      <c r="I26" s="71"/>
      <c r="J26" s="71"/>
      <c r="K26" s="35" t="s">
        <v>65</v>
      </c>
      <c r="L26" s="79">
        <v>26</v>
      </c>
      <c r="M26" s="79"/>
      <c r="N26" s="73"/>
      <c r="O26" s="90" t="s">
        <v>356</v>
      </c>
      <c r="P26" s="90" t="s">
        <v>212</v>
      </c>
      <c r="Q26" s="94" t="s">
        <v>381</v>
      </c>
      <c r="R26" s="90" t="s">
        <v>247</v>
      </c>
      <c r="S26" s="90" t="s">
        <v>526</v>
      </c>
      <c r="T26" s="96" t="str">
        <f>HYPERLINK("http://www.youtube.com/channel/UCgTNsNpvgKhJTjwXB7aU01w")</f>
        <v>http://www.youtube.com/channel/UCgTNsNpvgKhJTjwXB7aU01w</v>
      </c>
      <c r="U26" s="90"/>
      <c r="V26" s="90" t="s">
        <v>650</v>
      </c>
      <c r="W26" s="96" t="str">
        <f>HYPERLINK("https://www.youtube.com/watch?v=uGHwpg-fJvc")</f>
        <v>https://www.youtube.com/watch?v=uGHwpg-fJvc</v>
      </c>
      <c r="X26" s="90" t="s">
        <v>656</v>
      </c>
      <c r="Y26" s="90">
        <v>0</v>
      </c>
      <c r="Z26" s="99">
        <v>44251.4284375</v>
      </c>
      <c r="AA26" s="99">
        <v>44251.4284375</v>
      </c>
      <c r="AB26" s="90"/>
      <c r="AC26" s="90"/>
      <c r="AD26" s="94" t="s">
        <v>666</v>
      </c>
      <c r="AE26" s="92">
        <v>1</v>
      </c>
      <c r="AF26" s="93" t="str">
        <f>REPLACE(INDEX(GroupVertices[Group],MATCH(Edges[[#This Row],[Vertex 1]],GroupVertices[Vertex],0)),1,1,"")</f>
        <v>3</v>
      </c>
      <c r="AG26" s="93" t="str">
        <f>REPLACE(INDEX(GroupVertices[Group],MATCH(Edges[[#This Row],[Vertex 2]],GroupVertices[Vertex],0)),1,1,"")</f>
        <v>3</v>
      </c>
      <c r="AH26" s="127">
        <v>1</v>
      </c>
      <c r="AI26" s="128">
        <v>33.333333333333336</v>
      </c>
      <c r="AJ26" s="127">
        <v>0</v>
      </c>
      <c r="AK26" s="128">
        <v>0</v>
      </c>
      <c r="AL26" s="127">
        <v>0</v>
      </c>
      <c r="AM26" s="128">
        <v>0</v>
      </c>
      <c r="AN26" s="127">
        <v>2</v>
      </c>
      <c r="AO26" s="128">
        <v>66.66666666666667</v>
      </c>
      <c r="AP26" s="127">
        <v>3</v>
      </c>
    </row>
    <row r="27" spans="1:42" ht="15">
      <c r="A27" s="65" t="s">
        <v>248</v>
      </c>
      <c r="B27" s="65" t="s">
        <v>350</v>
      </c>
      <c r="C27" s="66" t="s">
        <v>1220</v>
      </c>
      <c r="D27" s="67">
        <v>3</v>
      </c>
      <c r="E27" s="68"/>
      <c r="F27" s="69">
        <v>40</v>
      </c>
      <c r="G27" s="66"/>
      <c r="H27" s="70"/>
      <c r="I27" s="71"/>
      <c r="J27" s="71"/>
      <c r="K27" s="35" t="s">
        <v>65</v>
      </c>
      <c r="L27" s="79">
        <v>27</v>
      </c>
      <c r="M27" s="79"/>
      <c r="N27" s="73"/>
      <c r="O27" s="90" t="s">
        <v>356</v>
      </c>
      <c r="P27" s="90" t="s">
        <v>212</v>
      </c>
      <c r="Q27" s="94" t="s">
        <v>382</v>
      </c>
      <c r="R27" s="90" t="s">
        <v>248</v>
      </c>
      <c r="S27" s="90" t="s">
        <v>527</v>
      </c>
      <c r="T27" s="96" t="str">
        <f>HYPERLINK("http://www.youtube.com/channel/UCvE3AycU51EI-M1VKvfL2QA")</f>
        <v>http://www.youtube.com/channel/UCvE3AycU51EI-M1VKvfL2QA</v>
      </c>
      <c r="U27" s="90"/>
      <c r="V27" s="90" t="s">
        <v>650</v>
      </c>
      <c r="W27" s="96" t="str">
        <f>HYPERLINK("https://www.youtube.com/watch?v=uGHwpg-fJvc")</f>
        <v>https://www.youtube.com/watch?v=uGHwpg-fJvc</v>
      </c>
      <c r="X27" s="90" t="s">
        <v>656</v>
      </c>
      <c r="Y27" s="90">
        <v>1</v>
      </c>
      <c r="Z27" s="99">
        <v>44251.671064814815</v>
      </c>
      <c r="AA27" s="99">
        <v>44251.671064814815</v>
      </c>
      <c r="AB27" s="90"/>
      <c r="AC27" s="90"/>
      <c r="AD27" s="94" t="s">
        <v>666</v>
      </c>
      <c r="AE27" s="92">
        <v>1</v>
      </c>
      <c r="AF27" s="93" t="str">
        <f>REPLACE(INDEX(GroupVertices[Group],MATCH(Edges[[#This Row],[Vertex 1]],GroupVertices[Vertex],0)),1,1,"")</f>
        <v>3</v>
      </c>
      <c r="AG27" s="93" t="str">
        <f>REPLACE(INDEX(GroupVertices[Group],MATCH(Edges[[#This Row],[Vertex 2]],GroupVertices[Vertex],0)),1,1,"")</f>
        <v>3</v>
      </c>
      <c r="AH27" s="127">
        <v>1</v>
      </c>
      <c r="AI27" s="128">
        <v>50</v>
      </c>
      <c r="AJ27" s="127">
        <v>0</v>
      </c>
      <c r="AK27" s="128">
        <v>0</v>
      </c>
      <c r="AL27" s="127">
        <v>0</v>
      </c>
      <c r="AM27" s="128">
        <v>0</v>
      </c>
      <c r="AN27" s="127">
        <v>1</v>
      </c>
      <c r="AO27" s="128">
        <v>50</v>
      </c>
      <c r="AP27" s="127">
        <v>2</v>
      </c>
    </row>
    <row r="28" spans="1:42" ht="15">
      <c r="A28" s="65" t="s">
        <v>249</v>
      </c>
      <c r="B28" s="65" t="s">
        <v>350</v>
      </c>
      <c r="C28" s="66" t="s">
        <v>1220</v>
      </c>
      <c r="D28" s="67">
        <v>3</v>
      </c>
      <c r="E28" s="68"/>
      <c r="F28" s="69">
        <v>40</v>
      </c>
      <c r="G28" s="66"/>
      <c r="H28" s="70"/>
      <c r="I28" s="71"/>
      <c r="J28" s="71"/>
      <c r="K28" s="35" t="s">
        <v>65</v>
      </c>
      <c r="L28" s="79">
        <v>28</v>
      </c>
      <c r="M28" s="79"/>
      <c r="N28" s="73"/>
      <c r="O28" s="90" t="s">
        <v>356</v>
      </c>
      <c r="P28" s="90" t="s">
        <v>212</v>
      </c>
      <c r="Q28" s="94" t="s">
        <v>383</v>
      </c>
      <c r="R28" s="90" t="s">
        <v>249</v>
      </c>
      <c r="S28" s="90" t="s">
        <v>528</v>
      </c>
      <c r="T28" s="96" t="str">
        <f>HYPERLINK("http://www.youtube.com/channel/UCAjsfSZRjfSov7JeArnUf4Q")</f>
        <v>http://www.youtube.com/channel/UCAjsfSZRjfSov7JeArnUf4Q</v>
      </c>
      <c r="U28" s="90"/>
      <c r="V28" s="90" t="s">
        <v>650</v>
      </c>
      <c r="W28" s="96" t="str">
        <f>HYPERLINK("https://www.youtube.com/watch?v=uGHwpg-fJvc")</f>
        <v>https://www.youtube.com/watch?v=uGHwpg-fJvc</v>
      </c>
      <c r="X28" s="90" t="s">
        <v>656</v>
      </c>
      <c r="Y28" s="90">
        <v>0</v>
      </c>
      <c r="Z28" s="99">
        <v>44258.3825462963</v>
      </c>
      <c r="AA28" s="99">
        <v>44258.3825462963</v>
      </c>
      <c r="AB28" s="90"/>
      <c r="AC28" s="90"/>
      <c r="AD28" s="94" t="s">
        <v>666</v>
      </c>
      <c r="AE28" s="92">
        <v>1</v>
      </c>
      <c r="AF28" s="93" t="str">
        <f>REPLACE(INDEX(GroupVertices[Group],MATCH(Edges[[#This Row],[Vertex 1]],GroupVertices[Vertex],0)),1,1,"")</f>
        <v>3</v>
      </c>
      <c r="AG28" s="93" t="str">
        <f>REPLACE(INDEX(GroupVertices[Group],MATCH(Edges[[#This Row],[Vertex 2]],GroupVertices[Vertex],0)),1,1,"")</f>
        <v>3</v>
      </c>
      <c r="AH28" s="127">
        <v>0</v>
      </c>
      <c r="AI28" s="128">
        <v>0</v>
      </c>
      <c r="AJ28" s="127">
        <v>0</v>
      </c>
      <c r="AK28" s="128">
        <v>0</v>
      </c>
      <c r="AL28" s="127">
        <v>0</v>
      </c>
      <c r="AM28" s="128">
        <v>0</v>
      </c>
      <c r="AN28" s="127">
        <v>1</v>
      </c>
      <c r="AO28" s="128">
        <v>100</v>
      </c>
      <c r="AP28" s="127">
        <v>1</v>
      </c>
    </row>
    <row r="29" spans="1:42" ht="15">
      <c r="A29" s="65" t="s">
        <v>250</v>
      </c>
      <c r="B29" s="65" t="s">
        <v>350</v>
      </c>
      <c r="C29" s="66" t="s">
        <v>1220</v>
      </c>
      <c r="D29" s="67">
        <v>3</v>
      </c>
      <c r="E29" s="68"/>
      <c r="F29" s="69">
        <v>40</v>
      </c>
      <c r="G29" s="66"/>
      <c r="H29" s="70"/>
      <c r="I29" s="71"/>
      <c r="J29" s="71"/>
      <c r="K29" s="35" t="s">
        <v>65</v>
      </c>
      <c r="L29" s="79">
        <v>29</v>
      </c>
      <c r="M29" s="79"/>
      <c r="N29" s="73"/>
      <c r="O29" s="90" t="s">
        <v>356</v>
      </c>
      <c r="P29" s="90" t="s">
        <v>212</v>
      </c>
      <c r="Q29" s="94" t="s">
        <v>384</v>
      </c>
      <c r="R29" s="90" t="s">
        <v>250</v>
      </c>
      <c r="S29" s="90" t="s">
        <v>529</v>
      </c>
      <c r="T29" s="96" t="str">
        <f>HYPERLINK("http://www.youtube.com/channel/UCHprdtYyCzc5-fcSNXCUd7A")</f>
        <v>http://www.youtube.com/channel/UCHprdtYyCzc5-fcSNXCUd7A</v>
      </c>
      <c r="U29" s="90"/>
      <c r="V29" s="90" t="s">
        <v>650</v>
      </c>
      <c r="W29" s="96" t="str">
        <f>HYPERLINK("https://www.youtube.com/watch?v=uGHwpg-fJvc")</f>
        <v>https://www.youtube.com/watch?v=uGHwpg-fJvc</v>
      </c>
      <c r="X29" s="90" t="s">
        <v>656</v>
      </c>
      <c r="Y29" s="90">
        <v>0</v>
      </c>
      <c r="Z29" s="99">
        <v>44313.65775462963</v>
      </c>
      <c r="AA29" s="99">
        <v>44313.65775462963</v>
      </c>
      <c r="AB29" s="90"/>
      <c r="AC29" s="90"/>
      <c r="AD29" s="94" t="s">
        <v>666</v>
      </c>
      <c r="AE29" s="92">
        <v>1</v>
      </c>
      <c r="AF29" s="93" t="str">
        <f>REPLACE(INDEX(GroupVertices[Group],MATCH(Edges[[#This Row],[Vertex 1]],GroupVertices[Vertex],0)),1,1,"")</f>
        <v>3</v>
      </c>
      <c r="AG29" s="93" t="str">
        <f>REPLACE(INDEX(GroupVertices[Group],MATCH(Edges[[#This Row],[Vertex 2]],GroupVertices[Vertex],0)),1,1,"")</f>
        <v>3</v>
      </c>
      <c r="AH29" s="127">
        <v>2</v>
      </c>
      <c r="AI29" s="128">
        <v>9.523809523809524</v>
      </c>
      <c r="AJ29" s="127">
        <v>0</v>
      </c>
      <c r="AK29" s="128">
        <v>0</v>
      </c>
      <c r="AL29" s="127">
        <v>0</v>
      </c>
      <c r="AM29" s="128">
        <v>0</v>
      </c>
      <c r="AN29" s="127">
        <v>19</v>
      </c>
      <c r="AO29" s="128">
        <v>90.47619047619048</v>
      </c>
      <c r="AP29" s="127">
        <v>21</v>
      </c>
    </row>
    <row r="30" spans="1:42" ht="15">
      <c r="A30" s="65" t="s">
        <v>251</v>
      </c>
      <c r="B30" s="65" t="s">
        <v>350</v>
      </c>
      <c r="C30" s="66" t="s">
        <v>1220</v>
      </c>
      <c r="D30" s="67">
        <v>3</v>
      </c>
      <c r="E30" s="68"/>
      <c r="F30" s="69">
        <v>40</v>
      </c>
      <c r="G30" s="66"/>
      <c r="H30" s="70"/>
      <c r="I30" s="71"/>
      <c r="J30" s="71"/>
      <c r="K30" s="35" t="s">
        <v>65</v>
      </c>
      <c r="L30" s="79">
        <v>30</v>
      </c>
      <c r="M30" s="79"/>
      <c r="N30" s="73"/>
      <c r="O30" s="90" t="s">
        <v>356</v>
      </c>
      <c r="P30" s="90" t="s">
        <v>212</v>
      </c>
      <c r="Q30" s="94" t="s">
        <v>385</v>
      </c>
      <c r="R30" s="90" t="s">
        <v>251</v>
      </c>
      <c r="S30" s="90" t="s">
        <v>530</v>
      </c>
      <c r="T30" s="96" t="str">
        <f>HYPERLINK("http://www.youtube.com/channel/UCHwSZKulthy0a03ykIPVEOQ")</f>
        <v>http://www.youtube.com/channel/UCHwSZKulthy0a03ykIPVEOQ</v>
      </c>
      <c r="U30" s="90"/>
      <c r="V30" s="90" t="s">
        <v>650</v>
      </c>
      <c r="W30" s="96" t="str">
        <f>HYPERLINK("https://www.youtube.com/watch?v=uGHwpg-fJvc")</f>
        <v>https://www.youtube.com/watch?v=uGHwpg-fJvc</v>
      </c>
      <c r="X30" s="90" t="s">
        <v>656</v>
      </c>
      <c r="Y30" s="90">
        <v>0</v>
      </c>
      <c r="Z30" s="99">
        <v>44319.11537037037</v>
      </c>
      <c r="AA30" s="99">
        <v>44319.11537037037</v>
      </c>
      <c r="AB30" s="90"/>
      <c r="AC30" s="90"/>
      <c r="AD30" s="94" t="s">
        <v>666</v>
      </c>
      <c r="AE30" s="92">
        <v>1</v>
      </c>
      <c r="AF30" s="93" t="str">
        <f>REPLACE(INDEX(GroupVertices[Group],MATCH(Edges[[#This Row],[Vertex 1]],GroupVertices[Vertex],0)),1,1,"")</f>
        <v>3</v>
      </c>
      <c r="AG30" s="93" t="str">
        <f>REPLACE(INDEX(GroupVertices[Group],MATCH(Edges[[#This Row],[Vertex 2]],GroupVertices[Vertex],0)),1,1,"")</f>
        <v>3</v>
      </c>
      <c r="AH30" s="127">
        <v>1</v>
      </c>
      <c r="AI30" s="128">
        <v>20</v>
      </c>
      <c r="AJ30" s="127">
        <v>0</v>
      </c>
      <c r="AK30" s="128">
        <v>0</v>
      </c>
      <c r="AL30" s="127">
        <v>0</v>
      </c>
      <c r="AM30" s="128">
        <v>0</v>
      </c>
      <c r="AN30" s="127">
        <v>4</v>
      </c>
      <c r="AO30" s="128">
        <v>80</v>
      </c>
      <c r="AP30" s="127">
        <v>5</v>
      </c>
    </row>
    <row r="31" spans="1:42" ht="15">
      <c r="A31" s="65" t="s">
        <v>252</v>
      </c>
      <c r="B31" s="65" t="s">
        <v>350</v>
      </c>
      <c r="C31" s="66" t="s">
        <v>1220</v>
      </c>
      <c r="D31" s="67">
        <v>3</v>
      </c>
      <c r="E31" s="68"/>
      <c r="F31" s="69">
        <v>40</v>
      </c>
      <c r="G31" s="66"/>
      <c r="H31" s="70"/>
      <c r="I31" s="71"/>
      <c r="J31" s="71"/>
      <c r="K31" s="35" t="s">
        <v>65</v>
      </c>
      <c r="L31" s="79">
        <v>31</v>
      </c>
      <c r="M31" s="79"/>
      <c r="N31" s="73"/>
      <c r="O31" s="90" t="s">
        <v>356</v>
      </c>
      <c r="P31" s="90" t="s">
        <v>212</v>
      </c>
      <c r="Q31" s="94" t="s">
        <v>386</v>
      </c>
      <c r="R31" s="90" t="s">
        <v>252</v>
      </c>
      <c r="S31" s="90" t="s">
        <v>531</v>
      </c>
      <c r="T31" s="96" t="str">
        <f>HYPERLINK("http://www.youtube.com/channel/UCX49f7UWiH1B6rW18m9Rhlw")</f>
        <v>http://www.youtube.com/channel/UCX49f7UWiH1B6rW18m9Rhlw</v>
      </c>
      <c r="U31" s="90"/>
      <c r="V31" s="90" t="s">
        <v>650</v>
      </c>
      <c r="W31" s="96" t="str">
        <f>HYPERLINK("https://www.youtube.com/watch?v=uGHwpg-fJvc")</f>
        <v>https://www.youtube.com/watch?v=uGHwpg-fJvc</v>
      </c>
      <c r="X31" s="90" t="s">
        <v>656</v>
      </c>
      <c r="Y31" s="90">
        <v>0</v>
      </c>
      <c r="Z31" s="99">
        <v>44356.44803240741</v>
      </c>
      <c r="AA31" s="99">
        <v>44356.44803240741</v>
      </c>
      <c r="AB31" s="90"/>
      <c r="AC31" s="90"/>
      <c r="AD31" s="94" t="s">
        <v>666</v>
      </c>
      <c r="AE31" s="92">
        <v>1</v>
      </c>
      <c r="AF31" s="93" t="str">
        <f>REPLACE(INDEX(GroupVertices[Group],MATCH(Edges[[#This Row],[Vertex 1]],GroupVertices[Vertex],0)),1,1,"")</f>
        <v>3</v>
      </c>
      <c r="AG31" s="93" t="str">
        <f>REPLACE(INDEX(GroupVertices[Group],MATCH(Edges[[#This Row],[Vertex 2]],GroupVertices[Vertex],0)),1,1,"")</f>
        <v>3</v>
      </c>
      <c r="AH31" s="127">
        <v>2</v>
      </c>
      <c r="AI31" s="128">
        <v>8.695652173913043</v>
      </c>
      <c r="AJ31" s="127">
        <v>1</v>
      </c>
      <c r="AK31" s="128">
        <v>4.3478260869565215</v>
      </c>
      <c r="AL31" s="127">
        <v>0</v>
      </c>
      <c r="AM31" s="128">
        <v>0</v>
      </c>
      <c r="AN31" s="127">
        <v>20</v>
      </c>
      <c r="AO31" s="128">
        <v>86.95652173913044</v>
      </c>
      <c r="AP31" s="127">
        <v>23</v>
      </c>
    </row>
    <row r="32" spans="1:42" ht="15">
      <c r="A32" s="65" t="s">
        <v>253</v>
      </c>
      <c r="B32" s="65" t="s">
        <v>350</v>
      </c>
      <c r="C32" s="66" t="s">
        <v>1220</v>
      </c>
      <c r="D32" s="67">
        <v>3</v>
      </c>
      <c r="E32" s="68"/>
      <c r="F32" s="69">
        <v>40</v>
      </c>
      <c r="G32" s="66"/>
      <c r="H32" s="70"/>
      <c r="I32" s="71"/>
      <c r="J32" s="71"/>
      <c r="K32" s="35" t="s">
        <v>65</v>
      </c>
      <c r="L32" s="79">
        <v>32</v>
      </c>
      <c r="M32" s="79"/>
      <c r="N32" s="73"/>
      <c r="O32" s="90" t="s">
        <v>356</v>
      </c>
      <c r="P32" s="90" t="s">
        <v>212</v>
      </c>
      <c r="Q32" s="94" t="s">
        <v>387</v>
      </c>
      <c r="R32" s="90" t="s">
        <v>253</v>
      </c>
      <c r="S32" s="90" t="s">
        <v>532</v>
      </c>
      <c r="T32" s="96" t="str">
        <f>HYPERLINK("http://www.youtube.com/channel/UCemdRq8VR5OiophHxaKdFfA")</f>
        <v>http://www.youtube.com/channel/UCemdRq8VR5OiophHxaKdFfA</v>
      </c>
      <c r="U32" s="90"/>
      <c r="V32" s="90" t="s">
        <v>651</v>
      </c>
      <c r="W32" s="96" t="str">
        <f>HYPERLINK("https://www.youtube.com/watch?v=lruYVSGcxHs")</f>
        <v>https://www.youtube.com/watch?v=lruYVSGcxHs</v>
      </c>
      <c r="X32" s="90" t="s">
        <v>656</v>
      </c>
      <c r="Y32" s="90">
        <v>0</v>
      </c>
      <c r="Z32" s="99">
        <v>43564.56423611111</v>
      </c>
      <c r="AA32" s="99">
        <v>43564.56423611111</v>
      </c>
      <c r="AB32" s="90"/>
      <c r="AC32" s="90"/>
      <c r="AD32" s="94" t="s">
        <v>666</v>
      </c>
      <c r="AE32" s="92">
        <v>1</v>
      </c>
      <c r="AF32" s="93" t="str">
        <f>REPLACE(INDEX(GroupVertices[Group],MATCH(Edges[[#This Row],[Vertex 1]],GroupVertices[Vertex],0)),1,1,"")</f>
        <v>3</v>
      </c>
      <c r="AG32" s="93" t="str">
        <f>REPLACE(INDEX(GroupVertices[Group],MATCH(Edges[[#This Row],[Vertex 2]],GroupVertices[Vertex],0)),1,1,"")</f>
        <v>3</v>
      </c>
      <c r="AH32" s="127">
        <v>2</v>
      </c>
      <c r="AI32" s="128">
        <v>20</v>
      </c>
      <c r="AJ32" s="127">
        <v>0</v>
      </c>
      <c r="AK32" s="128">
        <v>0</v>
      </c>
      <c r="AL32" s="127">
        <v>0</v>
      </c>
      <c r="AM32" s="128">
        <v>0</v>
      </c>
      <c r="AN32" s="127">
        <v>8</v>
      </c>
      <c r="AO32" s="128">
        <v>80</v>
      </c>
      <c r="AP32" s="127">
        <v>10</v>
      </c>
    </row>
    <row r="33" spans="1:42" ht="15">
      <c r="A33" s="65" t="s">
        <v>254</v>
      </c>
      <c r="B33" s="65" t="s">
        <v>350</v>
      </c>
      <c r="C33" s="66" t="s">
        <v>1220</v>
      </c>
      <c r="D33" s="67">
        <v>3</v>
      </c>
      <c r="E33" s="68"/>
      <c r="F33" s="69">
        <v>40</v>
      </c>
      <c r="G33" s="66"/>
      <c r="H33" s="70"/>
      <c r="I33" s="71"/>
      <c r="J33" s="71"/>
      <c r="K33" s="35" t="s">
        <v>65</v>
      </c>
      <c r="L33" s="79">
        <v>33</v>
      </c>
      <c r="M33" s="79"/>
      <c r="N33" s="73"/>
      <c r="O33" s="90" t="s">
        <v>356</v>
      </c>
      <c r="P33" s="90" t="s">
        <v>212</v>
      </c>
      <c r="Q33" s="94" t="s">
        <v>388</v>
      </c>
      <c r="R33" s="90" t="s">
        <v>254</v>
      </c>
      <c r="S33" s="90" t="s">
        <v>533</v>
      </c>
      <c r="T33" s="96" t="str">
        <f>HYPERLINK("http://www.youtube.com/channel/UChq4mVpPVEDxRxXtT-rBX1w")</f>
        <v>http://www.youtube.com/channel/UChq4mVpPVEDxRxXtT-rBX1w</v>
      </c>
      <c r="U33" s="90"/>
      <c r="V33" s="90" t="s">
        <v>651</v>
      </c>
      <c r="W33" s="96" t="str">
        <f>HYPERLINK("https://www.youtube.com/watch?v=lruYVSGcxHs")</f>
        <v>https://www.youtube.com/watch?v=lruYVSGcxHs</v>
      </c>
      <c r="X33" s="90" t="s">
        <v>656</v>
      </c>
      <c r="Y33" s="90">
        <v>0</v>
      </c>
      <c r="Z33" s="99">
        <v>43632.6099537037</v>
      </c>
      <c r="AA33" s="99">
        <v>43632.6099537037</v>
      </c>
      <c r="AB33" s="90"/>
      <c r="AC33" s="90"/>
      <c r="AD33" s="94" t="s">
        <v>666</v>
      </c>
      <c r="AE33" s="92">
        <v>1</v>
      </c>
      <c r="AF33" s="93" t="str">
        <f>REPLACE(INDEX(GroupVertices[Group],MATCH(Edges[[#This Row],[Vertex 1]],GroupVertices[Vertex],0)),1,1,"")</f>
        <v>3</v>
      </c>
      <c r="AG33" s="93" t="str">
        <f>REPLACE(INDEX(GroupVertices[Group],MATCH(Edges[[#This Row],[Vertex 2]],GroupVertices[Vertex],0)),1,1,"")</f>
        <v>3</v>
      </c>
      <c r="AH33" s="127">
        <v>0</v>
      </c>
      <c r="AI33" s="128">
        <v>0</v>
      </c>
      <c r="AJ33" s="127">
        <v>0</v>
      </c>
      <c r="AK33" s="128">
        <v>0</v>
      </c>
      <c r="AL33" s="127">
        <v>0</v>
      </c>
      <c r="AM33" s="128">
        <v>0</v>
      </c>
      <c r="AN33" s="127">
        <v>1</v>
      </c>
      <c r="AO33" s="128">
        <v>100</v>
      </c>
      <c r="AP33" s="127">
        <v>1</v>
      </c>
    </row>
    <row r="34" spans="1:42" ht="15">
      <c r="A34" s="65" t="s">
        <v>255</v>
      </c>
      <c r="B34" s="65" t="s">
        <v>350</v>
      </c>
      <c r="C34" s="66" t="s">
        <v>1220</v>
      </c>
      <c r="D34" s="67">
        <v>3</v>
      </c>
      <c r="E34" s="68"/>
      <c r="F34" s="69">
        <v>40</v>
      </c>
      <c r="G34" s="66"/>
      <c r="H34" s="70"/>
      <c r="I34" s="71"/>
      <c r="J34" s="71"/>
      <c r="K34" s="35" t="s">
        <v>65</v>
      </c>
      <c r="L34" s="79">
        <v>34</v>
      </c>
      <c r="M34" s="79"/>
      <c r="N34" s="73"/>
      <c r="O34" s="90" t="s">
        <v>356</v>
      </c>
      <c r="P34" s="90" t="s">
        <v>212</v>
      </c>
      <c r="Q34" s="94" t="s">
        <v>389</v>
      </c>
      <c r="R34" s="90" t="s">
        <v>255</v>
      </c>
      <c r="S34" s="90" t="s">
        <v>534</v>
      </c>
      <c r="T34" s="96" t="str">
        <f>HYPERLINK("http://www.youtube.com/channel/UCQ2Lgfym1M6v50JEm5P7uJw")</f>
        <v>http://www.youtube.com/channel/UCQ2Lgfym1M6v50JEm5P7uJw</v>
      </c>
      <c r="U34" s="90"/>
      <c r="V34" s="90" t="s">
        <v>651</v>
      </c>
      <c r="W34" s="96" t="str">
        <f>HYPERLINK("https://www.youtube.com/watch?v=lruYVSGcxHs")</f>
        <v>https://www.youtube.com/watch?v=lruYVSGcxHs</v>
      </c>
      <c r="X34" s="90" t="s">
        <v>656</v>
      </c>
      <c r="Y34" s="90">
        <v>0</v>
      </c>
      <c r="Z34" s="99">
        <v>43805.66984953704</v>
      </c>
      <c r="AA34" s="99">
        <v>43805.66984953704</v>
      </c>
      <c r="AB34" s="90"/>
      <c r="AC34" s="90"/>
      <c r="AD34" s="94" t="s">
        <v>666</v>
      </c>
      <c r="AE34" s="92">
        <v>1</v>
      </c>
      <c r="AF34" s="93" t="str">
        <f>REPLACE(INDEX(GroupVertices[Group],MATCH(Edges[[#This Row],[Vertex 1]],GroupVertices[Vertex],0)),1,1,"")</f>
        <v>3</v>
      </c>
      <c r="AG34" s="93" t="str">
        <f>REPLACE(INDEX(GroupVertices[Group],MATCH(Edges[[#This Row],[Vertex 2]],GroupVertices[Vertex],0)),1,1,"")</f>
        <v>3</v>
      </c>
      <c r="AH34" s="127">
        <v>3</v>
      </c>
      <c r="AI34" s="128">
        <v>60</v>
      </c>
      <c r="AJ34" s="127">
        <v>0</v>
      </c>
      <c r="AK34" s="128">
        <v>0</v>
      </c>
      <c r="AL34" s="127">
        <v>0</v>
      </c>
      <c r="AM34" s="128">
        <v>0</v>
      </c>
      <c r="AN34" s="127">
        <v>2</v>
      </c>
      <c r="AO34" s="128">
        <v>40</v>
      </c>
      <c r="AP34" s="127">
        <v>5</v>
      </c>
    </row>
    <row r="35" spans="1:42" ht="15">
      <c r="A35" s="65" t="s">
        <v>256</v>
      </c>
      <c r="B35" s="65" t="s">
        <v>350</v>
      </c>
      <c r="C35" s="66" t="s">
        <v>1220</v>
      </c>
      <c r="D35" s="67">
        <v>3</v>
      </c>
      <c r="E35" s="68"/>
      <c r="F35" s="69">
        <v>40</v>
      </c>
      <c r="G35" s="66"/>
      <c r="H35" s="70"/>
      <c r="I35" s="71"/>
      <c r="J35" s="71"/>
      <c r="K35" s="35" t="s">
        <v>65</v>
      </c>
      <c r="L35" s="79">
        <v>35</v>
      </c>
      <c r="M35" s="79"/>
      <c r="N35" s="73"/>
      <c r="O35" s="90" t="s">
        <v>356</v>
      </c>
      <c r="P35" s="90" t="s">
        <v>212</v>
      </c>
      <c r="Q35" s="94" t="s">
        <v>390</v>
      </c>
      <c r="R35" s="90" t="s">
        <v>256</v>
      </c>
      <c r="S35" s="90" t="s">
        <v>535</v>
      </c>
      <c r="T35" s="96" t="str">
        <f>HYPERLINK("http://www.youtube.com/channel/UCS0bq3n9kirVOTorva8UKJg")</f>
        <v>http://www.youtube.com/channel/UCS0bq3n9kirVOTorva8UKJg</v>
      </c>
      <c r="U35" s="90"/>
      <c r="V35" s="90" t="s">
        <v>651</v>
      </c>
      <c r="W35" s="96" t="str">
        <f>HYPERLINK("https://www.youtube.com/watch?v=lruYVSGcxHs")</f>
        <v>https://www.youtube.com/watch?v=lruYVSGcxHs</v>
      </c>
      <c r="X35" s="90" t="s">
        <v>656</v>
      </c>
      <c r="Y35" s="90">
        <v>0</v>
      </c>
      <c r="Z35" s="99">
        <v>44314.16782407407</v>
      </c>
      <c r="AA35" s="99">
        <v>44314.16782407407</v>
      </c>
      <c r="AB35" s="90"/>
      <c r="AC35" s="90"/>
      <c r="AD35" s="94" t="s">
        <v>666</v>
      </c>
      <c r="AE35" s="92">
        <v>1</v>
      </c>
      <c r="AF35" s="93" t="str">
        <f>REPLACE(INDEX(GroupVertices[Group],MATCH(Edges[[#This Row],[Vertex 1]],GroupVertices[Vertex],0)),1,1,"")</f>
        <v>3</v>
      </c>
      <c r="AG35" s="93" t="str">
        <f>REPLACE(INDEX(GroupVertices[Group],MATCH(Edges[[#This Row],[Vertex 2]],GroupVertices[Vertex],0)),1,1,"")</f>
        <v>3</v>
      </c>
      <c r="AH35" s="127">
        <v>0</v>
      </c>
      <c r="AI35" s="128">
        <v>0</v>
      </c>
      <c r="AJ35" s="127">
        <v>0</v>
      </c>
      <c r="AK35" s="128">
        <v>0</v>
      </c>
      <c r="AL35" s="127">
        <v>0</v>
      </c>
      <c r="AM35" s="128">
        <v>0</v>
      </c>
      <c r="AN35" s="127">
        <v>1</v>
      </c>
      <c r="AO35" s="128">
        <v>100</v>
      </c>
      <c r="AP35" s="127">
        <v>1</v>
      </c>
    </row>
    <row r="36" spans="1:42" ht="15">
      <c r="A36" s="65" t="s">
        <v>257</v>
      </c>
      <c r="B36" s="65" t="s">
        <v>260</v>
      </c>
      <c r="C36" s="66" t="s">
        <v>1220</v>
      </c>
      <c r="D36" s="67">
        <v>3</v>
      </c>
      <c r="E36" s="68"/>
      <c r="F36" s="69">
        <v>40</v>
      </c>
      <c r="G36" s="66"/>
      <c r="H36" s="70"/>
      <c r="I36" s="71"/>
      <c r="J36" s="71"/>
      <c r="K36" s="35" t="s">
        <v>65</v>
      </c>
      <c r="L36" s="79">
        <v>36</v>
      </c>
      <c r="M36" s="79"/>
      <c r="N36" s="73"/>
      <c r="O36" s="90" t="s">
        <v>355</v>
      </c>
      <c r="P36" s="90" t="s">
        <v>358</v>
      </c>
      <c r="Q36" s="94" t="s">
        <v>391</v>
      </c>
      <c r="R36" s="90" t="s">
        <v>257</v>
      </c>
      <c r="S36" s="90" t="s">
        <v>536</v>
      </c>
      <c r="T36" s="96" t="str">
        <f>HYPERLINK("http://www.youtube.com/channel/UCXoIkjZ6kQ_h-NIKNxbOseg")</f>
        <v>http://www.youtube.com/channel/UCXoIkjZ6kQ_h-NIKNxbOseg</v>
      </c>
      <c r="U36" s="90" t="s">
        <v>632</v>
      </c>
      <c r="V36" s="90" t="s">
        <v>652</v>
      </c>
      <c r="W36" s="96" t="str">
        <f>HYPERLINK("https://www.youtube.com/watch?v=fK1_SH3X2ek")</f>
        <v>https://www.youtube.com/watch?v=fK1_SH3X2ek</v>
      </c>
      <c r="X36" s="90" t="s">
        <v>656</v>
      </c>
      <c r="Y36" s="90">
        <v>0</v>
      </c>
      <c r="Z36" s="99">
        <v>43972.30842592593</v>
      </c>
      <c r="AA36" s="99">
        <v>43972.30842592593</v>
      </c>
      <c r="AB36" s="90"/>
      <c r="AC36" s="90"/>
      <c r="AD36" s="94" t="s">
        <v>666</v>
      </c>
      <c r="AE36" s="92">
        <v>1</v>
      </c>
      <c r="AF36" s="93" t="str">
        <f>REPLACE(INDEX(GroupVertices[Group],MATCH(Edges[[#This Row],[Vertex 1]],GroupVertices[Vertex],0)),1,1,"")</f>
        <v>1</v>
      </c>
      <c r="AG36" s="93" t="str">
        <f>REPLACE(INDEX(GroupVertices[Group],MATCH(Edges[[#This Row],[Vertex 2]],GroupVertices[Vertex],0)),1,1,"")</f>
        <v>1</v>
      </c>
      <c r="AH36" s="127">
        <v>0</v>
      </c>
      <c r="AI36" s="128">
        <v>0</v>
      </c>
      <c r="AJ36" s="127">
        <v>0</v>
      </c>
      <c r="AK36" s="128">
        <v>0</v>
      </c>
      <c r="AL36" s="127">
        <v>0</v>
      </c>
      <c r="AM36" s="128">
        <v>0</v>
      </c>
      <c r="AN36" s="127">
        <v>1</v>
      </c>
      <c r="AO36" s="128">
        <v>100</v>
      </c>
      <c r="AP36" s="127">
        <v>1</v>
      </c>
    </row>
    <row r="37" spans="1:42" ht="15">
      <c r="A37" s="65" t="s">
        <v>258</v>
      </c>
      <c r="B37" s="65" t="s">
        <v>260</v>
      </c>
      <c r="C37" s="66" t="s">
        <v>1220</v>
      </c>
      <c r="D37" s="67">
        <v>3</v>
      </c>
      <c r="E37" s="68"/>
      <c r="F37" s="69">
        <v>40</v>
      </c>
      <c r="G37" s="66"/>
      <c r="H37" s="70"/>
      <c r="I37" s="71"/>
      <c r="J37" s="71"/>
      <c r="K37" s="35" t="s">
        <v>65</v>
      </c>
      <c r="L37" s="79">
        <v>37</v>
      </c>
      <c r="M37" s="79"/>
      <c r="N37" s="73"/>
      <c r="O37" s="90" t="s">
        <v>355</v>
      </c>
      <c r="P37" s="90" t="s">
        <v>358</v>
      </c>
      <c r="Q37" s="94" t="s">
        <v>392</v>
      </c>
      <c r="R37" s="90" t="s">
        <v>258</v>
      </c>
      <c r="S37" s="90" t="s">
        <v>537</v>
      </c>
      <c r="T37" s="96" t="str">
        <f>HYPERLINK("http://www.youtube.com/channel/UCWKJSLASMS7LgiWB0B3U3VA")</f>
        <v>http://www.youtube.com/channel/UCWKJSLASMS7LgiWB0B3U3VA</v>
      </c>
      <c r="U37" s="90" t="s">
        <v>632</v>
      </c>
      <c r="V37" s="90" t="s">
        <v>652</v>
      </c>
      <c r="W37" s="96" t="str">
        <f>HYPERLINK("https://www.youtube.com/watch?v=fK1_SH3X2ek")</f>
        <v>https://www.youtube.com/watch?v=fK1_SH3X2ek</v>
      </c>
      <c r="X37" s="90" t="s">
        <v>656</v>
      </c>
      <c r="Y37" s="90">
        <v>0</v>
      </c>
      <c r="Z37" s="99">
        <v>42852.03380787037</v>
      </c>
      <c r="AA37" s="99">
        <v>42852.03380787037</v>
      </c>
      <c r="AB37" s="90"/>
      <c r="AC37" s="90"/>
      <c r="AD37" s="94" t="s">
        <v>666</v>
      </c>
      <c r="AE37" s="92">
        <v>1</v>
      </c>
      <c r="AF37" s="93" t="str">
        <f>REPLACE(INDEX(GroupVertices[Group],MATCH(Edges[[#This Row],[Vertex 1]],GroupVertices[Vertex],0)),1,1,"")</f>
        <v>1</v>
      </c>
      <c r="AG37" s="93" t="str">
        <f>REPLACE(INDEX(GroupVertices[Group],MATCH(Edges[[#This Row],[Vertex 2]],GroupVertices[Vertex],0)),1,1,"")</f>
        <v>1</v>
      </c>
      <c r="AH37" s="127">
        <v>1</v>
      </c>
      <c r="AI37" s="128">
        <v>14.285714285714286</v>
      </c>
      <c r="AJ37" s="127">
        <v>0</v>
      </c>
      <c r="AK37" s="128">
        <v>0</v>
      </c>
      <c r="AL37" s="127">
        <v>0</v>
      </c>
      <c r="AM37" s="128">
        <v>0</v>
      </c>
      <c r="AN37" s="127">
        <v>6</v>
      </c>
      <c r="AO37" s="128">
        <v>85.71428571428571</v>
      </c>
      <c r="AP37" s="127">
        <v>7</v>
      </c>
    </row>
    <row r="38" spans="1:42" ht="15">
      <c r="A38" s="65" t="s">
        <v>259</v>
      </c>
      <c r="B38" s="65" t="s">
        <v>260</v>
      </c>
      <c r="C38" s="66" t="s">
        <v>1220</v>
      </c>
      <c r="D38" s="67">
        <v>3</v>
      </c>
      <c r="E38" s="68"/>
      <c r="F38" s="69">
        <v>40</v>
      </c>
      <c r="G38" s="66"/>
      <c r="H38" s="70"/>
      <c r="I38" s="71"/>
      <c r="J38" s="71"/>
      <c r="K38" s="35" t="s">
        <v>65</v>
      </c>
      <c r="L38" s="79">
        <v>38</v>
      </c>
      <c r="M38" s="79"/>
      <c r="N38" s="73"/>
      <c r="O38" s="90" t="s">
        <v>355</v>
      </c>
      <c r="P38" s="90" t="s">
        <v>358</v>
      </c>
      <c r="Q38" s="94" t="s">
        <v>393</v>
      </c>
      <c r="R38" s="90" t="s">
        <v>259</v>
      </c>
      <c r="S38" s="90" t="s">
        <v>538</v>
      </c>
      <c r="T38" s="96" t="str">
        <f>HYPERLINK("http://www.youtube.com/channel/UCsZFWQYkG-slxqG0PSAeuDg")</f>
        <v>http://www.youtube.com/channel/UCsZFWQYkG-slxqG0PSAeuDg</v>
      </c>
      <c r="U38" s="90" t="s">
        <v>632</v>
      </c>
      <c r="V38" s="90" t="s">
        <v>652</v>
      </c>
      <c r="W38" s="96" t="str">
        <f>HYPERLINK("https://www.youtube.com/watch?v=fK1_SH3X2ek")</f>
        <v>https://www.youtube.com/watch?v=fK1_SH3X2ek</v>
      </c>
      <c r="X38" s="90" t="s">
        <v>656</v>
      </c>
      <c r="Y38" s="90">
        <v>1</v>
      </c>
      <c r="Z38" s="99">
        <v>43927.074155092596</v>
      </c>
      <c r="AA38" s="99">
        <v>43927.074155092596</v>
      </c>
      <c r="AB38" s="90" t="s">
        <v>657</v>
      </c>
      <c r="AC38" s="90" t="s">
        <v>662</v>
      </c>
      <c r="AD38" s="94" t="s">
        <v>666</v>
      </c>
      <c r="AE38" s="92">
        <v>1</v>
      </c>
      <c r="AF38" s="93" t="str">
        <f>REPLACE(INDEX(GroupVertices[Group],MATCH(Edges[[#This Row],[Vertex 1]],GroupVertices[Vertex],0)),1,1,"")</f>
        <v>1</v>
      </c>
      <c r="AG38" s="93" t="str">
        <f>REPLACE(INDEX(GroupVertices[Group],MATCH(Edges[[#This Row],[Vertex 2]],GroupVertices[Vertex],0)),1,1,"")</f>
        <v>1</v>
      </c>
      <c r="AH38" s="127">
        <v>2</v>
      </c>
      <c r="AI38" s="128">
        <v>5.555555555555555</v>
      </c>
      <c r="AJ38" s="127">
        <v>0</v>
      </c>
      <c r="AK38" s="128">
        <v>0</v>
      </c>
      <c r="AL38" s="127">
        <v>0</v>
      </c>
      <c r="AM38" s="128">
        <v>0</v>
      </c>
      <c r="AN38" s="127">
        <v>34</v>
      </c>
      <c r="AO38" s="128">
        <v>94.44444444444444</v>
      </c>
      <c r="AP38" s="127">
        <v>36</v>
      </c>
    </row>
    <row r="39" spans="1:42" ht="15">
      <c r="A39" s="65" t="s">
        <v>260</v>
      </c>
      <c r="B39" s="65" t="s">
        <v>352</v>
      </c>
      <c r="C39" s="66" t="s">
        <v>1220</v>
      </c>
      <c r="D39" s="67">
        <v>3</v>
      </c>
      <c r="E39" s="68"/>
      <c r="F39" s="69">
        <v>40</v>
      </c>
      <c r="G39" s="66"/>
      <c r="H39" s="70"/>
      <c r="I39" s="71"/>
      <c r="J39" s="71"/>
      <c r="K39" s="35" t="s">
        <v>65</v>
      </c>
      <c r="L39" s="79">
        <v>39</v>
      </c>
      <c r="M39" s="79"/>
      <c r="N39" s="73"/>
      <c r="O39" s="90" t="s">
        <v>356</v>
      </c>
      <c r="P39" s="90" t="s">
        <v>212</v>
      </c>
      <c r="Q39" s="94" t="s">
        <v>394</v>
      </c>
      <c r="R39" s="90" t="s">
        <v>260</v>
      </c>
      <c r="S39" s="90" t="s">
        <v>539</v>
      </c>
      <c r="T39" s="96" t="str">
        <f>HYPERLINK("http://www.youtube.com/channel/UCcKWKoA7pGXi1W7BUZ2xsfg")</f>
        <v>http://www.youtube.com/channel/UCcKWKoA7pGXi1W7BUZ2xsfg</v>
      </c>
      <c r="U39" s="90"/>
      <c r="V39" s="90" t="s">
        <v>652</v>
      </c>
      <c r="W39" s="96" t="str">
        <f>HYPERLINK("https://www.youtube.com/watch?v=fK1_SH3X2ek")</f>
        <v>https://www.youtube.com/watch?v=fK1_SH3X2ek</v>
      </c>
      <c r="X39" s="90" t="s">
        <v>656</v>
      </c>
      <c r="Y39" s="90">
        <v>22</v>
      </c>
      <c r="Z39" s="99">
        <v>42837.235138888886</v>
      </c>
      <c r="AA39" s="99">
        <v>42837.235138888886</v>
      </c>
      <c r="AB39" s="90"/>
      <c r="AC39" s="90"/>
      <c r="AD39" s="94" t="s">
        <v>666</v>
      </c>
      <c r="AE39" s="92">
        <v>1</v>
      </c>
      <c r="AF39" s="93" t="str">
        <f>REPLACE(INDEX(GroupVertices[Group],MATCH(Edges[[#This Row],[Vertex 1]],GroupVertices[Vertex],0)),1,1,"")</f>
        <v>1</v>
      </c>
      <c r="AG39" s="93" t="str">
        <f>REPLACE(INDEX(GroupVertices[Group],MATCH(Edges[[#This Row],[Vertex 2]],GroupVertices[Vertex],0)),1,1,"")</f>
        <v>1</v>
      </c>
      <c r="AH39" s="127">
        <v>1</v>
      </c>
      <c r="AI39" s="128">
        <v>10</v>
      </c>
      <c r="AJ39" s="127">
        <v>0</v>
      </c>
      <c r="AK39" s="128">
        <v>0</v>
      </c>
      <c r="AL39" s="127">
        <v>0</v>
      </c>
      <c r="AM39" s="128">
        <v>0</v>
      </c>
      <c r="AN39" s="127">
        <v>9</v>
      </c>
      <c r="AO39" s="128">
        <v>90</v>
      </c>
      <c r="AP39" s="127">
        <v>10</v>
      </c>
    </row>
    <row r="40" spans="1:42" ht="15">
      <c r="A40" s="65" t="s">
        <v>258</v>
      </c>
      <c r="B40" s="65" t="s">
        <v>261</v>
      </c>
      <c r="C40" s="66" t="s">
        <v>1220</v>
      </c>
      <c r="D40" s="67">
        <v>3</v>
      </c>
      <c r="E40" s="68"/>
      <c r="F40" s="69">
        <v>40</v>
      </c>
      <c r="G40" s="66"/>
      <c r="H40" s="70"/>
      <c r="I40" s="71"/>
      <c r="J40" s="71"/>
      <c r="K40" s="35" t="s">
        <v>65</v>
      </c>
      <c r="L40" s="79">
        <v>40</v>
      </c>
      <c r="M40" s="79"/>
      <c r="N40" s="73"/>
      <c r="O40" s="90" t="s">
        <v>355</v>
      </c>
      <c r="P40" s="90" t="s">
        <v>358</v>
      </c>
      <c r="Q40" s="94" t="s">
        <v>395</v>
      </c>
      <c r="R40" s="90" t="s">
        <v>258</v>
      </c>
      <c r="S40" s="90" t="s">
        <v>537</v>
      </c>
      <c r="T40" s="96" t="str">
        <f>HYPERLINK("http://www.youtube.com/channel/UCWKJSLASMS7LgiWB0B3U3VA")</f>
        <v>http://www.youtube.com/channel/UCWKJSLASMS7LgiWB0B3U3VA</v>
      </c>
      <c r="U40" s="90" t="s">
        <v>633</v>
      </c>
      <c r="V40" s="90" t="s">
        <v>652</v>
      </c>
      <c r="W40" s="96" t="str">
        <f>HYPERLINK("https://www.youtube.com/watch?v=fK1_SH3X2ek")</f>
        <v>https://www.youtube.com/watch?v=fK1_SH3X2ek</v>
      </c>
      <c r="X40" s="90" t="s">
        <v>656</v>
      </c>
      <c r="Y40" s="90">
        <v>1</v>
      </c>
      <c r="Z40" s="99">
        <v>43118.04320601852</v>
      </c>
      <c r="AA40" s="99">
        <v>43118.04320601852</v>
      </c>
      <c r="AB40" s="90" t="s">
        <v>658</v>
      </c>
      <c r="AC40" s="90" t="s">
        <v>663</v>
      </c>
      <c r="AD40" s="94" t="s">
        <v>666</v>
      </c>
      <c r="AE40" s="92">
        <v>1</v>
      </c>
      <c r="AF40" s="93" t="str">
        <f>REPLACE(INDEX(GroupVertices[Group],MATCH(Edges[[#This Row],[Vertex 1]],GroupVertices[Vertex],0)),1,1,"")</f>
        <v>1</v>
      </c>
      <c r="AG40" s="93" t="str">
        <f>REPLACE(INDEX(GroupVertices[Group],MATCH(Edges[[#This Row],[Vertex 2]],GroupVertices[Vertex],0)),1,1,"")</f>
        <v>1</v>
      </c>
      <c r="AH40" s="127">
        <v>0</v>
      </c>
      <c r="AI40" s="128">
        <v>0</v>
      </c>
      <c r="AJ40" s="127">
        <v>0</v>
      </c>
      <c r="AK40" s="128">
        <v>0</v>
      </c>
      <c r="AL40" s="127">
        <v>0</v>
      </c>
      <c r="AM40" s="128">
        <v>0</v>
      </c>
      <c r="AN40" s="127">
        <v>20</v>
      </c>
      <c r="AO40" s="128">
        <v>100</v>
      </c>
      <c r="AP40" s="127">
        <v>20</v>
      </c>
    </row>
    <row r="41" spans="1:42" ht="15">
      <c r="A41" s="65" t="s">
        <v>261</v>
      </c>
      <c r="B41" s="65" t="s">
        <v>352</v>
      </c>
      <c r="C41" s="66" t="s">
        <v>1220</v>
      </c>
      <c r="D41" s="67">
        <v>3</v>
      </c>
      <c r="E41" s="68"/>
      <c r="F41" s="69">
        <v>40</v>
      </c>
      <c r="G41" s="66"/>
      <c r="H41" s="70"/>
      <c r="I41" s="71"/>
      <c r="J41" s="71"/>
      <c r="K41" s="35" t="s">
        <v>65</v>
      </c>
      <c r="L41" s="79">
        <v>41</v>
      </c>
      <c r="M41" s="79"/>
      <c r="N41" s="73"/>
      <c r="O41" s="90" t="s">
        <v>356</v>
      </c>
      <c r="P41" s="90" t="s">
        <v>212</v>
      </c>
      <c r="Q41" s="94" t="s">
        <v>396</v>
      </c>
      <c r="R41" s="90" t="s">
        <v>261</v>
      </c>
      <c r="S41" s="90" t="s">
        <v>540</v>
      </c>
      <c r="T41" s="96" t="str">
        <f>HYPERLINK("http://www.youtube.com/channel/UCAW8PZ9dS-LxMtpgSGl6srg")</f>
        <v>http://www.youtube.com/channel/UCAW8PZ9dS-LxMtpgSGl6srg</v>
      </c>
      <c r="U41" s="90"/>
      <c r="V41" s="90" t="s">
        <v>652</v>
      </c>
      <c r="W41" s="96" t="str">
        <f>HYPERLINK("https://www.youtube.com/watch?v=fK1_SH3X2ek")</f>
        <v>https://www.youtube.com/watch?v=fK1_SH3X2ek</v>
      </c>
      <c r="X41" s="90" t="s">
        <v>656</v>
      </c>
      <c r="Y41" s="90">
        <v>2</v>
      </c>
      <c r="Z41" s="99">
        <v>42872.422418981485</v>
      </c>
      <c r="AA41" s="99">
        <v>42872.422418981485</v>
      </c>
      <c r="AB41" s="90"/>
      <c r="AC41" s="90"/>
      <c r="AD41" s="94" t="s">
        <v>666</v>
      </c>
      <c r="AE41" s="92">
        <v>1</v>
      </c>
      <c r="AF41" s="93" t="str">
        <f>REPLACE(INDEX(GroupVertices[Group],MATCH(Edges[[#This Row],[Vertex 1]],GroupVertices[Vertex],0)),1,1,"")</f>
        <v>1</v>
      </c>
      <c r="AG41" s="93" t="str">
        <f>REPLACE(INDEX(GroupVertices[Group],MATCH(Edges[[#This Row],[Vertex 2]],GroupVertices[Vertex],0)),1,1,"")</f>
        <v>1</v>
      </c>
      <c r="AH41" s="127">
        <v>1</v>
      </c>
      <c r="AI41" s="128">
        <v>5.555555555555555</v>
      </c>
      <c r="AJ41" s="127">
        <v>0</v>
      </c>
      <c r="AK41" s="128">
        <v>0</v>
      </c>
      <c r="AL41" s="127">
        <v>0</v>
      </c>
      <c r="AM41" s="128">
        <v>0</v>
      </c>
      <c r="AN41" s="127">
        <v>17</v>
      </c>
      <c r="AO41" s="128">
        <v>94.44444444444444</v>
      </c>
      <c r="AP41" s="127">
        <v>18</v>
      </c>
    </row>
    <row r="42" spans="1:42" ht="15">
      <c r="A42" s="65" t="s">
        <v>258</v>
      </c>
      <c r="B42" s="65" t="s">
        <v>262</v>
      </c>
      <c r="C42" s="66" t="s">
        <v>1220</v>
      </c>
      <c r="D42" s="67">
        <v>3</v>
      </c>
      <c r="E42" s="68"/>
      <c r="F42" s="69">
        <v>40</v>
      </c>
      <c r="G42" s="66"/>
      <c r="H42" s="70"/>
      <c r="I42" s="71"/>
      <c r="J42" s="71"/>
      <c r="K42" s="35" t="s">
        <v>65</v>
      </c>
      <c r="L42" s="79">
        <v>42</v>
      </c>
      <c r="M42" s="79"/>
      <c r="N42" s="73"/>
      <c r="O42" s="90" t="s">
        <v>355</v>
      </c>
      <c r="P42" s="90" t="s">
        <v>358</v>
      </c>
      <c r="Q42" s="94" t="s">
        <v>397</v>
      </c>
      <c r="R42" s="90" t="s">
        <v>258</v>
      </c>
      <c r="S42" s="90" t="s">
        <v>537</v>
      </c>
      <c r="T42" s="96" t="str">
        <f>HYPERLINK("http://www.youtube.com/channel/UCWKJSLASMS7LgiWB0B3U3VA")</f>
        <v>http://www.youtube.com/channel/UCWKJSLASMS7LgiWB0B3U3VA</v>
      </c>
      <c r="U42" s="90" t="s">
        <v>634</v>
      </c>
      <c r="V42" s="90" t="s">
        <v>652</v>
      </c>
      <c r="W42" s="96" t="str">
        <f>HYPERLINK("https://www.youtube.com/watch?v=fK1_SH3X2ek")</f>
        <v>https://www.youtube.com/watch?v=fK1_SH3X2ek</v>
      </c>
      <c r="X42" s="90" t="s">
        <v>656</v>
      </c>
      <c r="Y42" s="90">
        <v>0</v>
      </c>
      <c r="Z42" s="99">
        <v>43492.74215277778</v>
      </c>
      <c r="AA42" s="99">
        <v>43492.74215277778</v>
      </c>
      <c r="AB42" s="90" t="s">
        <v>659</v>
      </c>
      <c r="AC42" s="90" t="s">
        <v>663</v>
      </c>
      <c r="AD42" s="94" t="s">
        <v>666</v>
      </c>
      <c r="AE42" s="92">
        <v>1</v>
      </c>
      <c r="AF42" s="93" t="str">
        <f>REPLACE(INDEX(GroupVertices[Group],MATCH(Edges[[#This Row],[Vertex 1]],GroupVertices[Vertex],0)),1,1,"")</f>
        <v>1</v>
      </c>
      <c r="AG42" s="93" t="str">
        <f>REPLACE(INDEX(GroupVertices[Group],MATCH(Edges[[#This Row],[Vertex 2]],GroupVertices[Vertex],0)),1,1,"")</f>
        <v>1</v>
      </c>
      <c r="AH42" s="127">
        <v>0</v>
      </c>
      <c r="AI42" s="128">
        <v>0</v>
      </c>
      <c r="AJ42" s="127">
        <v>0</v>
      </c>
      <c r="AK42" s="128">
        <v>0</v>
      </c>
      <c r="AL42" s="127">
        <v>0</v>
      </c>
      <c r="AM42" s="128">
        <v>0</v>
      </c>
      <c r="AN42" s="127">
        <v>12</v>
      </c>
      <c r="AO42" s="128">
        <v>100</v>
      </c>
      <c r="AP42" s="127">
        <v>12</v>
      </c>
    </row>
    <row r="43" spans="1:42" ht="15">
      <c r="A43" s="65" t="s">
        <v>262</v>
      </c>
      <c r="B43" s="65" t="s">
        <v>352</v>
      </c>
      <c r="C43" s="66" t="s">
        <v>1220</v>
      </c>
      <c r="D43" s="67">
        <v>3</v>
      </c>
      <c r="E43" s="68"/>
      <c r="F43" s="69">
        <v>40</v>
      </c>
      <c r="G43" s="66"/>
      <c r="H43" s="70"/>
      <c r="I43" s="71"/>
      <c r="J43" s="71"/>
      <c r="K43" s="35" t="s">
        <v>65</v>
      </c>
      <c r="L43" s="79">
        <v>43</v>
      </c>
      <c r="M43" s="79"/>
      <c r="N43" s="73"/>
      <c r="O43" s="90" t="s">
        <v>356</v>
      </c>
      <c r="P43" s="90" t="s">
        <v>212</v>
      </c>
      <c r="Q43" s="94" t="s">
        <v>398</v>
      </c>
      <c r="R43" s="90" t="s">
        <v>262</v>
      </c>
      <c r="S43" s="90" t="s">
        <v>541</v>
      </c>
      <c r="T43" s="96" t="str">
        <f>HYPERLINK("http://www.youtube.com/channel/UCKeFH_4Fq0vPHhSr-GO7kgg")</f>
        <v>http://www.youtube.com/channel/UCKeFH_4Fq0vPHhSr-GO7kgg</v>
      </c>
      <c r="U43" s="90"/>
      <c r="V43" s="90" t="s">
        <v>652</v>
      </c>
      <c r="W43" s="96" t="str">
        <f>HYPERLINK("https://www.youtube.com/watch?v=fK1_SH3X2ek")</f>
        <v>https://www.youtube.com/watch?v=fK1_SH3X2ek</v>
      </c>
      <c r="X43" s="90" t="s">
        <v>656</v>
      </c>
      <c r="Y43" s="90">
        <v>1</v>
      </c>
      <c r="Z43" s="99">
        <v>43101.51825231482</v>
      </c>
      <c r="AA43" s="99">
        <v>43101.51825231482</v>
      </c>
      <c r="AB43" s="90"/>
      <c r="AC43" s="90"/>
      <c r="AD43" s="94" t="s">
        <v>666</v>
      </c>
      <c r="AE43" s="92">
        <v>1</v>
      </c>
      <c r="AF43" s="93" t="str">
        <f>REPLACE(INDEX(GroupVertices[Group],MATCH(Edges[[#This Row],[Vertex 1]],GroupVertices[Vertex],0)),1,1,"")</f>
        <v>1</v>
      </c>
      <c r="AG43" s="93" t="str">
        <f>REPLACE(INDEX(GroupVertices[Group],MATCH(Edges[[#This Row],[Vertex 2]],GroupVertices[Vertex],0)),1,1,"")</f>
        <v>1</v>
      </c>
      <c r="AH43" s="127">
        <v>0</v>
      </c>
      <c r="AI43" s="128">
        <v>0</v>
      </c>
      <c r="AJ43" s="127">
        <v>1</v>
      </c>
      <c r="AK43" s="128">
        <v>12.5</v>
      </c>
      <c r="AL43" s="127">
        <v>0</v>
      </c>
      <c r="AM43" s="128">
        <v>0</v>
      </c>
      <c r="AN43" s="127">
        <v>7</v>
      </c>
      <c r="AO43" s="128">
        <v>87.5</v>
      </c>
      <c r="AP43" s="127">
        <v>8</v>
      </c>
    </row>
    <row r="44" spans="1:42" ht="15">
      <c r="A44" s="65" t="s">
        <v>263</v>
      </c>
      <c r="B44" s="65" t="s">
        <v>352</v>
      </c>
      <c r="C44" s="66" t="s">
        <v>1220</v>
      </c>
      <c r="D44" s="67">
        <v>3</v>
      </c>
      <c r="E44" s="68"/>
      <c r="F44" s="69">
        <v>40</v>
      </c>
      <c r="G44" s="66"/>
      <c r="H44" s="70"/>
      <c r="I44" s="71"/>
      <c r="J44" s="71"/>
      <c r="K44" s="35" t="s">
        <v>65</v>
      </c>
      <c r="L44" s="79">
        <v>44</v>
      </c>
      <c r="M44" s="79"/>
      <c r="N44" s="73"/>
      <c r="O44" s="90" t="s">
        <v>356</v>
      </c>
      <c r="P44" s="90" t="s">
        <v>212</v>
      </c>
      <c r="Q44" s="94" t="s">
        <v>399</v>
      </c>
      <c r="R44" s="90" t="s">
        <v>263</v>
      </c>
      <c r="S44" s="90" t="s">
        <v>542</v>
      </c>
      <c r="T44" s="96" t="str">
        <f>HYPERLINK("http://www.youtube.com/channel/UCnOEYCZM5jwEFOFP1NYz82A")</f>
        <v>http://www.youtube.com/channel/UCnOEYCZM5jwEFOFP1NYz82A</v>
      </c>
      <c r="U44" s="90"/>
      <c r="V44" s="90" t="s">
        <v>652</v>
      </c>
      <c r="W44" s="96" t="str">
        <f>HYPERLINK("https://www.youtube.com/watch?v=fK1_SH3X2ek")</f>
        <v>https://www.youtube.com/watch?v=fK1_SH3X2ek</v>
      </c>
      <c r="X44" s="90" t="s">
        <v>656</v>
      </c>
      <c r="Y44" s="90">
        <v>5</v>
      </c>
      <c r="Z44" s="99">
        <v>43352.59394675926</v>
      </c>
      <c r="AA44" s="99">
        <v>43352.59394675926</v>
      </c>
      <c r="AB44" s="90"/>
      <c r="AC44" s="90"/>
      <c r="AD44" s="94" t="s">
        <v>666</v>
      </c>
      <c r="AE44" s="92">
        <v>1</v>
      </c>
      <c r="AF44" s="93" t="str">
        <f>REPLACE(INDEX(GroupVertices[Group],MATCH(Edges[[#This Row],[Vertex 1]],GroupVertices[Vertex],0)),1,1,"")</f>
        <v>1</v>
      </c>
      <c r="AG44" s="93" t="str">
        <f>REPLACE(INDEX(GroupVertices[Group],MATCH(Edges[[#This Row],[Vertex 2]],GroupVertices[Vertex],0)),1,1,"")</f>
        <v>1</v>
      </c>
      <c r="AH44" s="127">
        <v>3</v>
      </c>
      <c r="AI44" s="128">
        <v>30</v>
      </c>
      <c r="AJ44" s="127">
        <v>0</v>
      </c>
      <c r="AK44" s="128">
        <v>0</v>
      </c>
      <c r="AL44" s="127">
        <v>0</v>
      </c>
      <c r="AM44" s="128">
        <v>0</v>
      </c>
      <c r="AN44" s="127">
        <v>7</v>
      </c>
      <c r="AO44" s="128">
        <v>70</v>
      </c>
      <c r="AP44" s="127">
        <v>10</v>
      </c>
    </row>
    <row r="45" spans="1:42" ht="15">
      <c r="A45" s="65" t="s">
        <v>264</v>
      </c>
      <c r="B45" s="65" t="s">
        <v>352</v>
      </c>
      <c r="C45" s="66" t="s">
        <v>1220</v>
      </c>
      <c r="D45" s="67">
        <v>3</v>
      </c>
      <c r="E45" s="68"/>
      <c r="F45" s="69">
        <v>40</v>
      </c>
      <c r="G45" s="66"/>
      <c r="H45" s="70"/>
      <c r="I45" s="71"/>
      <c r="J45" s="71"/>
      <c r="K45" s="35" t="s">
        <v>65</v>
      </c>
      <c r="L45" s="79">
        <v>45</v>
      </c>
      <c r="M45" s="79"/>
      <c r="N45" s="73"/>
      <c r="O45" s="90" t="s">
        <v>356</v>
      </c>
      <c r="P45" s="90" t="s">
        <v>212</v>
      </c>
      <c r="Q45" s="94" t="s">
        <v>400</v>
      </c>
      <c r="R45" s="90" t="s">
        <v>264</v>
      </c>
      <c r="S45" s="90" t="s">
        <v>543</v>
      </c>
      <c r="T45" s="96" t="str">
        <f>HYPERLINK("http://www.youtube.com/channel/UCOG_T9dGhVa3Sf4ay-_ZLhA")</f>
        <v>http://www.youtube.com/channel/UCOG_T9dGhVa3Sf4ay-_ZLhA</v>
      </c>
      <c r="U45" s="90"/>
      <c r="V45" s="90" t="s">
        <v>652</v>
      </c>
      <c r="W45" s="96" t="str">
        <f>HYPERLINK("https://www.youtube.com/watch?v=fK1_SH3X2ek")</f>
        <v>https://www.youtube.com/watch?v=fK1_SH3X2ek</v>
      </c>
      <c r="X45" s="90" t="s">
        <v>656</v>
      </c>
      <c r="Y45" s="90">
        <v>1</v>
      </c>
      <c r="Z45" s="99">
        <v>43430.377233796295</v>
      </c>
      <c r="AA45" s="99">
        <v>43430.377233796295</v>
      </c>
      <c r="AB45" s="90"/>
      <c r="AC45" s="90"/>
      <c r="AD45" s="94" t="s">
        <v>666</v>
      </c>
      <c r="AE45" s="92">
        <v>1</v>
      </c>
      <c r="AF45" s="93" t="str">
        <f>REPLACE(INDEX(GroupVertices[Group],MATCH(Edges[[#This Row],[Vertex 1]],GroupVertices[Vertex],0)),1,1,"")</f>
        <v>1</v>
      </c>
      <c r="AG45" s="93" t="str">
        <f>REPLACE(INDEX(GroupVertices[Group],MATCH(Edges[[#This Row],[Vertex 2]],GroupVertices[Vertex],0)),1,1,"")</f>
        <v>1</v>
      </c>
      <c r="AH45" s="127">
        <v>1</v>
      </c>
      <c r="AI45" s="128">
        <v>11.11111111111111</v>
      </c>
      <c r="AJ45" s="127">
        <v>0</v>
      </c>
      <c r="AK45" s="128">
        <v>0</v>
      </c>
      <c r="AL45" s="127">
        <v>0</v>
      </c>
      <c r="AM45" s="128">
        <v>0</v>
      </c>
      <c r="AN45" s="127">
        <v>8</v>
      </c>
      <c r="AO45" s="128">
        <v>88.88888888888889</v>
      </c>
      <c r="AP45" s="127">
        <v>9</v>
      </c>
    </row>
    <row r="46" spans="1:42" ht="15">
      <c r="A46" s="65" t="s">
        <v>258</v>
      </c>
      <c r="B46" s="65" t="s">
        <v>266</v>
      </c>
      <c r="C46" s="66" t="s">
        <v>1220</v>
      </c>
      <c r="D46" s="67">
        <v>3</v>
      </c>
      <c r="E46" s="68"/>
      <c r="F46" s="69">
        <v>40</v>
      </c>
      <c r="G46" s="66"/>
      <c r="H46" s="70"/>
      <c r="I46" s="71"/>
      <c r="J46" s="71"/>
      <c r="K46" s="35" t="s">
        <v>65</v>
      </c>
      <c r="L46" s="79">
        <v>46</v>
      </c>
      <c r="M46" s="79"/>
      <c r="N46" s="73"/>
      <c r="O46" s="90" t="s">
        <v>355</v>
      </c>
      <c r="P46" s="90" t="s">
        <v>358</v>
      </c>
      <c r="Q46" s="94" t="s">
        <v>401</v>
      </c>
      <c r="R46" s="90" t="s">
        <v>258</v>
      </c>
      <c r="S46" s="90" t="s">
        <v>537</v>
      </c>
      <c r="T46" s="96" t="str">
        <f>HYPERLINK("http://www.youtube.com/channel/UCWKJSLASMS7LgiWB0B3U3VA")</f>
        <v>http://www.youtube.com/channel/UCWKJSLASMS7LgiWB0B3U3VA</v>
      </c>
      <c r="U46" s="90" t="s">
        <v>635</v>
      </c>
      <c r="V46" s="90" t="s">
        <v>652</v>
      </c>
      <c r="W46" s="96" t="str">
        <f>HYPERLINK("https://www.youtube.com/watch?v=fK1_SH3X2ek")</f>
        <v>https://www.youtube.com/watch?v=fK1_SH3X2ek</v>
      </c>
      <c r="X46" s="90" t="s">
        <v>656</v>
      </c>
      <c r="Y46" s="90">
        <v>3</v>
      </c>
      <c r="Z46" s="99">
        <v>44055.47697916667</v>
      </c>
      <c r="AA46" s="99">
        <v>44055.47697916667</v>
      </c>
      <c r="AB46" s="90"/>
      <c r="AC46" s="90"/>
      <c r="AD46" s="94" t="s">
        <v>666</v>
      </c>
      <c r="AE46" s="92">
        <v>1</v>
      </c>
      <c r="AF46" s="93" t="str">
        <f>REPLACE(INDEX(GroupVertices[Group],MATCH(Edges[[#This Row],[Vertex 1]],GroupVertices[Vertex],0)),1,1,"")</f>
        <v>1</v>
      </c>
      <c r="AG46" s="93" t="str">
        <f>REPLACE(INDEX(GroupVertices[Group],MATCH(Edges[[#This Row],[Vertex 2]],GroupVertices[Vertex],0)),1,1,"")</f>
        <v>1</v>
      </c>
      <c r="AH46" s="127">
        <v>1</v>
      </c>
      <c r="AI46" s="128">
        <v>7.6923076923076925</v>
      </c>
      <c r="AJ46" s="127">
        <v>0</v>
      </c>
      <c r="AK46" s="128">
        <v>0</v>
      </c>
      <c r="AL46" s="127">
        <v>0</v>
      </c>
      <c r="AM46" s="128">
        <v>0</v>
      </c>
      <c r="AN46" s="127">
        <v>12</v>
      </c>
      <c r="AO46" s="128">
        <v>92.3076923076923</v>
      </c>
      <c r="AP46" s="127">
        <v>13</v>
      </c>
    </row>
    <row r="47" spans="1:42" ht="15">
      <c r="A47" s="65" t="s">
        <v>265</v>
      </c>
      <c r="B47" s="65" t="s">
        <v>266</v>
      </c>
      <c r="C47" s="66" t="s">
        <v>1221</v>
      </c>
      <c r="D47" s="67">
        <v>3</v>
      </c>
      <c r="E47" s="68"/>
      <c r="F47" s="69">
        <v>40</v>
      </c>
      <c r="G47" s="66"/>
      <c r="H47" s="70"/>
      <c r="I47" s="71"/>
      <c r="J47" s="71"/>
      <c r="K47" s="35" t="s">
        <v>65</v>
      </c>
      <c r="L47" s="79">
        <v>47</v>
      </c>
      <c r="M47" s="79"/>
      <c r="N47" s="73"/>
      <c r="O47" s="90" t="s">
        <v>355</v>
      </c>
      <c r="P47" s="90" t="s">
        <v>358</v>
      </c>
      <c r="Q47" s="94" t="s">
        <v>402</v>
      </c>
      <c r="R47" s="90" t="s">
        <v>265</v>
      </c>
      <c r="S47" s="90" t="s">
        <v>544</v>
      </c>
      <c r="T47" s="96" t="str">
        <f>HYPERLINK("http://www.youtube.com/channel/UCy8XLhlIl992JrAP2hgCscQ")</f>
        <v>http://www.youtube.com/channel/UCy8XLhlIl992JrAP2hgCscQ</v>
      </c>
      <c r="U47" s="90" t="s">
        <v>635</v>
      </c>
      <c r="V47" s="90" t="s">
        <v>652</v>
      </c>
      <c r="W47" s="96" t="str">
        <f>HYPERLINK("https://www.youtube.com/watch?v=fK1_SH3X2ek")</f>
        <v>https://www.youtube.com/watch?v=fK1_SH3X2ek</v>
      </c>
      <c r="X47" s="90" t="s">
        <v>656</v>
      </c>
      <c r="Y47" s="90">
        <v>1</v>
      </c>
      <c r="Z47" s="99">
        <v>44124.663298611114</v>
      </c>
      <c r="AA47" s="99">
        <v>44124.663298611114</v>
      </c>
      <c r="AB47" s="90"/>
      <c r="AC47" s="90"/>
      <c r="AD47" s="94" t="s">
        <v>666</v>
      </c>
      <c r="AE47" s="92">
        <v>2</v>
      </c>
      <c r="AF47" s="93" t="str">
        <f>REPLACE(INDEX(GroupVertices[Group],MATCH(Edges[[#This Row],[Vertex 1]],GroupVertices[Vertex],0)),1,1,"")</f>
        <v>1</v>
      </c>
      <c r="AG47" s="93" t="str">
        <f>REPLACE(INDEX(GroupVertices[Group],MATCH(Edges[[#This Row],[Vertex 2]],GroupVertices[Vertex],0)),1,1,"")</f>
        <v>1</v>
      </c>
      <c r="AH47" s="127">
        <v>0</v>
      </c>
      <c r="AI47" s="128">
        <v>0</v>
      </c>
      <c r="AJ47" s="127">
        <v>0</v>
      </c>
      <c r="AK47" s="128">
        <v>0</v>
      </c>
      <c r="AL47" s="127">
        <v>0</v>
      </c>
      <c r="AM47" s="128">
        <v>0</v>
      </c>
      <c r="AN47" s="127">
        <v>3</v>
      </c>
      <c r="AO47" s="128">
        <v>100</v>
      </c>
      <c r="AP47" s="127">
        <v>3</v>
      </c>
    </row>
    <row r="48" spans="1:42" ht="15">
      <c r="A48" s="65" t="s">
        <v>265</v>
      </c>
      <c r="B48" s="65" t="s">
        <v>266</v>
      </c>
      <c r="C48" s="66" t="s">
        <v>1221</v>
      </c>
      <c r="D48" s="67">
        <v>3</v>
      </c>
      <c r="E48" s="68"/>
      <c r="F48" s="69">
        <v>40</v>
      </c>
      <c r="G48" s="66"/>
      <c r="H48" s="70"/>
      <c r="I48" s="71"/>
      <c r="J48" s="71"/>
      <c r="K48" s="35" t="s">
        <v>65</v>
      </c>
      <c r="L48" s="79">
        <v>48</v>
      </c>
      <c r="M48" s="79"/>
      <c r="N48" s="73"/>
      <c r="O48" s="90" t="s">
        <v>355</v>
      </c>
      <c r="P48" s="90" t="s">
        <v>358</v>
      </c>
      <c r="Q48" s="94" t="s">
        <v>403</v>
      </c>
      <c r="R48" s="90" t="s">
        <v>265</v>
      </c>
      <c r="S48" s="90" t="s">
        <v>544</v>
      </c>
      <c r="T48" s="96" t="str">
        <f>HYPERLINK("http://www.youtube.com/channel/UCy8XLhlIl992JrAP2hgCscQ")</f>
        <v>http://www.youtube.com/channel/UCy8XLhlIl992JrAP2hgCscQ</v>
      </c>
      <c r="U48" s="90" t="s">
        <v>635</v>
      </c>
      <c r="V48" s="90" t="s">
        <v>652</v>
      </c>
      <c r="W48" s="96" t="str">
        <f>HYPERLINK("https://www.youtube.com/watch?v=fK1_SH3X2ek")</f>
        <v>https://www.youtube.com/watch?v=fK1_SH3X2ek</v>
      </c>
      <c r="X48" s="90" t="s">
        <v>656</v>
      </c>
      <c r="Y48" s="90">
        <v>1</v>
      </c>
      <c r="Z48" s="99">
        <v>44124.66417824074</v>
      </c>
      <c r="AA48" s="99">
        <v>44124.66417824074</v>
      </c>
      <c r="AB48" s="90"/>
      <c r="AC48" s="90"/>
      <c r="AD48" s="94" t="s">
        <v>666</v>
      </c>
      <c r="AE48" s="92">
        <v>2</v>
      </c>
      <c r="AF48" s="93" t="str">
        <f>REPLACE(INDEX(GroupVertices[Group],MATCH(Edges[[#This Row],[Vertex 1]],GroupVertices[Vertex],0)),1,1,"")</f>
        <v>1</v>
      </c>
      <c r="AG48" s="93" t="str">
        <f>REPLACE(INDEX(GroupVertices[Group],MATCH(Edges[[#This Row],[Vertex 2]],GroupVertices[Vertex],0)),1,1,"")</f>
        <v>1</v>
      </c>
      <c r="AH48" s="127">
        <v>0</v>
      </c>
      <c r="AI48" s="128">
        <v>0</v>
      </c>
      <c r="AJ48" s="127">
        <v>1</v>
      </c>
      <c r="AK48" s="128">
        <v>6.666666666666667</v>
      </c>
      <c r="AL48" s="127">
        <v>0</v>
      </c>
      <c r="AM48" s="128">
        <v>0</v>
      </c>
      <c r="AN48" s="127">
        <v>14</v>
      </c>
      <c r="AO48" s="128">
        <v>93.33333333333333</v>
      </c>
      <c r="AP48" s="127">
        <v>15</v>
      </c>
    </row>
    <row r="49" spans="1:42" ht="15">
      <c r="A49" s="65" t="s">
        <v>266</v>
      </c>
      <c r="B49" s="65" t="s">
        <v>352</v>
      </c>
      <c r="C49" s="66" t="s">
        <v>1220</v>
      </c>
      <c r="D49" s="67">
        <v>3</v>
      </c>
      <c r="E49" s="68"/>
      <c r="F49" s="69">
        <v>40</v>
      </c>
      <c r="G49" s="66"/>
      <c r="H49" s="70"/>
      <c r="I49" s="71"/>
      <c r="J49" s="71"/>
      <c r="K49" s="35" t="s">
        <v>65</v>
      </c>
      <c r="L49" s="79">
        <v>49</v>
      </c>
      <c r="M49" s="79"/>
      <c r="N49" s="73"/>
      <c r="O49" s="90" t="s">
        <v>356</v>
      </c>
      <c r="P49" s="90" t="s">
        <v>212</v>
      </c>
      <c r="Q49" s="94" t="s">
        <v>404</v>
      </c>
      <c r="R49" s="90" t="s">
        <v>266</v>
      </c>
      <c r="S49" s="90" t="s">
        <v>545</v>
      </c>
      <c r="T49" s="96" t="str">
        <f>HYPERLINK("http://www.youtube.com/channel/UC2TB_zzNN7L2i_WPEaWM-LQ")</f>
        <v>http://www.youtube.com/channel/UC2TB_zzNN7L2i_WPEaWM-LQ</v>
      </c>
      <c r="U49" s="90"/>
      <c r="V49" s="90" t="s">
        <v>652</v>
      </c>
      <c r="W49" s="96" t="str">
        <f>HYPERLINK("https://www.youtube.com/watch?v=fK1_SH3X2ek")</f>
        <v>https://www.youtube.com/watch?v=fK1_SH3X2ek</v>
      </c>
      <c r="X49" s="90" t="s">
        <v>656</v>
      </c>
      <c r="Y49" s="90">
        <v>4</v>
      </c>
      <c r="Z49" s="99">
        <v>43465.35077546296</v>
      </c>
      <c r="AA49" s="99">
        <v>43465.35077546296</v>
      </c>
      <c r="AB49" s="90"/>
      <c r="AC49" s="90"/>
      <c r="AD49" s="94" t="s">
        <v>666</v>
      </c>
      <c r="AE49" s="92">
        <v>1</v>
      </c>
      <c r="AF49" s="93" t="str">
        <f>REPLACE(INDEX(GroupVertices[Group],MATCH(Edges[[#This Row],[Vertex 1]],GroupVertices[Vertex],0)),1,1,"")</f>
        <v>1</v>
      </c>
      <c r="AG49" s="93" t="str">
        <f>REPLACE(INDEX(GroupVertices[Group],MATCH(Edges[[#This Row],[Vertex 2]],GroupVertices[Vertex],0)),1,1,"")</f>
        <v>1</v>
      </c>
      <c r="AH49" s="127">
        <v>1</v>
      </c>
      <c r="AI49" s="128">
        <v>6.666666666666667</v>
      </c>
      <c r="AJ49" s="127">
        <v>0</v>
      </c>
      <c r="AK49" s="128">
        <v>0</v>
      </c>
      <c r="AL49" s="127">
        <v>0</v>
      </c>
      <c r="AM49" s="128">
        <v>0</v>
      </c>
      <c r="AN49" s="127">
        <v>14</v>
      </c>
      <c r="AO49" s="128">
        <v>93.33333333333333</v>
      </c>
      <c r="AP49" s="127">
        <v>15</v>
      </c>
    </row>
    <row r="50" spans="1:42" ht="15">
      <c r="A50" s="65" t="s">
        <v>267</v>
      </c>
      <c r="B50" s="65" t="s">
        <v>352</v>
      </c>
      <c r="C50" s="66" t="s">
        <v>1220</v>
      </c>
      <c r="D50" s="67">
        <v>3</v>
      </c>
      <c r="E50" s="68"/>
      <c r="F50" s="69">
        <v>40</v>
      </c>
      <c r="G50" s="66"/>
      <c r="H50" s="70"/>
      <c r="I50" s="71"/>
      <c r="J50" s="71"/>
      <c r="K50" s="35" t="s">
        <v>65</v>
      </c>
      <c r="L50" s="79">
        <v>50</v>
      </c>
      <c r="M50" s="79"/>
      <c r="N50" s="73"/>
      <c r="O50" s="90" t="s">
        <v>356</v>
      </c>
      <c r="P50" s="90" t="s">
        <v>212</v>
      </c>
      <c r="Q50" s="94" t="s">
        <v>405</v>
      </c>
      <c r="R50" s="90" t="s">
        <v>267</v>
      </c>
      <c r="S50" s="90" t="s">
        <v>546</v>
      </c>
      <c r="T50" s="96" t="str">
        <f>HYPERLINK("http://www.youtube.com/channel/UCjWUEivaRP01IGG5QFmYZBA")</f>
        <v>http://www.youtube.com/channel/UCjWUEivaRP01IGG5QFmYZBA</v>
      </c>
      <c r="U50" s="90"/>
      <c r="V50" s="90" t="s">
        <v>652</v>
      </c>
      <c r="W50" s="96" t="str">
        <f>HYPERLINK("https://www.youtube.com/watch?v=fK1_SH3X2ek")</f>
        <v>https://www.youtube.com/watch?v=fK1_SH3X2ek</v>
      </c>
      <c r="X50" s="90" t="s">
        <v>656</v>
      </c>
      <c r="Y50" s="90">
        <v>1</v>
      </c>
      <c r="Z50" s="99">
        <v>43505.37125</v>
      </c>
      <c r="AA50" s="99">
        <v>43505.37125</v>
      </c>
      <c r="AB50" s="90"/>
      <c r="AC50" s="90"/>
      <c r="AD50" s="94" t="s">
        <v>666</v>
      </c>
      <c r="AE50" s="92">
        <v>1</v>
      </c>
      <c r="AF50" s="93" t="str">
        <f>REPLACE(INDEX(GroupVertices[Group],MATCH(Edges[[#This Row],[Vertex 1]],GroupVertices[Vertex],0)),1,1,"")</f>
        <v>1</v>
      </c>
      <c r="AG50" s="93" t="str">
        <f>REPLACE(INDEX(GroupVertices[Group],MATCH(Edges[[#This Row],[Vertex 2]],GroupVertices[Vertex],0)),1,1,"")</f>
        <v>1</v>
      </c>
      <c r="AH50" s="127">
        <v>0</v>
      </c>
      <c r="AI50" s="128">
        <v>0</v>
      </c>
      <c r="AJ50" s="127">
        <v>0</v>
      </c>
      <c r="AK50" s="128">
        <v>0</v>
      </c>
      <c r="AL50" s="127">
        <v>0</v>
      </c>
      <c r="AM50" s="128">
        <v>0</v>
      </c>
      <c r="AN50" s="127">
        <v>1</v>
      </c>
      <c r="AO50" s="128">
        <v>100</v>
      </c>
      <c r="AP50" s="127">
        <v>1</v>
      </c>
    </row>
    <row r="51" spans="1:42" ht="15">
      <c r="A51" s="65" t="s">
        <v>268</v>
      </c>
      <c r="B51" s="65" t="s">
        <v>270</v>
      </c>
      <c r="C51" s="66" t="s">
        <v>1220</v>
      </c>
      <c r="D51" s="67">
        <v>3</v>
      </c>
      <c r="E51" s="68"/>
      <c r="F51" s="69">
        <v>40</v>
      </c>
      <c r="G51" s="66"/>
      <c r="H51" s="70"/>
      <c r="I51" s="71"/>
      <c r="J51" s="71"/>
      <c r="K51" s="35" t="s">
        <v>65</v>
      </c>
      <c r="L51" s="79">
        <v>51</v>
      </c>
      <c r="M51" s="79"/>
      <c r="N51" s="73"/>
      <c r="O51" s="90" t="s">
        <v>355</v>
      </c>
      <c r="P51" s="90" t="s">
        <v>358</v>
      </c>
      <c r="Q51" s="94" t="s">
        <v>406</v>
      </c>
      <c r="R51" s="90" t="s">
        <v>268</v>
      </c>
      <c r="S51" s="90" t="s">
        <v>547</v>
      </c>
      <c r="T51" s="96" t="str">
        <f>HYPERLINK("http://www.youtube.com/channel/UCg_EfW_2gQANwFQOUyaDa2g")</f>
        <v>http://www.youtube.com/channel/UCg_EfW_2gQANwFQOUyaDa2g</v>
      </c>
      <c r="U51" s="90" t="s">
        <v>636</v>
      </c>
      <c r="V51" s="90" t="s">
        <v>652</v>
      </c>
      <c r="W51" s="96" t="str">
        <f>HYPERLINK("https://www.youtube.com/watch?v=fK1_SH3X2ek")</f>
        <v>https://www.youtube.com/watch?v=fK1_SH3X2ek</v>
      </c>
      <c r="X51" s="90" t="s">
        <v>656</v>
      </c>
      <c r="Y51" s="90">
        <v>0</v>
      </c>
      <c r="Z51" s="99">
        <v>43525.21471064815</v>
      </c>
      <c r="AA51" s="99">
        <v>43525.21471064815</v>
      </c>
      <c r="AB51" s="90"/>
      <c r="AC51" s="90"/>
      <c r="AD51" s="94" t="s">
        <v>666</v>
      </c>
      <c r="AE51" s="92">
        <v>1</v>
      </c>
      <c r="AF51" s="93" t="str">
        <f>REPLACE(INDEX(GroupVertices[Group],MATCH(Edges[[#This Row],[Vertex 1]],GroupVertices[Vertex],0)),1,1,"")</f>
        <v>7</v>
      </c>
      <c r="AG51" s="93" t="str">
        <f>REPLACE(INDEX(GroupVertices[Group],MATCH(Edges[[#This Row],[Vertex 2]],GroupVertices[Vertex],0)),1,1,"")</f>
        <v>7</v>
      </c>
      <c r="AH51" s="127">
        <v>0</v>
      </c>
      <c r="AI51" s="128">
        <v>0</v>
      </c>
      <c r="AJ51" s="127">
        <v>0</v>
      </c>
      <c r="AK51" s="128">
        <v>0</v>
      </c>
      <c r="AL51" s="127">
        <v>0</v>
      </c>
      <c r="AM51" s="128">
        <v>0</v>
      </c>
      <c r="AN51" s="127">
        <v>2</v>
      </c>
      <c r="AO51" s="128">
        <v>100</v>
      </c>
      <c r="AP51" s="127">
        <v>2</v>
      </c>
    </row>
    <row r="52" spans="1:42" ht="15">
      <c r="A52" s="65" t="s">
        <v>269</v>
      </c>
      <c r="B52" s="65" t="s">
        <v>270</v>
      </c>
      <c r="C52" s="66" t="s">
        <v>1220</v>
      </c>
      <c r="D52" s="67">
        <v>3</v>
      </c>
      <c r="E52" s="68"/>
      <c r="F52" s="69">
        <v>40</v>
      </c>
      <c r="G52" s="66"/>
      <c r="H52" s="70"/>
      <c r="I52" s="71"/>
      <c r="J52" s="71"/>
      <c r="K52" s="35" t="s">
        <v>65</v>
      </c>
      <c r="L52" s="79">
        <v>52</v>
      </c>
      <c r="M52" s="79"/>
      <c r="N52" s="73"/>
      <c r="O52" s="90" t="s">
        <v>355</v>
      </c>
      <c r="P52" s="90" t="s">
        <v>358</v>
      </c>
      <c r="Q52" s="94" t="s">
        <v>407</v>
      </c>
      <c r="R52" s="90" t="s">
        <v>269</v>
      </c>
      <c r="S52" s="90" t="s">
        <v>548</v>
      </c>
      <c r="T52" s="96" t="str">
        <f>HYPERLINK("http://www.youtube.com/channel/UCx54iSl43fUz1XysXN5bugg")</f>
        <v>http://www.youtube.com/channel/UCx54iSl43fUz1XysXN5bugg</v>
      </c>
      <c r="U52" s="90" t="s">
        <v>636</v>
      </c>
      <c r="V52" s="90" t="s">
        <v>652</v>
      </c>
      <c r="W52" s="96" t="str">
        <f>HYPERLINK("https://www.youtube.com/watch?v=fK1_SH3X2ek")</f>
        <v>https://www.youtube.com/watch?v=fK1_SH3X2ek</v>
      </c>
      <c r="X52" s="90" t="s">
        <v>656</v>
      </c>
      <c r="Y52" s="90">
        <v>0</v>
      </c>
      <c r="Z52" s="99">
        <v>43751.14394675926</v>
      </c>
      <c r="AA52" s="99">
        <v>43751.14394675926</v>
      </c>
      <c r="AB52" s="90"/>
      <c r="AC52" s="90"/>
      <c r="AD52" s="94" t="s">
        <v>666</v>
      </c>
      <c r="AE52" s="92">
        <v>1</v>
      </c>
      <c r="AF52" s="93" t="str">
        <f>REPLACE(INDEX(GroupVertices[Group],MATCH(Edges[[#This Row],[Vertex 1]],GroupVertices[Vertex],0)),1,1,"")</f>
        <v>7</v>
      </c>
      <c r="AG52" s="93" t="str">
        <f>REPLACE(INDEX(GroupVertices[Group],MATCH(Edges[[#This Row],[Vertex 2]],GroupVertices[Vertex],0)),1,1,"")</f>
        <v>7</v>
      </c>
      <c r="AH52" s="127">
        <v>0</v>
      </c>
      <c r="AI52" s="128">
        <v>0</v>
      </c>
      <c r="AJ52" s="127">
        <v>0</v>
      </c>
      <c r="AK52" s="128">
        <v>0</v>
      </c>
      <c r="AL52" s="127">
        <v>0</v>
      </c>
      <c r="AM52" s="128">
        <v>0</v>
      </c>
      <c r="AN52" s="127">
        <v>1</v>
      </c>
      <c r="AO52" s="128">
        <v>100</v>
      </c>
      <c r="AP52" s="127">
        <v>1</v>
      </c>
    </row>
    <row r="53" spans="1:42" ht="15">
      <c r="A53" s="65" t="s">
        <v>270</v>
      </c>
      <c r="B53" s="65" t="s">
        <v>352</v>
      </c>
      <c r="C53" s="66" t="s">
        <v>1220</v>
      </c>
      <c r="D53" s="67">
        <v>3</v>
      </c>
      <c r="E53" s="68"/>
      <c r="F53" s="69">
        <v>40</v>
      </c>
      <c r="G53" s="66"/>
      <c r="H53" s="70"/>
      <c r="I53" s="71"/>
      <c r="J53" s="71"/>
      <c r="K53" s="35" t="s">
        <v>65</v>
      </c>
      <c r="L53" s="79">
        <v>53</v>
      </c>
      <c r="M53" s="79"/>
      <c r="N53" s="73"/>
      <c r="O53" s="90" t="s">
        <v>356</v>
      </c>
      <c r="P53" s="90" t="s">
        <v>212</v>
      </c>
      <c r="Q53" s="94" t="s">
        <v>408</v>
      </c>
      <c r="R53" s="90" t="s">
        <v>270</v>
      </c>
      <c r="S53" s="90" t="s">
        <v>549</v>
      </c>
      <c r="T53" s="96" t="str">
        <f>HYPERLINK("http://www.youtube.com/channel/UCEVgc19AwijyWr7r4Ujk9LQ")</f>
        <v>http://www.youtube.com/channel/UCEVgc19AwijyWr7r4Ujk9LQ</v>
      </c>
      <c r="U53" s="90"/>
      <c r="V53" s="90" t="s">
        <v>652</v>
      </c>
      <c r="W53" s="96" t="str">
        <f>HYPERLINK("https://www.youtube.com/watch?v=fK1_SH3X2ek")</f>
        <v>https://www.youtube.com/watch?v=fK1_SH3X2ek</v>
      </c>
      <c r="X53" s="90" t="s">
        <v>656</v>
      </c>
      <c r="Y53" s="90">
        <v>1</v>
      </c>
      <c r="Z53" s="99">
        <v>43505.64319444444</v>
      </c>
      <c r="AA53" s="99">
        <v>43505.64319444444</v>
      </c>
      <c r="AB53" s="90"/>
      <c r="AC53" s="90"/>
      <c r="AD53" s="94" t="s">
        <v>666</v>
      </c>
      <c r="AE53" s="92">
        <v>1</v>
      </c>
      <c r="AF53" s="93" t="str">
        <f>REPLACE(INDEX(GroupVertices[Group],MATCH(Edges[[#This Row],[Vertex 1]],GroupVertices[Vertex],0)),1,1,"")</f>
        <v>7</v>
      </c>
      <c r="AG53" s="93" t="str">
        <f>REPLACE(INDEX(GroupVertices[Group],MATCH(Edges[[#This Row],[Vertex 2]],GroupVertices[Vertex],0)),1,1,"")</f>
        <v>1</v>
      </c>
      <c r="AH53" s="127">
        <v>0</v>
      </c>
      <c r="AI53" s="128">
        <v>0</v>
      </c>
      <c r="AJ53" s="127">
        <v>0</v>
      </c>
      <c r="AK53" s="128">
        <v>0</v>
      </c>
      <c r="AL53" s="127">
        <v>0</v>
      </c>
      <c r="AM53" s="128">
        <v>0</v>
      </c>
      <c r="AN53" s="127">
        <v>2</v>
      </c>
      <c r="AO53" s="128">
        <v>100</v>
      </c>
      <c r="AP53" s="127">
        <v>2</v>
      </c>
    </row>
    <row r="54" spans="1:42" ht="15">
      <c r="A54" s="65" t="s">
        <v>271</v>
      </c>
      <c r="B54" s="65" t="s">
        <v>272</v>
      </c>
      <c r="C54" s="66" t="s">
        <v>1220</v>
      </c>
      <c r="D54" s="67">
        <v>3</v>
      </c>
      <c r="E54" s="68"/>
      <c r="F54" s="69">
        <v>40</v>
      </c>
      <c r="G54" s="66"/>
      <c r="H54" s="70"/>
      <c r="I54" s="71"/>
      <c r="J54" s="71"/>
      <c r="K54" s="35" t="s">
        <v>65</v>
      </c>
      <c r="L54" s="79">
        <v>54</v>
      </c>
      <c r="M54" s="79"/>
      <c r="N54" s="73"/>
      <c r="O54" s="90" t="s">
        <v>355</v>
      </c>
      <c r="P54" s="90" t="s">
        <v>358</v>
      </c>
      <c r="Q54" s="94" t="s">
        <v>409</v>
      </c>
      <c r="R54" s="90" t="s">
        <v>271</v>
      </c>
      <c r="S54" s="90" t="s">
        <v>550</v>
      </c>
      <c r="T54" s="96" t="str">
        <f>HYPERLINK("http://www.youtube.com/channel/UCSJfXviTNs8Tce09VU_uAKw")</f>
        <v>http://www.youtube.com/channel/UCSJfXviTNs8Tce09VU_uAKw</v>
      </c>
      <c r="U54" s="90" t="s">
        <v>637</v>
      </c>
      <c r="V54" s="90" t="s">
        <v>652</v>
      </c>
      <c r="W54" s="96" t="str">
        <f>HYPERLINK("https://www.youtube.com/watch?v=fK1_SH3X2ek")</f>
        <v>https://www.youtube.com/watch?v=fK1_SH3X2ek</v>
      </c>
      <c r="X54" s="90" t="s">
        <v>656</v>
      </c>
      <c r="Y54" s="90">
        <v>1</v>
      </c>
      <c r="Z54" s="99">
        <v>43926.49246527778</v>
      </c>
      <c r="AA54" s="99">
        <v>43926.49246527778</v>
      </c>
      <c r="AB54" s="90" t="s">
        <v>657</v>
      </c>
      <c r="AC54" s="90" t="s">
        <v>662</v>
      </c>
      <c r="AD54" s="94" t="s">
        <v>666</v>
      </c>
      <c r="AE54" s="92">
        <v>1</v>
      </c>
      <c r="AF54" s="93" t="str">
        <f>REPLACE(INDEX(GroupVertices[Group],MATCH(Edges[[#This Row],[Vertex 1]],GroupVertices[Vertex],0)),1,1,"")</f>
        <v>6</v>
      </c>
      <c r="AG54" s="93" t="str">
        <f>REPLACE(INDEX(GroupVertices[Group],MATCH(Edges[[#This Row],[Vertex 2]],GroupVertices[Vertex],0)),1,1,"")</f>
        <v>6</v>
      </c>
      <c r="AH54" s="127">
        <v>1</v>
      </c>
      <c r="AI54" s="128">
        <v>2.9411764705882355</v>
      </c>
      <c r="AJ54" s="127">
        <v>0</v>
      </c>
      <c r="AK54" s="128">
        <v>0</v>
      </c>
      <c r="AL54" s="127">
        <v>0</v>
      </c>
      <c r="AM54" s="128">
        <v>0</v>
      </c>
      <c r="AN54" s="127">
        <v>33</v>
      </c>
      <c r="AO54" s="128">
        <v>97.05882352941177</v>
      </c>
      <c r="AP54" s="127">
        <v>34</v>
      </c>
    </row>
    <row r="55" spans="1:42" ht="15">
      <c r="A55" s="65" t="s">
        <v>272</v>
      </c>
      <c r="B55" s="65" t="s">
        <v>352</v>
      </c>
      <c r="C55" s="66" t="s">
        <v>1220</v>
      </c>
      <c r="D55" s="67">
        <v>3</v>
      </c>
      <c r="E55" s="68"/>
      <c r="F55" s="69">
        <v>40</v>
      </c>
      <c r="G55" s="66"/>
      <c r="H55" s="70"/>
      <c r="I55" s="71"/>
      <c r="J55" s="71"/>
      <c r="K55" s="35" t="s">
        <v>65</v>
      </c>
      <c r="L55" s="79">
        <v>55</v>
      </c>
      <c r="M55" s="79"/>
      <c r="N55" s="73"/>
      <c r="O55" s="90" t="s">
        <v>356</v>
      </c>
      <c r="P55" s="90" t="s">
        <v>212</v>
      </c>
      <c r="Q55" s="94" t="s">
        <v>410</v>
      </c>
      <c r="R55" s="90" t="s">
        <v>272</v>
      </c>
      <c r="S55" s="90" t="s">
        <v>551</v>
      </c>
      <c r="T55" s="96" t="str">
        <f>HYPERLINK("http://www.youtube.com/channel/UCSqoJhY0KeLismXnsp2wbGg")</f>
        <v>http://www.youtube.com/channel/UCSqoJhY0KeLismXnsp2wbGg</v>
      </c>
      <c r="U55" s="90"/>
      <c r="V55" s="90" t="s">
        <v>652</v>
      </c>
      <c r="W55" s="96" t="str">
        <f>HYPERLINK("https://www.youtube.com/watch?v=fK1_SH3X2ek")</f>
        <v>https://www.youtube.com/watch?v=fK1_SH3X2ek</v>
      </c>
      <c r="X55" s="90" t="s">
        <v>656</v>
      </c>
      <c r="Y55" s="90">
        <v>3</v>
      </c>
      <c r="Z55" s="99">
        <v>43551.50666666667</v>
      </c>
      <c r="AA55" s="99">
        <v>43551.50666666667</v>
      </c>
      <c r="AB55" s="90"/>
      <c r="AC55" s="90"/>
      <c r="AD55" s="94" t="s">
        <v>666</v>
      </c>
      <c r="AE55" s="92">
        <v>1</v>
      </c>
      <c r="AF55" s="93" t="str">
        <f>REPLACE(INDEX(GroupVertices[Group],MATCH(Edges[[#This Row],[Vertex 1]],GroupVertices[Vertex],0)),1,1,"")</f>
        <v>6</v>
      </c>
      <c r="AG55" s="93" t="str">
        <f>REPLACE(INDEX(GroupVertices[Group],MATCH(Edges[[#This Row],[Vertex 2]],GroupVertices[Vertex],0)),1,1,"")</f>
        <v>1</v>
      </c>
      <c r="AH55" s="127">
        <v>4</v>
      </c>
      <c r="AI55" s="128">
        <v>8.695652173913043</v>
      </c>
      <c r="AJ55" s="127">
        <v>2</v>
      </c>
      <c r="AK55" s="128">
        <v>4.3478260869565215</v>
      </c>
      <c r="AL55" s="127">
        <v>0</v>
      </c>
      <c r="AM55" s="128">
        <v>0</v>
      </c>
      <c r="AN55" s="127">
        <v>40</v>
      </c>
      <c r="AO55" s="128">
        <v>86.95652173913044</v>
      </c>
      <c r="AP55" s="127">
        <v>46</v>
      </c>
    </row>
    <row r="56" spans="1:42" ht="15">
      <c r="A56" s="65" t="s">
        <v>271</v>
      </c>
      <c r="B56" s="65" t="s">
        <v>273</v>
      </c>
      <c r="C56" s="66" t="s">
        <v>1220</v>
      </c>
      <c r="D56" s="67">
        <v>3</v>
      </c>
      <c r="E56" s="68"/>
      <c r="F56" s="69">
        <v>40</v>
      </c>
      <c r="G56" s="66"/>
      <c r="H56" s="70"/>
      <c r="I56" s="71"/>
      <c r="J56" s="71"/>
      <c r="K56" s="35" t="s">
        <v>65</v>
      </c>
      <c r="L56" s="79">
        <v>56</v>
      </c>
      <c r="M56" s="79"/>
      <c r="N56" s="73"/>
      <c r="O56" s="90" t="s">
        <v>355</v>
      </c>
      <c r="P56" s="90" t="s">
        <v>358</v>
      </c>
      <c r="Q56" s="94" t="s">
        <v>411</v>
      </c>
      <c r="R56" s="90" t="s">
        <v>271</v>
      </c>
      <c r="S56" s="90" t="s">
        <v>550</v>
      </c>
      <c r="T56" s="96" t="str">
        <f>HYPERLINK("http://www.youtube.com/channel/UCSJfXviTNs8Tce09VU_uAKw")</f>
        <v>http://www.youtube.com/channel/UCSJfXviTNs8Tce09VU_uAKw</v>
      </c>
      <c r="U56" s="90" t="s">
        <v>638</v>
      </c>
      <c r="V56" s="90" t="s">
        <v>652</v>
      </c>
      <c r="W56" s="96" t="str">
        <f>HYPERLINK("https://www.youtube.com/watch?v=fK1_SH3X2ek")</f>
        <v>https://www.youtube.com/watch?v=fK1_SH3X2ek</v>
      </c>
      <c r="X56" s="90" t="s">
        <v>656</v>
      </c>
      <c r="Y56" s="90">
        <v>0</v>
      </c>
      <c r="Z56" s="99">
        <v>43926.49190972222</v>
      </c>
      <c r="AA56" s="99">
        <v>43926.49190972222</v>
      </c>
      <c r="AB56" s="90" t="s">
        <v>657</v>
      </c>
      <c r="AC56" s="90" t="s">
        <v>662</v>
      </c>
      <c r="AD56" s="94" t="s">
        <v>666</v>
      </c>
      <c r="AE56" s="92">
        <v>1</v>
      </c>
      <c r="AF56" s="93" t="str">
        <f>REPLACE(INDEX(GroupVertices[Group],MATCH(Edges[[#This Row],[Vertex 1]],GroupVertices[Vertex],0)),1,1,"")</f>
        <v>6</v>
      </c>
      <c r="AG56" s="93" t="str">
        <f>REPLACE(INDEX(GroupVertices[Group],MATCH(Edges[[#This Row],[Vertex 2]],GroupVertices[Vertex],0)),1,1,"")</f>
        <v>6</v>
      </c>
      <c r="AH56" s="127">
        <v>1</v>
      </c>
      <c r="AI56" s="128">
        <v>3.3333333333333335</v>
      </c>
      <c r="AJ56" s="127">
        <v>0</v>
      </c>
      <c r="AK56" s="128">
        <v>0</v>
      </c>
      <c r="AL56" s="127">
        <v>0</v>
      </c>
      <c r="AM56" s="128">
        <v>0</v>
      </c>
      <c r="AN56" s="127">
        <v>29</v>
      </c>
      <c r="AO56" s="128">
        <v>96.66666666666667</v>
      </c>
      <c r="AP56" s="127">
        <v>30</v>
      </c>
    </row>
    <row r="57" spans="1:42" ht="15">
      <c r="A57" s="65" t="s">
        <v>273</v>
      </c>
      <c r="B57" s="65" t="s">
        <v>352</v>
      </c>
      <c r="C57" s="66" t="s">
        <v>1220</v>
      </c>
      <c r="D57" s="67">
        <v>3</v>
      </c>
      <c r="E57" s="68"/>
      <c r="F57" s="69">
        <v>40</v>
      </c>
      <c r="G57" s="66"/>
      <c r="H57" s="70"/>
      <c r="I57" s="71"/>
      <c r="J57" s="71"/>
      <c r="K57" s="35" t="s">
        <v>65</v>
      </c>
      <c r="L57" s="79">
        <v>57</v>
      </c>
      <c r="M57" s="79"/>
      <c r="N57" s="73"/>
      <c r="O57" s="90" t="s">
        <v>356</v>
      </c>
      <c r="P57" s="90" t="s">
        <v>212</v>
      </c>
      <c r="Q57" s="94" t="s">
        <v>412</v>
      </c>
      <c r="R57" s="90" t="s">
        <v>273</v>
      </c>
      <c r="S57" s="90" t="s">
        <v>552</v>
      </c>
      <c r="T57" s="96" t="str">
        <f>HYPERLINK("http://www.youtube.com/channel/UCaXUE4Eg9DIxjSu3GuKHHJA")</f>
        <v>http://www.youtube.com/channel/UCaXUE4Eg9DIxjSu3GuKHHJA</v>
      </c>
      <c r="U57" s="90"/>
      <c r="V57" s="90" t="s">
        <v>652</v>
      </c>
      <c r="W57" s="96" t="str">
        <f>HYPERLINK("https://www.youtube.com/watch?v=fK1_SH3X2ek")</f>
        <v>https://www.youtube.com/watch?v=fK1_SH3X2ek</v>
      </c>
      <c r="X57" s="90" t="s">
        <v>656</v>
      </c>
      <c r="Y57" s="90">
        <v>1</v>
      </c>
      <c r="Z57" s="99">
        <v>43564.55979166667</v>
      </c>
      <c r="AA57" s="99">
        <v>43564.55979166667</v>
      </c>
      <c r="AB57" s="90"/>
      <c r="AC57" s="90"/>
      <c r="AD57" s="94" t="s">
        <v>666</v>
      </c>
      <c r="AE57" s="92">
        <v>1</v>
      </c>
      <c r="AF57" s="93" t="str">
        <f>REPLACE(INDEX(GroupVertices[Group],MATCH(Edges[[#This Row],[Vertex 1]],GroupVertices[Vertex],0)),1,1,"")</f>
        <v>6</v>
      </c>
      <c r="AG57" s="93" t="str">
        <f>REPLACE(INDEX(GroupVertices[Group],MATCH(Edges[[#This Row],[Vertex 2]],GroupVertices[Vertex],0)),1,1,"")</f>
        <v>1</v>
      </c>
      <c r="AH57" s="127">
        <v>2</v>
      </c>
      <c r="AI57" s="128">
        <v>28.571428571428573</v>
      </c>
      <c r="AJ57" s="127">
        <v>0</v>
      </c>
      <c r="AK57" s="128">
        <v>0</v>
      </c>
      <c r="AL57" s="127">
        <v>0</v>
      </c>
      <c r="AM57" s="128">
        <v>0</v>
      </c>
      <c r="AN57" s="127">
        <v>5</v>
      </c>
      <c r="AO57" s="128">
        <v>71.42857142857143</v>
      </c>
      <c r="AP57" s="127">
        <v>7</v>
      </c>
    </row>
    <row r="58" spans="1:42" ht="15">
      <c r="A58" s="65" t="s">
        <v>274</v>
      </c>
      <c r="B58" s="65" t="s">
        <v>352</v>
      </c>
      <c r="C58" s="66" t="s">
        <v>1220</v>
      </c>
      <c r="D58" s="67">
        <v>3</v>
      </c>
      <c r="E58" s="68"/>
      <c r="F58" s="69">
        <v>40</v>
      </c>
      <c r="G58" s="66"/>
      <c r="H58" s="70"/>
      <c r="I58" s="71"/>
      <c r="J58" s="71"/>
      <c r="K58" s="35" t="s">
        <v>65</v>
      </c>
      <c r="L58" s="79">
        <v>58</v>
      </c>
      <c r="M58" s="79"/>
      <c r="N58" s="73"/>
      <c r="O58" s="90" t="s">
        <v>356</v>
      </c>
      <c r="P58" s="90" t="s">
        <v>212</v>
      </c>
      <c r="Q58" s="94" t="s">
        <v>413</v>
      </c>
      <c r="R58" s="90" t="s">
        <v>274</v>
      </c>
      <c r="S58" s="90" t="s">
        <v>553</v>
      </c>
      <c r="T58" s="96" t="str">
        <f>HYPERLINK("http://www.youtube.com/channel/UCZPWJbdvBBrMxnzF6FiKm_A")</f>
        <v>http://www.youtube.com/channel/UCZPWJbdvBBrMxnzF6FiKm_A</v>
      </c>
      <c r="U58" s="90"/>
      <c r="V58" s="90" t="s">
        <v>652</v>
      </c>
      <c r="W58" s="96" t="str">
        <f>HYPERLINK("https://www.youtube.com/watch?v=fK1_SH3X2ek")</f>
        <v>https://www.youtube.com/watch?v=fK1_SH3X2ek</v>
      </c>
      <c r="X58" s="90" t="s">
        <v>656</v>
      </c>
      <c r="Y58" s="90">
        <v>2</v>
      </c>
      <c r="Z58" s="99">
        <v>43564.62173611111</v>
      </c>
      <c r="AA58" s="99">
        <v>43564.62173611111</v>
      </c>
      <c r="AB58" s="90"/>
      <c r="AC58" s="90"/>
      <c r="AD58" s="94" t="s">
        <v>666</v>
      </c>
      <c r="AE58" s="92">
        <v>1</v>
      </c>
      <c r="AF58" s="93" t="str">
        <f>REPLACE(INDEX(GroupVertices[Group],MATCH(Edges[[#This Row],[Vertex 1]],GroupVertices[Vertex],0)),1,1,"")</f>
        <v>1</v>
      </c>
      <c r="AG58" s="93" t="str">
        <f>REPLACE(INDEX(GroupVertices[Group],MATCH(Edges[[#This Row],[Vertex 2]],GroupVertices[Vertex],0)),1,1,"")</f>
        <v>1</v>
      </c>
      <c r="AH58" s="127">
        <v>2</v>
      </c>
      <c r="AI58" s="128">
        <v>22.22222222222222</v>
      </c>
      <c r="AJ58" s="127">
        <v>0</v>
      </c>
      <c r="AK58" s="128">
        <v>0</v>
      </c>
      <c r="AL58" s="127">
        <v>0</v>
      </c>
      <c r="AM58" s="128">
        <v>0</v>
      </c>
      <c r="AN58" s="127">
        <v>7</v>
      </c>
      <c r="AO58" s="128">
        <v>77.77777777777777</v>
      </c>
      <c r="AP58" s="127">
        <v>9</v>
      </c>
    </row>
    <row r="59" spans="1:42" ht="15">
      <c r="A59" s="65" t="s">
        <v>275</v>
      </c>
      <c r="B59" s="65" t="s">
        <v>352</v>
      </c>
      <c r="C59" s="66" t="s">
        <v>1221</v>
      </c>
      <c r="D59" s="67">
        <v>3</v>
      </c>
      <c r="E59" s="68"/>
      <c r="F59" s="69">
        <v>40</v>
      </c>
      <c r="G59" s="66"/>
      <c r="H59" s="70"/>
      <c r="I59" s="71"/>
      <c r="J59" s="71"/>
      <c r="K59" s="35" t="s">
        <v>65</v>
      </c>
      <c r="L59" s="79">
        <v>59</v>
      </c>
      <c r="M59" s="79"/>
      <c r="N59" s="73"/>
      <c r="O59" s="90" t="s">
        <v>356</v>
      </c>
      <c r="P59" s="90" t="s">
        <v>212</v>
      </c>
      <c r="Q59" s="94" t="s">
        <v>414</v>
      </c>
      <c r="R59" s="90" t="s">
        <v>275</v>
      </c>
      <c r="S59" s="90" t="s">
        <v>554</v>
      </c>
      <c r="T59" s="96" t="str">
        <f>HYPERLINK("http://www.youtube.com/channel/UCNW4s2hXa_zbtclkv5hF0XA")</f>
        <v>http://www.youtube.com/channel/UCNW4s2hXa_zbtclkv5hF0XA</v>
      </c>
      <c r="U59" s="90"/>
      <c r="V59" s="90" t="s">
        <v>652</v>
      </c>
      <c r="W59" s="96" t="str">
        <f>HYPERLINK("https://www.youtube.com/watch?v=fK1_SH3X2ek")</f>
        <v>https://www.youtube.com/watch?v=fK1_SH3X2ek</v>
      </c>
      <c r="X59" s="90" t="s">
        <v>656</v>
      </c>
      <c r="Y59" s="90">
        <v>1</v>
      </c>
      <c r="Z59" s="99">
        <v>43856.030706018515</v>
      </c>
      <c r="AA59" s="99">
        <v>43856.030706018515</v>
      </c>
      <c r="AB59" s="90"/>
      <c r="AC59" s="90"/>
      <c r="AD59" s="94" t="s">
        <v>666</v>
      </c>
      <c r="AE59" s="92">
        <v>2</v>
      </c>
      <c r="AF59" s="93" t="str">
        <f>REPLACE(INDEX(GroupVertices[Group],MATCH(Edges[[#This Row],[Vertex 1]],GroupVertices[Vertex],0)),1,1,"")</f>
        <v>1</v>
      </c>
      <c r="AG59" s="93" t="str">
        <f>REPLACE(INDEX(GroupVertices[Group],MATCH(Edges[[#This Row],[Vertex 2]],GroupVertices[Vertex],0)),1,1,"")</f>
        <v>1</v>
      </c>
      <c r="AH59" s="127">
        <v>0</v>
      </c>
      <c r="AI59" s="128">
        <v>0</v>
      </c>
      <c r="AJ59" s="127">
        <v>2</v>
      </c>
      <c r="AK59" s="128">
        <v>9.523809523809524</v>
      </c>
      <c r="AL59" s="127">
        <v>0</v>
      </c>
      <c r="AM59" s="128">
        <v>0</v>
      </c>
      <c r="AN59" s="127">
        <v>19</v>
      </c>
      <c r="AO59" s="128">
        <v>90.47619047619048</v>
      </c>
      <c r="AP59" s="127">
        <v>21</v>
      </c>
    </row>
    <row r="60" spans="1:42" ht="15">
      <c r="A60" s="65" t="s">
        <v>275</v>
      </c>
      <c r="B60" s="65" t="s">
        <v>352</v>
      </c>
      <c r="C60" s="66" t="s">
        <v>1221</v>
      </c>
      <c r="D60" s="67">
        <v>3</v>
      </c>
      <c r="E60" s="68"/>
      <c r="F60" s="69">
        <v>40</v>
      </c>
      <c r="G60" s="66"/>
      <c r="H60" s="70"/>
      <c r="I60" s="71"/>
      <c r="J60" s="71"/>
      <c r="K60" s="35" t="s">
        <v>65</v>
      </c>
      <c r="L60" s="79">
        <v>60</v>
      </c>
      <c r="M60" s="79"/>
      <c r="N60" s="73"/>
      <c r="O60" s="90" t="s">
        <v>356</v>
      </c>
      <c r="P60" s="90" t="s">
        <v>212</v>
      </c>
      <c r="Q60" s="94" t="s">
        <v>415</v>
      </c>
      <c r="R60" s="90" t="s">
        <v>275</v>
      </c>
      <c r="S60" s="90" t="s">
        <v>554</v>
      </c>
      <c r="T60" s="96" t="str">
        <f>HYPERLINK("http://www.youtube.com/channel/UCNW4s2hXa_zbtclkv5hF0XA")</f>
        <v>http://www.youtube.com/channel/UCNW4s2hXa_zbtclkv5hF0XA</v>
      </c>
      <c r="U60" s="90"/>
      <c r="V60" s="90" t="s">
        <v>652</v>
      </c>
      <c r="W60" s="96" t="str">
        <f>HYPERLINK("https://www.youtube.com/watch?v=fK1_SH3X2ek")</f>
        <v>https://www.youtube.com/watch?v=fK1_SH3X2ek</v>
      </c>
      <c r="X60" s="90" t="s">
        <v>656</v>
      </c>
      <c r="Y60" s="90">
        <v>1</v>
      </c>
      <c r="Z60" s="99">
        <v>43856.04922453704</v>
      </c>
      <c r="AA60" s="99">
        <v>43856.09483796296</v>
      </c>
      <c r="AB60" s="90"/>
      <c r="AC60" s="90"/>
      <c r="AD60" s="94" t="s">
        <v>666</v>
      </c>
      <c r="AE60" s="92">
        <v>2</v>
      </c>
      <c r="AF60" s="93" t="str">
        <f>REPLACE(INDEX(GroupVertices[Group],MATCH(Edges[[#This Row],[Vertex 1]],GroupVertices[Vertex],0)),1,1,"")</f>
        <v>1</v>
      </c>
      <c r="AG60" s="93" t="str">
        <f>REPLACE(INDEX(GroupVertices[Group],MATCH(Edges[[#This Row],[Vertex 2]],GroupVertices[Vertex],0)),1,1,"")</f>
        <v>1</v>
      </c>
      <c r="AH60" s="127">
        <v>2</v>
      </c>
      <c r="AI60" s="128">
        <v>0.8733624454148472</v>
      </c>
      <c r="AJ60" s="127">
        <v>7</v>
      </c>
      <c r="AK60" s="128">
        <v>3.056768558951965</v>
      </c>
      <c r="AL60" s="127">
        <v>0</v>
      </c>
      <c r="AM60" s="128">
        <v>0</v>
      </c>
      <c r="AN60" s="127">
        <v>220</v>
      </c>
      <c r="AO60" s="128">
        <v>96.06986899563319</v>
      </c>
      <c r="AP60" s="127">
        <v>229</v>
      </c>
    </row>
    <row r="61" spans="1:42" ht="15">
      <c r="A61" s="65" t="s">
        <v>276</v>
      </c>
      <c r="B61" s="65" t="s">
        <v>277</v>
      </c>
      <c r="C61" s="66" t="s">
        <v>1220</v>
      </c>
      <c r="D61" s="67">
        <v>3</v>
      </c>
      <c r="E61" s="68"/>
      <c r="F61" s="69">
        <v>40</v>
      </c>
      <c r="G61" s="66"/>
      <c r="H61" s="70"/>
      <c r="I61" s="71"/>
      <c r="J61" s="71"/>
      <c r="K61" s="35" t="s">
        <v>65</v>
      </c>
      <c r="L61" s="79">
        <v>61</v>
      </c>
      <c r="M61" s="79"/>
      <c r="N61" s="73"/>
      <c r="O61" s="90" t="s">
        <v>355</v>
      </c>
      <c r="P61" s="90" t="s">
        <v>358</v>
      </c>
      <c r="Q61" s="94" t="s">
        <v>416</v>
      </c>
      <c r="R61" s="90" t="s">
        <v>276</v>
      </c>
      <c r="S61" s="90" t="s">
        <v>555</v>
      </c>
      <c r="T61" s="96" t="str">
        <f>HYPERLINK("http://www.youtube.com/channel/UCQ0xORuuU7Ym_BOdcC7oH1A")</f>
        <v>http://www.youtube.com/channel/UCQ0xORuuU7Ym_BOdcC7oH1A</v>
      </c>
      <c r="U61" s="90" t="s">
        <v>639</v>
      </c>
      <c r="V61" s="90" t="s">
        <v>652</v>
      </c>
      <c r="W61" s="96" t="str">
        <f>HYPERLINK("https://www.youtube.com/watch?v=fK1_SH3X2ek")</f>
        <v>https://www.youtube.com/watch?v=fK1_SH3X2ek</v>
      </c>
      <c r="X61" s="90" t="s">
        <v>656</v>
      </c>
      <c r="Y61" s="90">
        <v>0</v>
      </c>
      <c r="Z61" s="99">
        <v>43952.56144675926</v>
      </c>
      <c r="AA61" s="99">
        <v>43952.56144675926</v>
      </c>
      <c r="AB61" s="90"/>
      <c r="AC61" s="90"/>
      <c r="AD61" s="94" t="s">
        <v>666</v>
      </c>
      <c r="AE61" s="92">
        <v>1</v>
      </c>
      <c r="AF61" s="93" t="str">
        <f>REPLACE(INDEX(GroupVertices[Group],MATCH(Edges[[#This Row],[Vertex 1]],GroupVertices[Vertex],0)),1,1,"")</f>
        <v>11</v>
      </c>
      <c r="AG61" s="93" t="str">
        <f>REPLACE(INDEX(GroupVertices[Group],MATCH(Edges[[#This Row],[Vertex 2]],GroupVertices[Vertex],0)),1,1,"")</f>
        <v>11</v>
      </c>
      <c r="AH61" s="127">
        <v>0</v>
      </c>
      <c r="AI61" s="128">
        <v>0</v>
      </c>
      <c r="AJ61" s="127">
        <v>0</v>
      </c>
      <c r="AK61" s="128">
        <v>0</v>
      </c>
      <c r="AL61" s="127">
        <v>0</v>
      </c>
      <c r="AM61" s="128">
        <v>0</v>
      </c>
      <c r="AN61" s="127">
        <v>5</v>
      </c>
      <c r="AO61" s="128">
        <v>100</v>
      </c>
      <c r="AP61" s="127">
        <v>5</v>
      </c>
    </row>
    <row r="62" spans="1:42" ht="15">
      <c r="A62" s="65" t="s">
        <v>277</v>
      </c>
      <c r="B62" s="65" t="s">
        <v>352</v>
      </c>
      <c r="C62" s="66" t="s">
        <v>1220</v>
      </c>
      <c r="D62" s="67">
        <v>3</v>
      </c>
      <c r="E62" s="68"/>
      <c r="F62" s="69">
        <v>40</v>
      </c>
      <c r="G62" s="66"/>
      <c r="H62" s="70"/>
      <c r="I62" s="71"/>
      <c r="J62" s="71"/>
      <c r="K62" s="35" t="s">
        <v>65</v>
      </c>
      <c r="L62" s="79">
        <v>62</v>
      </c>
      <c r="M62" s="79"/>
      <c r="N62" s="73"/>
      <c r="O62" s="90" t="s">
        <v>356</v>
      </c>
      <c r="P62" s="90" t="s">
        <v>212</v>
      </c>
      <c r="Q62" s="94" t="s">
        <v>417</v>
      </c>
      <c r="R62" s="90" t="s">
        <v>277</v>
      </c>
      <c r="S62" s="90" t="s">
        <v>556</v>
      </c>
      <c r="T62" s="96" t="str">
        <f>HYPERLINK("http://www.youtube.com/channel/UCrCIH0x2X9Nq-qc3OyNPLZQ")</f>
        <v>http://www.youtube.com/channel/UCrCIH0x2X9Nq-qc3OyNPLZQ</v>
      </c>
      <c r="U62" s="90"/>
      <c r="V62" s="90" t="s">
        <v>652</v>
      </c>
      <c r="W62" s="96" t="str">
        <f>HYPERLINK("https://www.youtube.com/watch?v=fK1_SH3X2ek")</f>
        <v>https://www.youtube.com/watch?v=fK1_SH3X2ek</v>
      </c>
      <c r="X62" s="90" t="s">
        <v>656</v>
      </c>
      <c r="Y62" s="90">
        <v>5</v>
      </c>
      <c r="Z62" s="99">
        <v>43870.69210648148</v>
      </c>
      <c r="AA62" s="99">
        <v>43870.69210648148</v>
      </c>
      <c r="AB62" s="90"/>
      <c r="AC62" s="90"/>
      <c r="AD62" s="94" t="s">
        <v>666</v>
      </c>
      <c r="AE62" s="92">
        <v>1</v>
      </c>
      <c r="AF62" s="93" t="str">
        <f>REPLACE(INDEX(GroupVertices[Group],MATCH(Edges[[#This Row],[Vertex 1]],GroupVertices[Vertex],0)),1,1,"")</f>
        <v>11</v>
      </c>
      <c r="AG62" s="93" t="str">
        <f>REPLACE(INDEX(GroupVertices[Group],MATCH(Edges[[#This Row],[Vertex 2]],GroupVertices[Vertex],0)),1,1,"")</f>
        <v>1</v>
      </c>
      <c r="AH62" s="127">
        <v>1</v>
      </c>
      <c r="AI62" s="128">
        <v>33.333333333333336</v>
      </c>
      <c r="AJ62" s="127">
        <v>0</v>
      </c>
      <c r="AK62" s="128">
        <v>0</v>
      </c>
      <c r="AL62" s="127">
        <v>0</v>
      </c>
      <c r="AM62" s="128">
        <v>0</v>
      </c>
      <c r="AN62" s="127">
        <v>2</v>
      </c>
      <c r="AO62" s="128">
        <v>66.66666666666667</v>
      </c>
      <c r="AP62" s="127">
        <v>3</v>
      </c>
    </row>
    <row r="63" spans="1:42" ht="15">
      <c r="A63" s="65" t="s">
        <v>265</v>
      </c>
      <c r="B63" s="65" t="s">
        <v>278</v>
      </c>
      <c r="C63" s="66" t="s">
        <v>1221</v>
      </c>
      <c r="D63" s="67">
        <v>3</v>
      </c>
      <c r="E63" s="68"/>
      <c r="F63" s="69">
        <v>40</v>
      </c>
      <c r="G63" s="66"/>
      <c r="H63" s="70"/>
      <c r="I63" s="71"/>
      <c r="J63" s="71"/>
      <c r="K63" s="35" t="s">
        <v>65</v>
      </c>
      <c r="L63" s="79">
        <v>63</v>
      </c>
      <c r="M63" s="79"/>
      <c r="N63" s="73"/>
      <c r="O63" s="90" t="s">
        <v>355</v>
      </c>
      <c r="P63" s="90" t="s">
        <v>358</v>
      </c>
      <c r="Q63" s="94" t="s">
        <v>418</v>
      </c>
      <c r="R63" s="90" t="s">
        <v>265</v>
      </c>
      <c r="S63" s="90" t="s">
        <v>544</v>
      </c>
      <c r="T63" s="96" t="str">
        <f>HYPERLINK("http://www.youtube.com/channel/UCy8XLhlIl992JrAP2hgCscQ")</f>
        <v>http://www.youtube.com/channel/UCy8XLhlIl992JrAP2hgCscQ</v>
      </c>
      <c r="U63" s="90" t="s">
        <v>640</v>
      </c>
      <c r="V63" s="90" t="s">
        <v>652</v>
      </c>
      <c r="W63" s="96" t="str">
        <f>HYPERLINK("https://www.youtube.com/watch?v=fK1_SH3X2ek")</f>
        <v>https://www.youtube.com/watch?v=fK1_SH3X2ek</v>
      </c>
      <c r="X63" s="90" t="s">
        <v>656</v>
      </c>
      <c r="Y63" s="90">
        <v>1</v>
      </c>
      <c r="Z63" s="99">
        <v>44124.66025462963</v>
      </c>
      <c r="AA63" s="99">
        <v>44124.66025462963</v>
      </c>
      <c r="AB63" s="90"/>
      <c r="AC63" s="90"/>
      <c r="AD63" s="94" t="s">
        <v>666</v>
      </c>
      <c r="AE63" s="92">
        <v>2</v>
      </c>
      <c r="AF63" s="93" t="str">
        <f>REPLACE(INDEX(GroupVertices[Group],MATCH(Edges[[#This Row],[Vertex 1]],GroupVertices[Vertex],0)),1,1,"")</f>
        <v>1</v>
      </c>
      <c r="AG63" s="93" t="str">
        <f>REPLACE(INDEX(GroupVertices[Group],MATCH(Edges[[#This Row],[Vertex 2]],GroupVertices[Vertex],0)),1,1,"")</f>
        <v>1</v>
      </c>
      <c r="AH63" s="127">
        <v>1</v>
      </c>
      <c r="AI63" s="128">
        <v>7.142857142857143</v>
      </c>
      <c r="AJ63" s="127">
        <v>1</v>
      </c>
      <c r="AK63" s="128">
        <v>7.142857142857143</v>
      </c>
      <c r="AL63" s="127">
        <v>0</v>
      </c>
      <c r="AM63" s="128">
        <v>0</v>
      </c>
      <c r="AN63" s="127">
        <v>12</v>
      </c>
      <c r="AO63" s="128">
        <v>85.71428571428571</v>
      </c>
      <c r="AP63" s="127">
        <v>14</v>
      </c>
    </row>
    <row r="64" spans="1:42" ht="15">
      <c r="A64" s="65" t="s">
        <v>265</v>
      </c>
      <c r="B64" s="65" t="s">
        <v>278</v>
      </c>
      <c r="C64" s="66" t="s">
        <v>1221</v>
      </c>
      <c r="D64" s="67">
        <v>3</v>
      </c>
      <c r="E64" s="68"/>
      <c r="F64" s="69">
        <v>40</v>
      </c>
      <c r="G64" s="66"/>
      <c r="H64" s="70"/>
      <c r="I64" s="71"/>
      <c r="J64" s="71"/>
      <c r="K64" s="35" t="s">
        <v>65</v>
      </c>
      <c r="L64" s="79">
        <v>64</v>
      </c>
      <c r="M64" s="79"/>
      <c r="N64" s="73"/>
      <c r="O64" s="90" t="s">
        <v>355</v>
      </c>
      <c r="P64" s="90" t="s">
        <v>358</v>
      </c>
      <c r="Q64" s="94" t="s">
        <v>419</v>
      </c>
      <c r="R64" s="90" t="s">
        <v>265</v>
      </c>
      <c r="S64" s="90" t="s">
        <v>544</v>
      </c>
      <c r="T64" s="96" t="str">
        <f>HYPERLINK("http://www.youtube.com/channel/UCy8XLhlIl992JrAP2hgCscQ")</f>
        <v>http://www.youtube.com/channel/UCy8XLhlIl992JrAP2hgCscQ</v>
      </c>
      <c r="U64" s="90" t="s">
        <v>640</v>
      </c>
      <c r="V64" s="90" t="s">
        <v>652</v>
      </c>
      <c r="W64" s="96" t="str">
        <f>HYPERLINK("https://www.youtube.com/watch?v=fK1_SH3X2ek")</f>
        <v>https://www.youtube.com/watch?v=fK1_SH3X2ek</v>
      </c>
      <c r="X64" s="90" t="s">
        <v>656</v>
      </c>
      <c r="Y64" s="90">
        <v>1</v>
      </c>
      <c r="Z64" s="99">
        <v>44124.66105324074</v>
      </c>
      <c r="AA64" s="99">
        <v>44124.66105324074</v>
      </c>
      <c r="AB64" s="90"/>
      <c r="AC64" s="90"/>
      <c r="AD64" s="94" t="s">
        <v>666</v>
      </c>
      <c r="AE64" s="92">
        <v>2</v>
      </c>
      <c r="AF64" s="93" t="str">
        <f>REPLACE(INDEX(GroupVertices[Group],MATCH(Edges[[#This Row],[Vertex 1]],GroupVertices[Vertex],0)),1,1,"")</f>
        <v>1</v>
      </c>
      <c r="AG64" s="93" t="str">
        <f>REPLACE(INDEX(GroupVertices[Group],MATCH(Edges[[#This Row],[Vertex 2]],GroupVertices[Vertex],0)),1,1,"")</f>
        <v>1</v>
      </c>
      <c r="AH64" s="127">
        <v>1</v>
      </c>
      <c r="AI64" s="128">
        <v>5.2631578947368425</v>
      </c>
      <c r="AJ64" s="127">
        <v>1</v>
      </c>
      <c r="AK64" s="128">
        <v>5.2631578947368425</v>
      </c>
      <c r="AL64" s="127">
        <v>0</v>
      </c>
      <c r="AM64" s="128">
        <v>0</v>
      </c>
      <c r="AN64" s="127">
        <v>17</v>
      </c>
      <c r="AO64" s="128">
        <v>89.47368421052632</v>
      </c>
      <c r="AP64" s="127">
        <v>19</v>
      </c>
    </row>
    <row r="65" spans="1:42" ht="15">
      <c r="A65" s="65" t="s">
        <v>278</v>
      </c>
      <c r="B65" s="65" t="s">
        <v>352</v>
      </c>
      <c r="C65" s="66" t="s">
        <v>1220</v>
      </c>
      <c r="D65" s="67">
        <v>3</v>
      </c>
      <c r="E65" s="68"/>
      <c r="F65" s="69">
        <v>40</v>
      </c>
      <c r="G65" s="66"/>
      <c r="H65" s="70"/>
      <c r="I65" s="71"/>
      <c r="J65" s="71"/>
      <c r="K65" s="35" t="s">
        <v>65</v>
      </c>
      <c r="L65" s="79">
        <v>65</v>
      </c>
      <c r="M65" s="79"/>
      <c r="N65" s="73"/>
      <c r="O65" s="90" t="s">
        <v>356</v>
      </c>
      <c r="P65" s="90" t="s">
        <v>212</v>
      </c>
      <c r="Q65" s="94" t="s">
        <v>420</v>
      </c>
      <c r="R65" s="90" t="s">
        <v>278</v>
      </c>
      <c r="S65" s="90" t="s">
        <v>557</v>
      </c>
      <c r="T65" s="96" t="str">
        <f>HYPERLINK("http://www.youtube.com/channel/UClAJGOLHfWZyl6ZKqLEnJHg")</f>
        <v>http://www.youtube.com/channel/UClAJGOLHfWZyl6ZKqLEnJHg</v>
      </c>
      <c r="U65" s="90"/>
      <c r="V65" s="90" t="s">
        <v>652</v>
      </c>
      <c r="W65" s="96" t="str">
        <f>HYPERLINK("https://www.youtube.com/watch?v=fK1_SH3X2ek")</f>
        <v>https://www.youtube.com/watch?v=fK1_SH3X2ek</v>
      </c>
      <c r="X65" s="90" t="s">
        <v>656</v>
      </c>
      <c r="Y65" s="90">
        <v>4</v>
      </c>
      <c r="Z65" s="99">
        <v>43895.406701388885</v>
      </c>
      <c r="AA65" s="99">
        <v>43895.406701388885</v>
      </c>
      <c r="AB65" s="90"/>
      <c r="AC65" s="90"/>
      <c r="AD65" s="94" t="s">
        <v>666</v>
      </c>
      <c r="AE65" s="92">
        <v>1</v>
      </c>
      <c r="AF65" s="93" t="str">
        <f>REPLACE(INDEX(GroupVertices[Group],MATCH(Edges[[#This Row],[Vertex 1]],GroupVertices[Vertex],0)),1,1,"")</f>
        <v>1</v>
      </c>
      <c r="AG65" s="93" t="str">
        <f>REPLACE(INDEX(GroupVertices[Group],MATCH(Edges[[#This Row],[Vertex 2]],GroupVertices[Vertex],0)),1,1,"")</f>
        <v>1</v>
      </c>
      <c r="AH65" s="127">
        <v>1</v>
      </c>
      <c r="AI65" s="128">
        <v>10</v>
      </c>
      <c r="AJ65" s="127">
        <v>1</v>
      </c>
      <c r="AK65" s="128">
        <v>10</v>
      </c>
      <c r="AL65" s="127">
        <v>0</v>
      </c>
      <c r="AM65" s="128">
        <v>0</v>
      </c>
      <c r="AN65" s="127">
        <v>8</v>
      </c>
      <c r="AO65" s="128">
        <v>80</v>
      </c>
      <c r="AP65" s="127">
        <v>10</v>
      </c>
    </row>
    <row r="66" spans="1:42" ht="15">
      <c r="A66" s="65" t="s">
        <v>279</v>
      </c>
      <c r="B66" s="65" t="s">
        <v>352</v>
      </c>
      <c r="C66" s="66" t="s">
        <v>1220</v>
      </c>
      <c r="D66" s="67">
        <v>3</v>
      </c>
      <c r="E66" s="68"/>
      <c r="F66" s="69">
        <v>40</v>
      </c>
      <c r="G66" s="66"/>
      <c r="H66" s="70"/>
      <c r="I66" s="71"/>
      <c r="J66" s="71"/>
      <c r="K66" s="35" t="s">
        <v>65</v>
      </c>
      <c r="L66" s="79">
        <v>66</v>
      </c>
      <c r="M66" s="79"/>
      <c r="N66" s="73"/>
      <c r="O66" s="90" t="s">
        <v>356</v>
      </c>
      <c r="P66" s="90" t="s">
        <v>212</v>
      </c>
      <c r="Q66" s="94" t="s">
        <v>421</v>
      </c>
      <c r="R66" s="90" t="s">
        <v>279</v>
      </c>
      <c r="S66" s="90" t="s">
        <v>558</v>
      </c>
      <c r="T66" s="96" t="str">
        <f>HYPERLINK("http://www.youtube.com/channel/UCy7nI1ISKSL4DabMq45Yzgg")</f>
        <v>http://www.youtube.com/channel/UCy7nI1ISKSL4DabMq45Yzgg</v>
      </c>
      <c r="U66" s="90"/>
      <c r="V66" s="90" t="s">
        <v>652</v>
      </c>
      <c r="W66" s="96" t="str">
        <f>HYPERLINK("https://www.youtube.com/watch?v=fK1_SH3X2ek")</f>
        <v>https://www.youtube.com/watch?v=fK1_SH3X2ek</v>
      </c>
      <c r="X66" s="90" t="s">
        <v>656</v>
      </c>
      <c r="Y66" s="90">
        <v>1</v>
      </c>
      <c r="Z66" s="99">
        <v>43895.642233796294</v>
      </c>
      <c r="AA66" s="99">
        <v>43895.642233796294</v>
      </c>
      <c r="AB66" s="90"/>
      <c r="AC66" s="90"/>
      <c r="AD66" s="94" t="s">
        <v>666</v>
      </c>
      <c r="AE66" s="92">
        <v>1</v>
      </c>
      <c r="AF66" s="93" t="str">
        <f>REPLACE(INDEX(GroupVertices[Group],MATCH(Edges[[#This Row],[Vertex 1]],GroupVertices[Vertex],0)),1,1,"")</f>
        <v>1</v>
      </c>
      <c r="AG66" s="93" t="str">
        <f>REPLACE(INDEX(GroupVertices[Group],MATCH(Edges[[#This Row],[Vertex 2]],GroupVertices[Vertex],0)),1,1,"")</f>
        <v>1</v>
      </c>
      <c r="AH66" s="127">
        <v>2</v>
      </c>
      <c r="AI66" s="128">
        <v>20</v>
      </c>
      <c r="AJ66" s="127">
        <v>0</v>
      </c>
      <c r="AK66" s="128">
        <v>0</v>
      </c>
      <c r="AL66" s="127">
        <v>0</v>
      </c>
      <c r="AM66" s="128">
        <v>0</v>
      </c>
      <c r="AN66" s="127">
        <v>8</v>
      </c>
      <c r="AO66" s="128">
        <v>80</v>
      </c>
      <c r="AP66" s="127">
        <v>10</v>
      </c>
    </row>
    <row r="67" spans="1:42" ht="15">
      <c r="A67" s="65" t="s">
        <v>280</v>
      </c>
      <c r="B67" s="65" t="s">
        <v>281</v>
      </c>
      <c r="C67" s="66" t="s">
        <v>1220</v>
      </c>
      <c r="D67" s="67">
        <v>3</v>
      </c>
      <c r="E67" s="68"/>
      <c r="F67" s="69">
        <v>40</v>
      </c>
      <c r="G67" s="66"/>
      <c r="H67" s="70"/>
      <c r="I67" s="71"/>
      <c r="J67" s="71"/>
      <c r="K67" s="35" t="s">
        <v>65</v>
      </c>
      <c r="L67" s="79">
        <v>67</v>
      </c>
      <c r="M67" s="79"/>
      <c r="N67" s="73"/>
      <c r="O67" s="90" t="s">
        <v>355</v>
      </c>
      <c r="P67" s="90" t="s">
        <v>358</v>
      </c>
      <c r="Q67" s="94" t="s">
        <v>422</v>
      </c>
      <c r="R67" s="90" t="s">
        <v>280</v>
      </c>
      <c r="S67" s="90" t="s">
        <v>559</v>
      </c>
      <c r="T67" s="96" t="str">
        <f>HYPERLINK("http://www.youtube.com/channel/UClnojW-58I9WE8weIj_0J9A")</f>
        <v>http://www.youtube.com/channel/UClnojW-58I9WE8weIj_0J9A</v>
      </c>
      <c r="U67" s="90" t="s">
        <v>641</v>
      </c>
      <c r="V67" s="90" t="s">
        <v>652</v>
      </c>
      <c r="W67" s="96" t="str">
        <f>HYPERLINK("https://www.youtube.com/watch?v=fK1_SH3X2ek")</f>
        <v>https://www.youtube.com/watch?v=fK1_SH3X2ek</v>
      </c>
      <c r="X67" s="90" t="s">
        <v>656</v>
      </c>
      <c r="Y67" s="90">
        <v>0</v>
      </c>
      <c r="Z67" s="99">
        <v>43922.736608796295</v>
      </c>
      <c r="AA67" s="99">
        <v>43922.736608796295</v>
      </c>
      <c r="AB67" s="90"/>
      <c r="AC67" s="90"/>
      <c r="AD67" s="94" t="s">
        <v>666</v>
      </c>
      <c r="AE67" s="92">
        <v>1</v>
      </c>
      <c r="AF67" s="93" t="str">
        <f>REPLACE(INDEX(GroupVertices[Group],MATCH(Edges[[#This Row],[Vertex 1]],GroupVertices[Vertex],0)),1,1,"")</f>
        <v>2</v>
      </c>
      <c r="AG67" s="93" t="str">
        <f>REPLACE(INDEX(GroupVertices[Group],MATCH(Edges[[#This Row],[Vertex 2]],GroupVertices[Vertex],0)),1,1,"")</f>
        <v>2</v>
      </c>
      <c r="AH67" s="127">
        <v>0</v>
      </c>
      <c r="AI67" s="128">
        <v>0</v>
      </c>
      <c r="AJ67" s="127">
        <v>0</v>
      </c>
      <c r="AK67" s="128">
        <v>0</v>
      </c>
      <c r="AL67" s="127">
        <v>0</v>
      </c>
      <c r="AM67" s="128">
        <v>0</v>
      </c>
      <c r="AN67" s="127">
        <v>1</v>
      </c>
      <c r="AO67" s="128">
        <v>100</v>
      </c>
      <c r="AP67" s="127">
        <v>1</v>
      </c>
    </row>
    <row r="68" spans="1:42" ht="15">
      <c r="A68" s="65" t="s">
        <v>281</v>
      </c>
      <c r="B68" s="65" t="s">
        <v>352</v>
      </c>
      <c r="C68" s="66" t="s">
        <v>1220</v>
      </c>
      <c r="D68" s="67">
        <v>3</v>
      </c>
      <c r="E68" s="68"/>
      <c r="F68" s="69">
        <v>40</v>
      </c>
      <c r="G68" s="66"/>
      <c r="H68" s="70"/>
      <c r="I68" s="71"/>
      <c r="J68" s="71"/>
      <c r="K68" s="35" t="s">
        <v>65</v>
      </c>
      <c r="L68" s="79">
        <v>68</v>
      </c>
      <c r="M68" s="79"/>
      <c r="N68" s="73"/>
      <c r="O68" s="90" t="s">
        <v>356</v>
      </c>
      <c r="P68" s="90" t="s">
        <v>212</v>
      </c>
      <c r="Q68" s="94" t="s">
        <v>423</v>
      </c>
      <c r="R68" s="90" t="s">
        <v>281</v>
      </c>
      <c r="S68" s="90" t="s">
        <v>560</v>
      </c>
      <c r="T68" s="96" t="str">
        <f>HYPERLINK("http://www.youtube.com/channel/UCAT9SfyewrfIMlREAUYjJjA")</f>
        <v>http://www.youtube.com/channel/UCAT9SfyewrfIMlREAUYjJjA</v>
      </c>
      <c r="U68" s="90"/>
      <c r="V68" s="90" t="s">
        <v>652</v>
      </c>
      <c r="W68" s="96" t="str">
        <f>HYPERLINK("https://www.youtube.com/watch?v=fK1_SH3X2ek")</f>
        <v>https://www.youtube.com/watch?v=fK1_SH3X2ek</v>
      </c>
      <c r="X68" s="90" t="s">
        <v>656</v>
      </c>
      <c r="Y68" s="90">
        <v>2</v>
      </c>
      <c r="Z68" s="99">
        <v>43921.660405092596</v>
      </c>
      <c r="AA68" s="99">
        <v>43921.660405092596</v>
      </c>
      <c r="AB68" s="90"/>
      <c r="AC68" s="90"/>
      <c r="AD68" s="94" t="s">
        <v>666</v>
      </c>
      <c r="AE68" s="92">
        <v>1</v>
      </c>
      <c r="AF68" s="93" t="str">
        <f>REPLACE(INDEX(GroupVertices[Group],MATCH(Edges[[#This Row],[Vertex 1]],GroupVertices[Vertex],0)),1,1,"")</f>
        <v>2</v>
      </c>
      <c r="AG68" s="93" t="str">
        <f>REPLACE(INDEX(GroupVertices[Group],MATCH(Edges[[#This Row],[Vertex 2]],GroupVertices[Vertex],0)),1,1,"")</f>
        <v>1</v>
      </c>
      <c r="AH68" s="127">
        <v>0</v>
      </c>
      <c r="AI68" s="128">
        <v>0</v>
      </c>
      <c r="AJ68" s="127">
        <v>1</v>
      </c>
      <c r="AK68" s="128">
        <v>16.666666666666668</v>
      </c>
      <c r="AL68" s="127">
        <v>0</v>
      </c>
      <c r="AM68" s="128">
        <v>0</v>
      </c>
      <c r="AN68" s="127">
        <v>5</v>
      </c>
      <c r="AO68" s="128">
        <v>83.33333333333333</v>
      </c>
      <c r="AP68" s="127">
        <v>6</v>
      </c>
    </row>
    <row r="69" spans="1:42" ht="15">
      <c r="A69" s="65" t="s">
        <v>282</v>
      </c>
      <c r="B69" s="65" t="s">
        <v>280</v>
      </c>
      <c r="C69" s="66" t="s">
        <v>1220</v>
      </c>
      <c r="D69" s="67">
        <v>3</v>
      </c>
      <c r="E69" s="68"/>
      <c r="F69" s="69">
        <v>40</v>
      </c>
      <c r="G69" s="66"/>
      <c r="H69" s="70"/>
      <c r="I69" s="71"/>
      <c r="J69" s="71"/>
      <c r="K69" s="35" t="s">
        <v>65</v>
      </c>
      <c r="L69" s="79">
        <v>69</v>
      </c>
      <c r="M69" s="79"/>
      <c r="N69" s="73"/>
      <c r="O69" s="90" t="s">
        <v>355</v>
      </c>
      <c r="P69" s="90" t="s">
        <v>358</v>
      </c>
      <c r="Q69" s="94" t="s">
        <v>424</v>
      </c>
      <c r="R69" s="90" t="s">
        <v>282</v>
      </c>
      <c r="S69" s="90" t="s">
        <v>561</v>
      </c>
      <c r="T69" s="96" t="str">
        <f>HYPERLINK("http://www.youtube.com/channel/UCxnol9Dl-jD2QSEVc2EZxzg")</f>
        <v>http://www.youtube.com/channel/UCxnol9Dl-jD2QSEVc2EZxzg</v>
      </c>
      <c r="U69" s="90" t="s">
        <v>642</v>
      </c>
      <c r="V69" s="90" t="s">
        <v>652</v>
      </c>
      <c r="W69" s="96" t="str">
        <f>HYPERLINK("https://www.youtube.com/watch?v=")</f>
        <v>https://www.youtube.com/watch?v=</v>
      </c>
      <c r="X69" s="90" t="s">
        <v>656</v>
      </c>
      <c r="Y69" s="90">
        <v>3</v>
      </c>
      <c r="Z69" s="99">
        <v>43924.82549768518</v>
      </c>
      <c r="AA69" s="99">
        <v>43924.82549768518</v>
      </c>
      <c r="AB69" s="90"/>
      <c r="AC69" s="90"/>
      <c r="AD69" s="94" t="s">
        <v>666</v>
      </c>
      <c r="AE69" s="92">
        <v>1</v>
      </c>
      <c r="AF69" s="93" t="str">
        <f>REPLACE(INDEX(GroupVertices[Group],MATCH(Edges[[#This Row],[Vertex 1]],GroupVertices[Vertex],0)),1,1,"")</f>
        <v>2</v>
      </c>
      <c r="AG69" s="93" t="str">
        <f>REPLACE(INDEX(GroupVertices[Group],MATCH(Edges[[#This Row],[Vertex 2]],GroupVertices[Vertex],0)),1,1,"")</f>
        <v>2</v>
      </c>
      <c r="AH69" s="127">
        <v>1</v>
      </c>
      <c r="AI69" s="128">
        <v>20</v>
      </c>
      <c r="AJ69" s="127">
        <v>0</v>
      </c>
      <c r="AK69" s="128">
        <v>0</v>
      </c>
      <c r="AL69" s="127">
        <v>0</v>
      </c>
      <c r="AM69" s="128">
        <v>0</v>
      </c>
      <c r="AN69" s="127">
        <v>4</v>
      </c>
      <c r="AO69" s="128">
        <v>80</v>
      </c>
      <c r="AP69" s="127">
        <v>5</v>
      </c>
    </row>
    <row r="70" spans="1:42" ht="15">
      <c r="A70" s="65" t="s">
        <v>283</v>
      </c>
      <c r="B70" s="65" t="s">
        <v>280</v>
      </c>
      <c r="C70" s="66" t="s">
        <v>1220</v>
      </c>
      <c r="D70" s="67">
        <v>3</v>
      </c>
      <c r="E70" s="68"/>
      <c r="F70" s="69">
        <v>40</v>
      </c>
      <c r="G70" s="66"/>
      <c r="H70" s="70"/>
      <c r="I70" s="71"/>
      <c r="J70" s="71"/>
      <c r="K70" s="35" t="s">
        <v>65</v>
      </c>
      <c r="L70" s="79">
        <v>70</v>
      </c>
      <c r="M70" s="79"/>
      <c r="N70" s="73"/>
      <c r="O70" s="90" t="s">
        <v>355</v>
      </c>
      <c r="P70" s="90" t="s">
        <v>358</v>
      </c>
      <c r="Q70" s="94" t="s">
        <v>422</v>
      </c>
      <c r="R70" s="90" t="s">
        <v>283</v>
      </c>
      <c r="S70" s="90" t="s">
        <v>562</v>
      </c>
      <c r="T70" s="96" t="str">
        <f>HYPERLINK("http://www.youtube.com/channel/UCcR3lvb6rzItuTw9H5_I2TQ")</f>
        <v>http://www.youtube.com/channel/UCcR3lvb6rzItuTw9H5_I2TQ</v>
      </c>
      <c r="U70" s="90" t="s">
        <v>642</v>
      </c>
      <c r="V70" s="90" t="s">
        <v>652</v>
      </c>
      <c r="W70" s="96" t="str">
        <f>HYPERLINK("https://www.youtube.com/watch?v=")</f>
        <v>https://www.youtube.com/watch?v=</v>
      </c>
      <c r="X70" s="90" t="s">
        <v>656</v>
      </c>
      <c r="Y70" s="90">
        <v>3</v>
      </c>
      <c r="Z70" s="99">
        <v>43929.874606481484</v>
      </c>
      <c r="AA70" s="99">
        <v>43929.874606481484</v>
      </c>
      <c r="AB70" s="90"/>
      <c r="AC70" s="90"/>
      <c r="AD70" s="94" t="s">
        <v>666</v>
      </c>
      <c r="AE70" s="92">
        <v>1</v>
      </c>
      <c r="AF70" s="93" t="str">
        <f>REPLACE(INDEX(GroupVertices[Group],MATCH(Edges[[#This Row],[Vertex 1]],GroupVertices[Vertex],0)),1,1,"")</f>
        <v>2</v>
      </c>
      <c r="AG70" s="93" t="str">
        <f>REPLACE(INDEX(GroupVertices[Group],MATCH(Edges[[#This Row],[Vertex 2]],GroupVertices[Vertex],0)),1,1,"")</f>
        <v>2</v>
      </c>
      <c r="AH70" s="127">
        <v>0</v>
      </c>
      <c r="AI70" s="128">
        <v>0</v>
      </c>
      <c r="AJ70" s="127">
        <v>0</v>
      </c>
      <c r="AK70" s="128">
        <v>0</v>
      </c>
      <c r="AL70" s="127">
        <v>0</v>
      </c>
      <c r="AM70" s="128">
        <v>0</v>
      </c>
      <c r="AN70" s="127">
        <v>1</v>
      </c>
      <c r="AO70" s="128">
        <v>100</v>
      </c>
      <c r="AP70" s="127">
        <v>1</v>
      </c>
    </row>
    <row r="71" spans="1:42" ht="15">
      <c r="A71" s="65" t="s">
        <v>284</v>
      </c>
      <c r="B71" s="65" t="s">
        <v>280</v>
      </c>
      <c r="C71" s="66" t="s">
        <v>1221</v>
      </c>
      <c r="D71" s="67">
        <v>3</v>
      </c>
      <c r="E71" s="68"/>
      <c r="F71" s="69">
        <v>40</v>
      </c>
      <c r="G71" s="66"/>
      <c r="H71" s="70"/>
      <c r="I71" s="71"/>
      <c r="J71" s="71"/>
      <c r="K71" s="35" t="s">
        <v>65</v>
      </c>
      <c r="L71" s="79">
        <v>71</v>
      </c>
      <c r="M71" s="79"/>
      <c r="N71" s="73"/>
      <c r="O71" s="90" t="s">
        <v>355</v>
      </c>
      <c r="P71" s="90" t="s">
        <v>358</v>
      </c>
      <c r="Q71" s="94" t="s">
        <v>425</v>
      </c>
      <c r="R71" s="90" t="s">
        <v>284</v>
      </c>
      <c r="S71" s="90" t="s">
        <v>563</v>
      </c>
      <c r="T71" s="96" t="str">
        <f>HYPERLINK("http://www.youtube.com/channel/UCL1rU-jRwC0itTwpu9z7Lmg")</f>
        <v>http://www.youtube.com/channel/UCL1rU-jRwC0itTwpu9z7Lmg</v>
      </c>
      <c r="U71" s="90" t="s">
        <v>642</v>
      </c>
      <c r="V71" s="90" t="s">
        <v>652</v>
      </c>
      <c r="W71" s="96" t="str">
        <f>HYPERLINK("https://www.youtube.com/watch?v=")</f>
        <v>https://www.youtube.com/watch?v=</v>
      </c>
      <c r="X71" s="90" t="s">
        <v>656</v>
      </c>
      <c r="Y71" s="90">
        <v>2</v>
      </c>
      <c r="Z71" s="99">
        <v>43944.64487268519</v>
      </c>
      <c r="AA71" s="99">
        <v>43944.64487268519</v>
      </c>
      <c r="AB71" s="90"/>
      <c r="AC71" s="90"/>
      <c r="AD71" s="94" t="s">
        <v>666</v>
      </c>
      <c r="AE71" s="92">
        <v>2</v>
      </c>
      <c r="AF71" s="93" t="str">
        <f>REPLACE(INDEX(GroupVertices[Group],MATCH(Edges[[#This Row],[Vertex 1]],GroupVertices[Vertex],0)),1,1,"")</f>
        <v>2</v>
      </c>
      <c r="AG71" s="93" t="str">
        <f>REPLACE(INDEX(GroupVertices[Group],MATCH(Edges[[#This Row],[Vertex 2]],GroupVertices[Vertex],0)),1,1,"")</f>
        <v>2</v>
      </c>
      <c r="AH71" s="127">
        <v>0</v>
      </c>
      <c r="AI71" s="128">
        <v>0</v>
      </c>
      <c r="AJ71" s="127">
        <v>0</v>
      </c>
      <c r="AK71" s="128">
        <v>0</v>
      </c>
      <c r="AL71" s="127">
        <v>0</v>
      </c>
      <c r="AM71" s="128">
        <v>0</v>
      </c>
      <c r="AN71" s="127">
        <v>1</v>
      </c>
      <c r="AO71" s="128">
        <v>100</v>
      </c>
      <c r="AP71" s="127">
        <v>1</v>
      </c>
    </row>
    <row r="72" spans="1:42" ht="15">
      <c r="A72" s="65" t="s">
        <v>284</v>
      </c>
      <c r="B72" s="65" t="s">
        <v>280</v>
      </c>
      <c r="C72" s="66" t="s">
        <v>1221</v>
      </c>
      <c r="D72" s="67">
        <v>3</v>
      </c>
      <c r="E72" s="68"/>
      <c r="F72" s="69">
        <v>40</v>
      </c>
      <c r="G72" s="66"/>
      <c r="H72" s="70"/>
      <c r="I72" s="71"/>
      <c r="J72" s="71"/>
      <c r="K72" s="35" t="s">
        <v>65</v>
      </c>
      <c r="L72" s="79">
        <v>72</v>
      </c>
      <c r="M72" s="79"/>
      <c r="N72" s="73"/>
      <c r="O72" s="90" t="s">
        <v>355</v>
      </c>
      <c r="P72" s="90" t="s">
        <v>358</v>
      </c>
      <c r="Q72" s="94" t="s">
        <v>426</v>
      </c>
      <c r="R72" s="90" t="s">
        <v>284</v>
      </c>
      <c r="S72" s="90" t="s">
        <v>563</v>
      </c>
      <c r="T72" s="96" t="str">
        <f>HYPERLINK("http://www.youtube.com/channel/UCL1rU-jRwC0itTwpu9z7Lmg")</f>
        <v>http://www.youtube.com/channel/UCL1rU-jRwC0itTwpu9z7Lmg</v>
      </c>
      <c r="U72" s="90" t="s">
        <v>642</v>
      </c>
      <c r="V72" s="90" t="s">
        <v>652</v>
      </c>
      <c r="W72" s="96" t="str">
        <f>HYPERLINK("https://www.youtube.com/watch?v=")</f>
        <v>https://www.youtube.com/watch?v=</v>
      </c>
      <c r="X72" s="90" t="s">
        <v>656</v>
      </c>
      <c r="Y72" s="90">
        <v>2</v>
      </c>
      <c r="Z72" s="99">
        <v>43944.65037037037</v>
      </c>
      <c r="AA72" s="99">
        <v>43944.65037037037</v>
      </c>
      <c r="AB72" s="90"/>
      <c r="AC72" s="90"/>
      <c r="AD72" s="94" t="s">
        <v>666</v>
      </c>
      <c r="AE72" s="92">
        <v>2</v>
      </c>
      <c r="AF72" s="93" t="str">
        <f>REPLACE(INDEX(GroupVertices[Group],MATCH(Edges[[#This Row],[Vertex 1]],GroupVertices[Vertex],0)),1,1,"")</f>
        <v>2</v>
      </c>
      <c r="AG72" s="93" t="str">
        <f>REPLACE(INDEX(GroupVertices[Group],MATCH(Edges[[#This Row],[Vertex 2]],GroupVertices[Vertex],0)),1,1,"")</f>
        <v>2</v>
      </c>
      <c r="AH72" s="127">
        <v>0</v>
      </c>
      <c r="AI72" s="128">
        <v>0</v>
      </c>
      <c r="AJ72" s="127">
        <v>0</v>
      </c>
      <c r="AK72" s="128">
        <v>0</v>
      </c>
      <c r="AL72" s="127">
        <v>0</v>
      </c>
      <c r="AM72" s="128">
        <v>0</v>
      </c>
      <c r="AN72" s="127">
        <v>5</v>
      </c>
      <c r="AO72" s="128">
        <v>100</v>
      </c>
      <c r="AP72" s="127">
        <v>5</v>
      </c>
    </row>
    <row r="73" spans="1:42" ht="15">
      <c r="A73" s="65" t="s">
        <v>285</v>
      </c>
      <c r="B73" s="65" t="s">
        <v>280</v>
      </c>
      <c r="C73" s="66" t="s">
        <v>1220</v>
      </c>
      <c r="D73" s="67">
        <v>3</v>
      </c>
      <c r="E73" s="68"/>
      <c r="F73" s="69">
        <v>40</v>
      </c>
      <c r="G73" s="66"/>
      <c r="H73" s="70"/>
      <c r="I73" s="71"/>
      <c r="J73" s="71"/>
      <c r="K73" s="35" t="s">
        <v>65</v>
      </c>
      <c r="L73" s="79">
        <v>73</v>
      </c>
      <c r="M73" s="79"/>
      <c r="N73" s="73"/>
      <c r="O73" s="90" t="s">
        <v>355</v>
      </c>
      <c r="P73" s="90" t="s">
        <v>358</v>
      </c>
      <c r="Q73" s="94" t="s">
        <v>427</v>
      </c>
      <c r="R73" s="90" t="s">
        <v>285</v>
      </c>
      <c r="S73" s="90" t="s">
        <v>564</v>
      </c>
      <c r="T73" s="96" t="str">
        <f>HYPERLINK("http://www.youtube.com/channel/UCPb6pOgqpY3ye-z9595hDyA")</f>
        <v>http://www.youtube.com/channel/UCPb6pOgqpY3ye-z9595hDyA</v>
      </c>
      <c r="U73" s="90" t="s">
        <v>642</v>
      </c>
      <c r="V73" s="90" t="s">
        <v>652</v>
      </c>
      <c r="W73" s="96" t="str">
        <f>HYPERLINK("https://www.youtube.com/watch?v=")</f>
        <v>https://www.youtube.com/watch?v=</v>
      </c>
      <c r="X73" s="90" t="s">
        <v>656</v>
      </c>
      <c r="Y73" s="90">
        <v>2</v>
      </c>
      <c r="Z73" s="99">
        <v>43948.740428240744</v>
      </c>
      <c r="AA73" s="99">
        <v>43948.740428240744</v>
      </c>
      <c r="AB73" s="90"/>
      <c r="AC73" s="90"/>
      <c r="AD73" s="94" t="s">
        <v>666</v>
      </c>
      <c r="AE73" s="92">
        <v>1</v>
      </c>
      <c r="AF73" s="93" t="str">
        <f>REPLACE(INDEX(GroupVertices[Group],MATCH(Edges[[#This Row],[Vertex 1]],GroupVertices[Vertex],0)),1,1,"")</f>
        <v>2</v>
      </c>
      <c r="AG73" s="93" t="str">
        <f>REPLACE(INDEX(GroupVertices[Group],MATCH(Edges[[#This Row],[Vertex 2]],GroupVertices[Vertex],0)),1,1,"")</f>
        <v>2</v>
      </c>
      <c r="AH73" s="127">
        <v>0</v>
      </c>
      <c r="AI73" s="128">
        <v>0</v>
      </c>
      <c r="AJ73" s="127">
        <v>0</v>
      </c>
      <c r="AK73" s="128">
        <v>0</v>
      </c>
      <c r="AL73" s="127">
        <v>0</v>
      </c>
      <c r="AM73" s="128">
        <v>0</v>
      </c>
      <c r="AN73" s="127">
        <v>2</v>
      </c>
      <c r="AO73" s="128">
        <v>100</v>
      </c>
      <c r="AP73" s="127">
        <v>2</v>
      </c>
    </row>
    <row r="74" spans="1:42" ht="15">
      <c r="A74" s="65" t="s">
        <v>286</v>
      </c>
      <c r="B74" s="65" t="s">
        <v>280</v>
      </c>
      <c r="C74" s="66" t="s">
        <v>1220</v>
      </c>
      <c r="D74" s="67">
        <v>3</v>
      </c>
      <c r="E74" s="68"/>
      <c r="F74" s="69">
        <v>40</v>
      </c>
      <c r="G74" s="66"/>
      <c r="H74" s="70"/>
      <c r="I74" s="71"/>
      <c r="J74" s="71"/>
      <c r="K74" s="35" t="s">
        <v>65</v>
      </c>
      <c r="L74" s="79">
        <v>74</v>
      </c>
      <c r="M74" s="79"/>
      <c r="N74" s="73"/>
      <c r="O74" s="90" t="s">
        <v>355</v>
      </c>
      <c r="P74" s="90" t="s">
        <v>358</v>
      </c>
      <c r="Q74" s="94" t="s">
        <v>428</v>
      </c>
      <c r="R74" s="90" t="s">
        <v>286</v>
      </c>
      <c r="S74" s="90" t="s">
        <v>565</v>
      </c>
      <c r="T74" s="96" t="str">
        <f>HYPERLINK("http://www.youtube.com/channel/UCtojG0-YFF6E_STBkGB9GlA")</f>
        <v>http://www.youtube.com/channel/UCtojG0-YFF6E_STBkGB9GlA</v>
      </c>
      <c r="U74" s="90" t="s">
        <v>642</v>
      </c>
      <c r="V74" s="90" t="s">
        <v>652</v>
      </c>
      <c r="W74" s="96" t="str">
        <f>HYPERLINK("https://www.youtube.com/watch?v=")</f>
        <v>https://www.youtube.com/watch?v=</v>
      </c>
      <c r="X74" s="90" t="s">
        <v>656</v>
      </c>
      <c r="Y74" s="90">
        <v>1</v>
      </c>
      <c r="Z74" s="99">
        <v>43959.79534722222</v>
      </c>
      <c r="AA74" s="99">
        <v>43959.79534722222</v>
      </c>
      <c r="AB74" s="90"/>
      <c r="AC74" s="90"/>
      <c r="AD74" s="94" t="s">
        <v>666</v>
      </c>
      <c r="AE74" s="92">
        <v>1</v>
      </c>
      <c r="AF74" s="93" t="str">
        <f>REPLACE(INDEX(GroupVertices[Group],MATCH(Edges[[#This Row],[Vertex 1]],GroupVertices[Vertex],0)),1,1,"")</f>
        <v>2</v>
      </c>
      <c r="AG74" s="93" t="str">
        <f>REPLACE(INDEX(GroupVertices[Group],MATCH(Edges[[#This Row],[Vertex 2]],GroupVertices[Vertex],0)),1,1,"")</f>
        <v>2</v>
      </c>
      <c r="AH74" s="127">
        <v>0</v>
      </c>
      <c r="AI74" s="128">
        <v>0</v>
      </c>
      <c r="AJ74" s="127">
        <v>0</v>
      </c>
      <c r="AK74" s="128">
        <v>0</v>
      </c>
      <c r="AL74" s="127">
        <v>0</v>
      </c>
      <c r="AM74" s="128">
        <v>0</v>
      </c>
      <c r="AN74" s="127">
        <v>1</v>
      </c>
      <c r="AO74" s="128">
        <v>100</v>
      </c>
      <c r="AP74" s="127">
        <v>1</v>
      </c>
    </row>
    <row r="75" spans="1:42" ht="15">
      <c r="A75" s="65" t="s">
        <v>287</v>
      </c>
      <c r="B75" s="65" t="s">
        <v>280</v>
      </c>
      <c r="C75" s="66" t="s">
        <v>1220</v>
      </c>
      <c r="D75" s="67">
        <v>3</v>
      </c>
      <c r="E75" s="68"/>
      <c r="F75" s="69">
        <v>40</v>
      </c>
      <c r="G75" s="66"/>
      <c r="H75" s="70"/>
      <c r="I75" s="71"/>
      <c r="J75" s="71"/>
      <c r="K75" s="35" t="s">
        <v>65</v>
      </c>
      <c r="L75" s="79">
        <v>75</v>
      </c>
      <c r="M75" s="79"/>
      <c r="N75" s="73"/>
      <c r="O75" s="90" t="s">
        <v>355</v>
      </c>
      <c r="P75" s="90" t="s">
        <v>358</v>
      </c>
      <c r="Q75" s="94" t="s">
        <v>429</v>
      </c>
      <c r="R75" s="90" t="s">
        <v>287</v>
      </c>
      <c r="S75" s="90" t="s">
        <v>566</v>
      </c>
      <c r="T75" s="96" t="str">
        <f>HYPERLINK("http://www.youtube.com/channel/UCVWdrNV8bxniNzRsFK-sBtg")</f>
        <v>http://www.youtube.com/channel/UCVWdrNV8bxniNzRsFK-sBtg</v>
      </c>
      <c r="U75" s="90" t="s">
        <v>642</v>
      </c>
      <c r="V75" s="90" t="s">
        <v>652</v>
      </c>
      <c r="W75" s="96" t="str">
        <f>HYPERLINK("https://www.youtube.com/watch?v=")</f>
        <v>https://www.youtube.com/watch?v=</v>
      </c>
      <c r="X75" s="90" t="s">
        <v>656</v>
      </c>
      <c r="Y75" s="90">
        <v>1</v>
      </c>
      <c r="Z75" s="99">
        <v>43964.78925925926</v>
      </c>
      <c r="AA75" s="99">
        <v>43964.78925925926</v>
      </c>
      <c r="AB75" s="90"/>
      <c r="AC75" s="90"/>
      <c r="AD75" s="94" t="s">
        <v>666</v>
      </c>
      <c r="AE75" s="92">
        <v>1</v>
      </c>
      <c r="AF75" s="93" t="str">
        <f>REPLACE(INDEX(GroupVertices[Group],MATCH(Edges[[#This Row],[Vertex 1]],GroupVertices[Vertex],0)),1,1,"")</f>
        <v>2</v>
      </c>
      <c r="AG75" s="93" t="str">
        <f>REPLACE(INDEX(GroupVertices[Group],MATCH(Edges[[#This Row],[Vertex 2]],GroupVertices[Vertex],0)),1,1,"")</f>
        <v>2</v>
      </c>
      <c r="AH75" s="127">
        <v>0</v>
      </c>
      <c r="AI75" s="128">
        <v>0</v>
      </c>
      <c r="AJ75" s="127">
        <v>0</v>
      </c>
      <c r="AK75" s="128">
        <v>0</v>
      </c>
      <c r="AL75" s="127">
        <v>0</v>
      </c>
      <c r="AM75" s="128">
        <v>0</v>
      </c>
      <c r="AN75" s="127">
        <v>5</v>
      </c>
      <c r="AO75" s="128">
        <v>100</v>
      </c>
      <c r="AP75" s="127">
        <v>5</v>
      </c>
    </row>
    <row r="76" spans="1:42" ht="15">
      <c r="A76" s="65" t="s">
        <v>288</v>
      </c>
      <c r="B76" s="65" t="s">
        <v>280</v>
      </c>
      <c r="C76" s="66" t="s">
        <v>1220</v>
      </c>
      <c r="D76" s="67">
        <v>3</v>
      </c>
      <c r="E76" s="68"/>
      <c r="F76" s="69">
        <v>40</v>
      </c>
      <c r="G76" s="66"/>
      <c r="H76" s="70"/>
      <c r="I76" s="71"/>
      <c r="J76" s="71"/>
      <c r="K76" s="35" t="s">
        <v>65</v>
      </c>
      <c r="L76" s="79">
        <v>76</v>
      </c>
      <c r="M76" s="79"/>
      <c r="N76" s="73"/>
      <c r="O76" s="90" t="s">
        <v>355</v>
      </c>
      <c r="P76" s="90" t="s">
        <v>358</v>
      </c>
      <c r="Q76" s="94" t="s">
        <v>430</v>
      </c>
      <c r="R76" s="90" t="s">
        <v>288</v>
      </c>
      <c r="S76" s="90" t="s">
        <v>567</v>
      </c>
      <c r="T76" s="96" t="str">
        <f>HYPERLINK("http://www.youtube.com/channel/UC0-aV8W_jMNPr6pkPHoHklA")</f>
        <v>http://www.youtube.com/channel/UC0-aV8W_jMNPr6pkPHoHklA</v>
      </c>
      <c r="U76" s="90" t="s">
        <v>642</v>
      </c>
      <c r="V76" s="90" t="s">
        <v>652</v>
      </c>
      <c r="W76" s="96" t="str">
        <f>HYPERLINK("https://www.youtube.com/watch?v=")</f>
        <v>https://www.youtube.com/watch?v=</v>
      </c>
      <c r="X76" s="90" t="s">
        <v>656</v>
      </c>
      <c r="Y76" s="90">
        <v>1</v>
      </c>
      <c r="Z76" s="99">
        <v>43991.83541666667</v>
      </c>
      <c r="AA76" s="99">
        <v>43991.83541666667</v>
      </c>
      <c r="AB76" s="90"/>
      <c r="AC76" s="90"/>
      <c r="AD76" s="94" t="s">
        <v>666</v>
      </c>
      <c r="AE76" s="92">
        <v>1</v>
      </c>
      <c r="AF76" s="93" t="str">
        <f>REPLACE(INDEX(GroupVertices[Group],MATCH(Edges[[#This Row],[Vertex 1]],GroupVertices[Vertex],0)),1,1,"")</f>
        <v>2</v>
      </c>
      <c r="AG76" s="93" t="str">
        <f>REPLACE(INDEX(GroupVertices[Group],MATCH(Edges[[#This Row],[Vertex 2]],GroupVertices[Vertex],0)),1,1,"")</f>
        <v>2</v>
      </c>
      <c r="AH76" s="127">
        <v>1</v>
      </c>
      <c r="AI76" s="128">
        <v>100</v>
      </c>
      <c r="AJ76" s="127">
        <v>0</v>
      </c>
      <c r="AK76" s="128">
        <v>0</v>
      </c>
      <c r="AL76" s="127">
        <v>0</v>
      </c>
      <c r="AM76" s="128">
        <v>0</v>
      </c>
      <c r="AN76" s="127">
        <v>0</v>
      </c>
      <c r="AO76" s="128">
        <v>0</v>
      </c>
      <c r="AP76" s="127">
        <v>1</v>
      </c>
    </row>
    <row r="77" spans="1:42" ht="15">
      <c r="A77" s="65" t="s">
        <v>289</v>
      </c>
      <c r="B77" s="65" t="s">
        <v>280</v>
      </c>
      <c r="C77" s="66" t="s">
        <v>1220</v>
      </c>
      <c r="D77" s="67">
        <v>3</v>
      </c>
      <c r="E77" s="68"/>
      <c r="F77" s="69">
        <v>40</v>
      </c>
      <c r="G77" s="66"/>
      <c r="H77" s="70"/>
      <c r="I77" s="71"/>
      <c r="J77" s="71"/>
      <c r="K77" s="35" t="s">
        <v>65</v>
      </c>
      <c r="L77" s="79">
        <v>77</v>
      </c>
      <c r="M77" s="79"/>
      <c r="N77" s="73"/>
      <c r="O77" s="90" t="s">
        <v>355</v>
      </c>
      <c r="P77" s="90" t="s">
        <v>358</v>
      </c>
      <c r="Q77" s="94" t="s">
        <v>431</v>
      </c>
      <c r="R77" s="90" t="s">
        <v>289</v>
      </c>
      <c r="S77" s="90" t="s">
        <v>568</v>
      </c>
      <c r="T77" s="96" t="str">
        <f>HYPERLINK("http://www.youtube.com/channel/UCnr_NEU1KQ6uBsB0-pj7Z2Q")</f>
        <v>http://www.youtube.com/channel/UCnr_NEU1KQ6uBsB0-pj7Z2Q</v>
      </c>
      <c r="U77" s="90" t="s">
        <v>642</v>
      </c>
      <c r="V77" s="90" t="s">
        <v>652</v>
      </c>
      <c r="W77" s="96" t="str">
        <f>HYPERLINK("https://www.youtube.com/watch?v=")</f>
        <v>https://www.youtube.com/watch?v=</v>
      </c>
      <c r="X77" s="90" t="s">
        <v>656</v>
      </c>
      <c r="Y77" s="90">
        <v>1</v>
      </c>
      <c r="Z77" s="99">
        <v>44059.66881944444</v>
      </c>
      <c r="AA77" s="99">
        <v>44059.66881944444</v>
      </c>
      <c r="AB77" s="90"/>
      <c r="AC77" s="90"/>
      <c r="AD77" s="94" t="s">
        <v>666</v>
      </c>
      <c r="AE77" s="92">
        <v>1</v>
      </c>
      <c r="AF77" s="93" t="str">
        <f>REPLACE(INDEX(GroupVertices[Group],MATCH(Edges[[#This Row],[Vertex 1]],GroupVertices[Vertex],0)),1,1,"")</f>
        <v>2</v>
      </c>
      <c r="AG77" s="93" t="str">
        <f>REPLACE(INDEX(GroupVertices[Group],MATCH(Edges[[#This Row],[Vertex 2]],GroupVertices[Vertex],0)),1,1,"")</f>
        <v>2</v>
      </c>
      <c r="AH77" s="127">
        <v>0</v>
      </c>
      <c r="AI77" s="128">
        <v>0</v>
      </c>
      <c r="AJ77" s="127">
        <v>0</v>
      </c>
      <c r="AK77" s="128">
        <v>0</v>
      </c>
      <c r="AL77" s="127">
        <v>0</v>
      </c>
      <c r="AM77" s="128">
        <v>0</v>
      </c>
      <c r="AN77" s="127">
        <v>2</v>
      </c>
      <c r="AO77" s="128">
        <v>100</v>
      </c>
      <c r="AP77" s="127">
        <v>2</v>
      </c>
    </row>
    <row r="78" spans="1:42" ht="15">
      <c r="A78" s="65" t="s">
        <v>290</v>
      </c>
      <c r="B78" s="65" t="s">
        <v>280</v>
      </c>
      <c r="C78" s="66" t="s">
        <v>1220</v>
      </c>
      <c r="D78" s="67">
        <v>3</v>
      </c>
      <c r="E78" s="68"/>
      <c r="F78" s="69">
        <v>40</v>
      </c>
      <c r="G78" s="66"/>
      <c r="H78" s="70"/>
      <c r="I78" s="71"/>
      <c r="J78" s="71"/>
      <c r="K78" s="35" t="s">
        <v>65</v>
      </c>
      <c r="L78" s="79">
        <v>78</v>
      </c>
      <c r="M78" s="79"/>
      <c r="N78" s="73"/>
      <c r="O78" s="90" t="s">
        <v>355</v>
      </c>
      <c r="P78" s="90" t="s">
        <v>358</v>
      </c>
      <c r="Q78" s="94" t="s">
        <v>432</v>
      </c>
      <c r="R78" s="90" t="s">
        <v>290</v>
      </c>
      <c r="S78" s="90" t="s">
        <v>569</v>
      </c>
      <c r="T78" s="96" t="str">
        <f>HYPERLINK("http://www.youtube.com/channel/UCzoCYX25FsK-ndwsTo_rNlw")</f>
        <v>http://www.youtube.com/channel/UCzoCYX25FsK-ndwsTo_rNlw</v>
      </c>
      <c r="U78" s="90" t="s">
        <v>642</v>
      </c>
      <c r="V78" s="90" t="s">
        <v>652</v>
      </c>
      <c r="W78" s="96" t="str">
        <f>HYPERLINK("https://www.youtube.com/watch?v=")</f>
        <v>https://www.youtube.com/watch?v=</v>
      </c>
      <c r="X78" s="90" t="s">
        <v>656</v>
      </c>
      <c r="Y78" s="90">
        <v>1</v>
      </c>
      <c r="Z78" s="99">
        <v>44064.28773148148</v>
      </c>
      <c r="AA78" s="99">
        <v>44064.28773148148</v>
      </c>
      <c r="AB78" s="90"/>
      <c r="AC78" s="90"/>
      <c r="AD78" s="94" t="s">
        <v>666</v>
      </c>
      <c r="AE78" s="92">
        <v>1</v>
      </c>
      <c r="AF78" s="93" t="str">
        <f>REPLACE(INDEX(GroupVertices[Group],MATCH(Edges[[#This Row],[Vertex 1]],GroupVertices[Vertex],0)),1,1,"")</f>
        <v>2</v>
      </c>
      <c r="AG78" s="93" t="str">
        <f>REPLACE(INDEX(GroupVertices[Group],MATCH(Edges[[#This Row],[Vertex 2]],GroupVertices[Vertex],0)),1,1,"")</f>
        <v>2</v>
      </c>
      <c r="AH78" s="127">
        <v>0</v>
      </c>
      <c r="AI78" s="128">
        <v>0</v>
      </c>
      <c r="AJ78" s="127">
        <v>0</v>
      </c>
      <c r="AK78" s="128">
        <v>0</v>
      </c>
      <c r="AL78" s="127">
        <v>0</v>
      </c>
      <c r="AM78" s="128">
        <v>0</v>
      </c>
      <c r="AN78" s="127">
        <v>1</v>
      </c>
      <c r="AO78" s="128">
        <v>100</v>
      </c>
      <c r="AP78" s="127">
        <v>1</v>
      </c>
    </row>
    <row r="79" spans="1:42" ht="15">
      <c r="A79" s="65" t="s">
        <v>291</v>
      </c>
      <c r="B79" s="65" t="s">
        <v>280</v>
      </c>
      <c r="C79" s="66" t="s">
        <v>1220</v>
      </c>
      <c r="D79" s="67">
        <v>3</v>
      </c>
      <c r="E79" s="68"/>
      <c r="F79" s="69">
        <v>40</v>
      </c>
      <c r="G79" s="66"/>
      <c r="H79" s="70"/>
      <c r="I79" s="71"/>
      <c r="J79" s="71"/>
      <c r="K79" s="35" t="s">
        <v>65</v>
      </c>
      <c r="L79" s="79">
        <v>79</v>
      </c>
      <c r="M79" s="79"/>
      <c r="N79" s="73"/>
      <c r="O79" s="90" t="s">
        <v>355</v>
      </c>
      <c r="P79" s="90" t="s">
        <v>358</v>
      </c>
      <c r="Q79" s="94" t="s">
        <v>425</v>
      </c>
      <c r="R79" s="90" t="s">
        <v>291</v>
      </c>
      <c r="S79" s="90" t="s">
        <v>570</v>
      </c>
      <c r="T79" s="96" t="str">
        <f>HYPERLINK("http://www.youtube.com/channel/UCn6p8O-NWPYAAvZ5MUzK9zw")</f>
        <v>http://www.youtube.com/channel/UCn6p8O-NWPYAAvZ5MUzK9zw</v>
      </c>
      <c r="U79" s="90" t="s">
        <v>642</v>
      </c>
      <c r="V79" s="90" t="s">
        <v>652</v>
      </c>
      <c r="W79" s="96" t="str">
        <f>HYPERLINK("https://www.youtube.com/watch?v=")</f>
        <v>https://www.youtube.com/watch?v=</v>
      </c>
      <c r="X79" s="90" t="s">
        <v>656</v>
      </c>
      <c r="Y79" s="90">
        <v>2</v>
      </c>
      <c r="Z79" s="99">
        <v>44113.68528935185</v>
      </c>
      <c r="AA79" s="99">
        <v>44113.68528935185</v>
      </c>
      <c r="AB79" s="90"/>
      <c r="AC79" s="90"/>
      <c r="AD79" s="94" t="s">
        <v>666</v>
      </c>
      <c r="AE79" s="92">
        <v>1</v>
      </c>
      <c r="AF79" s="93" t="str">
        <f>REPLACE(INDEX(GroupVertices[Group],MATCH(Edges[[#This Row],[Vertex 1]],GroupVertices[Vertex],0)),1,1,"")</f>
        <v>2</v>
      </c>
      <c r="AG79" s="93" t="str">
        <f>REPLACE(INDEX(GroupVertices[Group],MATCH(Edges[[#This Row],[Vertex 2]],GroupVertices[Vertex],0)),1,1,"")</f>
        <v>2</v>
      </c>
      <c r="AH79" s="127">
        <v>0</v>
      </c>
      <c r="AI79" s="128">
        <v>0</v>
      </c>
      <c r="AJ79" s="127">
        <v>0</v>
      </c>
      <c r="AK79" s="128">
        <v>0</v>
      </c>
      <c r="AL79" s="127">
        <v>0</v>
      </c>
      <c r="AM79" s="128">
        <v>0</v>
      </c>
      <c r="AN79" s="127">
        <v>1</v>
      </c>
      <c r="AO79" s="128">
        <v>100</v>
      </c>
      <c r="AP79" s="127">
        <v>1</v>
      </c>
    </row>
    <row r="80" spans="1:42" ht="15">
      <c r="A80" s="65" t="s">
        <v>292</v>
      </c>
      <c r="B80" s="65" t="s">
        <v>280</v>
      </c>
      <c r="C80" s="66" t="s">
        <v>1220</v>
      </c>
      <c r="D80" s="67">
        <v>3</v>
      </c>
      <c r="E80" s="68"/>
      <c r="F80" s="69">
        <v>40</v>
      </c>
      <c r="G80" s="66"/>
      <c r="H80" s="70"/>
      <c r="I80" s="71"/>
      <c r="J80" s="71"/>
      <c r="K80" s="35" t="s">
        <v>65</v>
      </c>
      <c r="L80" s="79">
        <v>80</v>
      </c>
      <c r="M80" s="79"/>
      <c r="N80" s="73"/>
      <c r="O80" s="90" t="s">
        <v>355</v>
      </c>
      <c r="P80" s="90" t="s">
        <v>358</v>
      </c>
      <c r="Q80" s="94" t="s">
        <v>433</v>
      </c>
      <c r="R80" s="90" t="s">
        <v>292</v>
      </c>
      <c r="S80" s="90" t="s">
        <v>571</v>
      </c>
      <c r="T80" s="96" t="str">
        <f>HYPERLINK("http://www.youtube.com/channel/UCWDyZ4tze7sg8PvKfBwjZ6w")</f>
        <v>http://www.youtube.com/channel/UCWDyZ4tze7sg8PvKfBwjZ6w</v>
      </c>
      <c r="U80" s="90" t="s">
        <v>642</v>
      </c>
      <c r="V80" s="90" t="s">
        <v>652</v>
      </c>
      <c r="W80" s="96" t="str">
        <f>HYPERLINK("https://www.youtube.com/watch?v=")</f>
        <v>https://www.youtube.com/watch?v=</v>
      </c>
      <c r="X80" s="90" t="s">
        <v>656</v>
      </c>
      <c r="Y80" s="90">
        <v>2</v>
      </c>
      <c r="Z80" s="99">
        <v>44120.93111111111</v>
      </c>
      <c r="AA80" s="99">
        <v>44120.93111111111</v>
      </c>
      <c r="AB80" s="90"/>
      <c r="AC80" s="90"/>
      <c r="AD80" s="94" t="s">
        <v>666</v>
      </c>
      <c r="AE80" s="92">
        <v>1</v>
      </c>
      <c r="AF80" s="93" t="str">
        <f>REPLACE(INDEX(GroupVertices[Group],MATCH(Edges[[#This Row],[Vertex 1]],GroupVertices[Vertex],0)),1,1,"")</f>
        <v>2</v>
      </c>
      <c r="AG80" s="93" t="str">
        <f>REPLACE(INDEX(GroupVertices[Group],MATCH(Edges[[#This Row],[Vertex 2]],GroupVertices[Vertex],0)),1,1,"")</f>
        <v>2</v>
      </c>
      <c r="AH80" s="127">
        <v>0</v>
      </c>
      <c r="AI80" s="128">
        <v>0</v>
      </c>
      <c r="AJ80" s="127">
        <v>0</v>
      </c>
      <c r="AK80" s="128">
        <v>0</v>
      </c>
      <c r="AL80" s="127">
        <v>0</v>
      </c>
      <c r="AM80" s="128">
        <v>0</v>
      </c>
      <c r="AN80" s="127">
        <v>2</v>
      </c>
      <c r="AO80" s="128">
        <v>100</v>
      </c>
      <c r="AP80" s="127">
        <v>2</v>
      </c>
    </row>
    <row r="81" spans="1:42" ht="15">
      <c r="A81" s="65" t="s">
        <v>293</v>
      </c>
      <c r="B81" s="65" t="s">
        <v>280</v>
      </c>
      <c r="C81" s="66" t="s">
        <v>1220</v>
      </c>
      <c r="D81" s="67">
        <v>3</v>
      </c>
      <c r="E81" s="68"/>
      <c r="F81" s="69">
        <v>40</v>
      </c>
      <c r="G81" s="66"/>
      <c r="H81" s="70"/>
      <c r="I81" s="71"/>
      <c r="J81" s="71"/>
      <c r="K81" s="35" t="s">
        <v>65</v>
      </c>
      <c r="L81" s="79">
        <v>81</v>
      </c>
      <c r="M81" s="79"/>
      <c r="N81" s="73"/>
      <c r="O81" s="90" t="s">
        <v>355</v>
      </c>
      <c r="P81" s="90" t="s">
        <v>358</v>
      </c>
      <c r="Q81" s="94" t="s">
        <v>425</v>
      </c>
      <c r="R81" s="90" t="s">
        <v>293</v>
      </c>
      <c r="S81" s="90" t="s">
        <v>572</v>
      </c>
      <c r="T81" s="96" t="str">
        <f>HYPERLINK("http://www.youtube.com/channel/UCGiyitvsoE0mvDymzZTN55A")</f>
        <v>http://www.youtube.com/channel/UCGiyitvsoE0mvDymzZTN55A</v>
      </c>
      <c r="U81" s="90" t="s">
        <v>642</v>
      </c>
      <c r="V81" s="90" t="s">
        <v>652</v>
      </c>
      <c r="W81" s="96" t="str">
        <f>HYPERLINK("https://www.youtube.com/watch?v=")</f>
        <v>https://www.youtube.com/watch?v=</v>
      </c>
      <c r="X81" s="90" t="s">
        <v>656</v>
      </c>
      <c r="Y81" s="90">
        <v>1</v>
      </c>
      <c r="Z81" s="99">
        <v>44166.62232638889</v>
      </c>
      <c r="AA81" s="99">
        <v>44166.62232638889</v>
      </c>
      <c r="AB81" s="90"/>
      <c r="AC81" s="90"/>
      <c r="AD81" s="94" t="s">
        <v>666</v>
      </c>
      <c r="AE81" s="92">
        <v>1</v>
      </c>
      <c r="AF81" s="93" t="str">
        <f>REPLACE(INDEX(GroupVertices[Group],MATCH(Edges[[#This Row],[Vertex 1]],GroupVertices[Vertex],0)),1,1,"")</f>
        <v>2</v>
      </c>
      <c r="AG81" s="93" t="str">
        <f>REPLACE(INDEX(GroupVertices[Group],MATCH(Edges[[#This Row],[Vertex 2]],GroupVertices[Vertex],0)),1,1,"")</f>
        <v>2</v>
      </c>
      <c r="AH81" s="127">
        <v>0</v>
      </c>
      <c r="AI81" s="128">
        <v>0</v>
      </c>
      <c r="AJ81" s="127">
        <v>0</v>
      </c>
      <c r="AK81" s="128">
        <v>0</v>
      </c>
      <c r="AL81" s="127">
        <v>0</v>
      </c>
      <c r="AM81" s="128">
        <v>0</v>
      </c>
      <c r="AN81" s="127">
        <v>1</v>
      </c>
      <c r="AO81" s="128">
        <v>100</v>
      </c>
      <c r="AP81" s="127">
        <v>1</v>
      </c>
    </row>
    <row r="82" spans="1:42" ht="15">
      <c r="A82" s="65" t="s">
        <v>294</v>
      </c>
      <c r="B82" s="65" t="s">
        <v>280</v>
      </c>
      <c r="C82" s="66" t="s">
        <v>1221</v>
      </c>
      <c r="D82" s="67">
        <v>3</v>
      </c>
      <c r="E82" s="68"/>
      <c r="F82" s="69">
        <v>40</v>
      </c>
      <c r="G82" s="66"/>
      <c r="H82" s="70"/>
      <c r="I82" s="71"/>
      <c r="J82" s="71"/>
      <c r="K82" s="35" t="s">
        <v>65</v>
      </c>
      <c r="L82" s="79">
        <v>82</v>
      </c>
      <c r="M82" s="79"/>
      <c r="N82" s="73"/>
      <c r="O82" s="90" t="s">
        <v>355</v>
      </c>
      <c r="P82" s="90" t="s">
        <v>358</v>
      </c>
      <c r="Q82" s="94" t="s">
        <v>434</v>
      </c>
      <c r="R82" s="90" t="s">
        <v>294</v>
      </c>
      <c r="S82" s="90" t="s">
        <v>573</v>
      </c>
      <c r="T82" s="96" t="str">
        <f>HYPERLINK("http://www.youtube.com/channel/UCB6idNRhVqMo-V57OKOa7uQ")</f>
        <v>http://www.youtube.com/channel/UCB6idNRhVqMo-V57OKOa7uQ</v>
      </c>
      <c r="U82" s="90" t="s">
        <v>642</v>
      </c>
      <c r="V82" s="90" t="s">
        <v>652</v>
      </c>
      <c r="W82" s="96" t="str">
        <f>HYPERLINK("https://www.youtube.com/watch?v=")</f>
        <v>https://www.youtube.com/watch?v=</v>
      </c>
      <c r="X82" s="90" t="s">
        <v>656</v>
      </c>
      <c r="Y82" s="90">
        <v>1</v>
      </c>
      <c r="Z82" s="99">
        <v>44229.45626157407</v>
      </c>
      <c r="AA82" s="99">
        <v>44229.45626157407</v>
      </c>
      <c r="AB82" s="90"/>
      <c r="AC82" s="90"/>
      <c r="AD82" s="94" t="s">
        <v>666</v>
      </c>
      <c r="AE82" s="92">
        <v>2</v>
      </c>
      <c r="AF82" s="93" t="str">
        <f>REPLACE(INDEX(GroupVertices[Group],MATCH(Edges[[#This Row],[Vertex 1]],GroupVertices[Vertex],0)),1,1,"")</f>
        <v>2</v>
      </c>
      <c r="AG82" s="93" t="str">
        <f>REPLACE(INDEX(GroupVertices[Group],MATCH(Edges[[#This Row],[Vertex 2]],GroupVertices[Vertex],0)),1,1,"")</f>
        <v>2</v>
      </c>
      <c r="AH82" s="127">
        <v>0</v>
      </c>
      <c r="AI82" s="128">
        <v>0</v>
      </c>
      <c r="AJ82" s="127">
        <v>0</v>
      </c>
      <c r="AK82" s="128">
        <v>0</v>
      </c>
      <c r="AL82" s="127">
        <v>0</v>
      </c>
      <c r="AM82" s="128">
        <v>0</v>
      </c>
      <c r="AN82" s="127">
        <v>2</v>
      </c>
      <c r="AO82" s="128">
        <v>100</v>
      </c>
      <c r="AP82" s="127">
        <v>2</v>
      </c>
    </row>
    <row r="83" spans="1:42" ht="15">
      <c r="A83" s="65" t="s">
        <v>294</v>
      </c>
      <c r="B83" s="65" t="s">
        <v>280</v>
      </c>
      <c r="C83" s="66" t="s">
        <v>1221</v>
      </c>
      <c r="D83" s="67">
        <v>3</v>
      </c>
      <c r="E83" s="68"/>
      <c r="F83" s="69">
        <v>40</v>
      </c>
      <c r="G83" s="66"/>
      <c r="H83" s="70"/>
      <c r="I83" s="71"/>
      <c r="J83" s="71"/>
      <c r="K83" s="35" t="s">
        <v>65</v>
      </c>
      <c r="L83" s="79">
        <v>83</v>
      </c>
      <c r="M83" s="79"/>
      <c r="N83" s="73"/>
      <c r="O83" s="90" t="s">
        <v>355</v>
      </c>
      <c r="P83" s="90" t="s">
        <v>358</v>
      </c>
      <c r="Q83" s="94" t="s">
        <v>435</v>
      </c>
      <c r="R83" s="90" t="s">
        <v>294</v>
      </c>
      <c r="S83" s="90" t="s">
        <v>573</v>
      </c>
      <c r="T83" s="96" t="str">
        <f>HYPERLINK("http://www.youtube.com/channel/UCB6idNRhVqMo-V57OKOa7uQ")</f>
        <v>http://www.youtube.com/channel/UCB6idNRhVqMo-V57OKOa7uQ</v>
      </c>
      <c r="U83" s="90" t="s">
        <v>642</v>
      </c>
      <c r="V83" s="90" t="s">
        <v>652</v>
      </c>
      <c r="W83" s="96" t="str">
        <f>HYPERLINK("https://www.youtube.com/watch?v=")</f>
        <v>https://www.youtube.com/watch?v=</v>
      </c>
      <c r="X83" s="90" t="s">
        <v>656</v>
      </c>
      <c r="Y83" s="90">
        <v>0</v>
      </c>
      <c r="Z83" s="99">
        <v>44229.45636574074</v>
      </c>
      <c r="AA83" s="99">
        <v>44229.45636574074</v>
      </c>
      <c r="AB83" s="90"/>
      <c r="AC83" s="90"/>
      <c r="AD83" s="94" t="s">
        <v>666</v>
      </c>
      <c r="AE83" s="92">
        <v>2</v>
      </c>
      <c r="AF83" s="93" t="str">
        <f>REPLACE(INDEX(GroupVertices[Group],MATCH(Edges[[#This Row],[Vertex 1]],GroupVertices[Vertex],0)),1,1,"")</f>
        <v>2</v>
      </c>
      <c r="AG83" s="93" t="str">
        <f>REPLACE(INDEX(GroupVertices[Group],MATCH(Edges[[#This Row],[Vertex 2]],GroupVertices[Vertex],0)),1,1,"")</f>
        <v>2</v>
      </c>
      <c r="AH83" s="127">
        <v>0</v>
      </c>
      <c r="AI83" s="128">
        <v>0</v>
      </c>
      <c r="AJ83" s="127">
        <v>1</v>
      </c>
      <c r="AK83" s="128">
        <v>25</v>
      </c>
      <c r="AL83" s="127">
        <v>0</v>
      </c>
      <c r="AM83" s="128">
        <v>0</v>
      </c>
      <c r="AN83" s="127">
        <v>3</v>
      </c>
      <c r="AO83" s="128">
        <v>75</v>
      </c>
      <c r="AP83" s="127">
        <v>4</v>
      </c>
    </row>
    <row r="84" spans="1:42" ht="15">
      <c r="A84" s="65" t="s">
        <v>295</v>
      </c>
      <c r="B84" s="65" t="s">
        <v>280</v>
      </c>
      <c r="C84" s="66" t="s">
        <v>1220</v>
      </c>
      <c r="D84" s="67">
        <v>3</v>
      </c>
      <c r="E84" s="68"/>
      <c r="F84" s="69">
        <v>40</v>
      </c>
      <c r="G84" s="66"/>
      <c r="H84" s="70"/>
      <c r="I84" s="71"/>
      <c r="J84" s="71"/>
      <c r="K84" s="35" t="s">
        <v>65</v>
      </c>
      <c r="L84" s="79">
        <v>84</v>
      </c>
      <c r="M84" s="79"/>
      <c r="N84" s="73"/>
      <c r="O84" s="90" t="s">
        <v>355</v>
      </c>
      <c r="P84" s="90" t="s">
        <v>358</v>
      </c>
      <c r="Q84" s="94" t="s">
        <v>436</v>
      </c>
      <c r="R84" s="90" t="s">
        <v>295</v>
      </c>
      <c r="S84" s="90" t="s">
        <v>574</v>
      </c>
      <c r="T84" s="96" t="str">
        <f>HYPERLINK("http://www.youtube.com/channel/UCqmW71_NOWovrUsgcCsJoaA")</f>
        <v>http://www.youtube.com/channel/UCqmW71_NOWovrUsgcCsJoaA</v>
      </c>
      <c r="U84" s="90" t="s">
        <v>642</v>
      </c>
      <c r="V84" s="90" t="s">
        <v>652</v>
      </c>
      <c r="W84" s="96" t="str">
        <f>HYPERLINK("https://www.youtube.com/watch?v=")</f>
        <v>https://www.youtube.com/watch?v=</v>
      </c>
      <c r="X84" s="90" t="s">
        <v>656</v>
      </c>
      <c r="Y84" s="90">
        <v>2</v>
      </c>
      <c r="Z84" s="99">
        <v>44237.06917824074</v>
      </c>
      <c r="AA84" s="99">
        <v>44237.06917824074</v>
      </c>
      <c r="AB84" s="90"/>
      <c r="AC84" s="90"/>
      <c r="AD84" s="94" t="s">
        <v>666</v>
      </c>
      <c r="AE84" s="92">
        <v>1</v>
      </c>
      <c r="AF84" s="93" t="str">
        <f>REPLACE(INDEX(GroupVertices[Group],MATCH(Edges[[#This Row],[Vertex 1]],GroupVertices[Vertex],0)),1,1,"")</f>
        <v>2</v>
      </c>
      <c r="AG84" s="93" t="str">
        <f>REPLACE(INDEX(GroupVertices[Group],MATCH(Edges[[#This Row],[Vertex 2]],GroupVertices[Vertex],0)),1,1,"")</f>
        <v>2</v>
      </c>
      <c r="AH84" s="127">
        <v>0</v>
      </c>
      <c r="AI84" s="128">
        <v>0</v>
      </c>
      <c r="AJ84" s="127">
        <v>0</v>
      </c>
      <c r="AK84" s="128">
        <v>0</v>
      </c>
      <c r="AL84" s="127">
        <v>0</v>
      </c>
      <c r="AM84" s="128">
        <v>0</v>
      </c>
      <c r="AN84" s="127">
        <v>2</v>
      </c>
      <c r="AO84" s="128">
        <v>100</v>
      </c>
      <c r="AP84" s="127">
        <v>2</v>
      </c>
    </row>
    <row r="85" spans="1:42" ht="15">
      <c r="A85" s="65" t="s">
        <v>296</v>
      </c>
      <c r="B85" s="65" t="s">
        <v>280</v>
      </c>
      <c r="C85" s="66" t="s">
        <v>1220</v>
      </c>
      <c r="D85" s="67">
        <v>3</v>
      </c>
      <c r="E85" s="68"/>
      <c r="F85" s="69">
        <v>40</v>
      </c>
      <c r="G85" s="66"/>
      <c r="H85" s="70"/>
      <c r="I85" s="71"/>
      <c r="J85" s="71"/>
      <c r="K85" s="35" t="s">
        <v>65</v>
      </c>
      <c r="L85" s="79">
        <v>85</v>
      </c>
      <c r="M85" s="79"/>
      <c r="N85" s="73"/>
      <c r="O85" s="90" t="s">
        <v>355</v>
      </c>
      <c r="P85" s="90" t="s">
        <v>358</v>
      </c>
      <c r="Q85" s="94" t="s">
        <v>437</v>
      </c>
      <c r="R85" s="90" t="s">
        <v>296</v>
      </c>
      <c r="S85" s="90" t="s">
        <v>575</v>
      </c>
      <c r="T85" s="96" t="str">
        <f>HYPERLINK("http://www.youtube.com/channel/UC5c65XLWE2VC5GyFqnIwIsw")</f>
        <v>http://www.youtube.com/channel/UC5c65XLWE2VC5GyFqnIwIsw</v>
      </c>
      <c r="U85" s="90" t="s">
        <v>642</v>
      </c>
      <c r="V85" s="90" t="s">
        <v>652</v>
      </c>
      <c r="W85" s="96" t="str">
        <f>HYPERLINK("https://www.youtube.com/watch?v=")</f>
        <v>https://www.youtube.com/watch?v=</v>
      </c>
      <c r="X85" s="90" t="s">
        <v>656</v>
      </c>
      <c r="Y85" s="90">
        <v>0</v>
      </c>
      <c r="Z85" s="99">
        <v>44237.660046296296</v>
      </c>
      <c r="AA85" s="99">
        <v>44237.660046296296</v>
      </c>
      <c r="AB85" s="90"/>
      <c r="AC85" s="90"/>
      <c r="AD85" s="94" t="s">
        <v>666</v>
      </c>
      <c r="AE85" s="92">
        <v>1</v>
      </c>
      <c r="AF85" s="93" t="str">
        <f>REPLACE(INDEX(GroupVertices[Group],MATCH(Edges[[#This Row],[Vertex 1]],GroupVertices[Vertex],0)),1,1,"")</f>
        <v>2</v>
      </c>
      <c r="AG85" s="93" t="str">
        <f>REPLACE(INDEX(GroupVertices[Group],MATCH(Edges[[#This Row],[Vertex 2]],GroupVertices[Vertex],0)),1,1,"")</f>
        <v>2</v>
      </c>
      <c r="AH85" s="127">
        <v>0</v>
      </c>
      <c r="AI85" s="128">
        <v>0</v>
      </c>
      <c r="AJ85" s="127">
        <v>0</v>
      </c>
      <c r="AK85" s="128">
        <v>0</v>
      </c>
      <c r="AL85" s="127">
        <v>0</v>
      </c>
      <c r="AM85" s="128">
        <v>0</v>
      </c>
      <c r="AN85" s="127">
        <v>1</v>
      </c>
      <c r="AO85" s="128">
        <v>100</v>
      </c>
      <c r="AP85" s="127">
        <v>1</v>
      </c>
    </row>
    <row r="86" spans="1:42" ht="15">
      <c r="A86" s="65" t="s">
        <v>297</v>
      </c>
      <c r="B86" s="65" t="s">
        <v>280</v>
      </c>
      <c r="C86" s="66" t="s">
        <v>1220</v>
      </c>
      <c r="D86" s="67">
        <v>3</v>
      </c>
      <c r="E86" s="68"/>
      <c r="F86" s="69">
        <v>40</v>
      </c>
      <c r="G86" s="66"/>
      <c r="H86" s="70"/>
      <c r="I86" s="71"/>
      <c r="J86" s="71"/>
      <c r="K86" s="35" t="s">
        <v>65</v>
      </c>
      <c r="L86" s="79">
        <v>86</v>
      </c>
      <c r="M86" s="79"/>
      <c r="N86" s="73"/>
      <c r="O86" s="90" t="s">
        <v>355</v>
      </c>
      <c r="P86" s="90" t="s">
        <v>358</v>
      </c>
      <c r="Q86" s="94" t="s">
        <v>438</v>
      </c>
      <c r="R86" s="90" t="s">
        <v>297</v>
      </c>
      <c r="S86" s="90" t="s">
        <v>576</v>
      </c>
      <c r="T86" s="96" t="str">
        <f>HYPERLINK("http://www.youtube.com/channel/UC3HQFQ3A1f7bOQ6Op3sO6VA")</f>
        <v>http://www.youtube.com/channel/UC3HQFQ3A1f7bOQ6Op3sO6VA</v>
      </c>
      <c r="U86" s="90" t="s">
        <v>642</v>
      </c>
      <c r="V86" s="90" t="s">
        <v>652</v>
      </c>
      <c r="W86" s="96" t="str">
        <f>HYPERLINK("https://www.youtube.com/watch?v=")</f>
        <v>https://www.youtube.com/watch?v=</v>
      </c>
      <c r="X86" s="90" t="s">
        <v>656</v>
      </c>
      <c r="Y86" s="90">
        <v>0</v>
      </c>
      <c r="Z86" s="99">
        <v>44249.631377314814</v>
      </c>
      <c r="AA86" s="99">
        <v>44249.631377314814</v>
      </c>
      <c r="AB86" s="90"/>
      <c r="AC86" s="90"/>
      <c r="AD86" s="94" t="s">
        <v>666</v>
      </c>
      <c r="AE86" s="92">
        <v>1</v>
      </c>
      <c r="AF86" s="93" t="str">
        <f>REPLACE(INDEX(GroupVertices[Group],MATCH(Edges[[#This Row],[Vertex 1]],GroupVertices[Vertex],0)),1,1,"")</f>
        <v>2</v>
      </c>
      <c r="AG86" s="93" t="str">
        <f>REPLACE(INDEX(GroupVertices[Group],MATCH(Edges[[#This Row],[Vertex 2]],GroupVertices[Vertex],0)),1,1,"")</f>
        <v>2</v>
      </c>
      <c r="AH86" s="127">
        <v>1</v>
      </c>
      <c r="AI86" s="128">
        <v>33.333333333333336</v>
      </c>
      <c r="AJ86" s="127">
        <v>0</v>
      </c>
      <c r="AK86" s="128">
        <v>0</v>
      </c>
      <c r="AL86" s="127">
        <v>0</v>
      </c>
      <c r="AM86" s="128">
        <v>0</v>
      </c>
      <c r="AN86" s="127">
        <v>2</v>
      </c>
      <c r="AO86" s="128">
        <v>66.66666666666667</v>
      </c>
      <c r="AP86" s="127">
        <v>3</v>
      </c>
    </row>
    <row r="87" spans="1:42" ht="15">
      <c r="A87" s="65" t="s">
        <v>298</v>
      </c>
      <c r="B87" s="65" t="s">
        <v>280</v>
      </c>
      <c r="C87" s="66" t="s">
        <v>1220</v>
      </c>
      <c r="D87" s="67">
        <v>3</v>
      </c>
      <c r="E87" s="68"/>
      <c r="F87" s="69">
        <v>40</v>
      </c>
      <c r="G87" s="66"/>
      <c r="H87" s="70"/>
      <c r="I87" s="71"/>
      <c r="J87" s="71"/>
      <c r="K87" s="35" t="s">
        <v>65</v>
      </c>
      <c r="L87" s="79">
        <v>87</v>
      </c>
      <c r="M87" s="79"/>
      <c r="N87" s="73"/>
      <c r="O87" s="90" t="s">
        <v>355</v>
      </c>
      <c r="P87" s="90" t="s">
        <v>358</v>
      </c>
      <c r="Q87" s="94" t="s">
        <v>439</v>
      </c>
      <c r="R87" s="90" t="s">
        <v>298</v>
      </c>
      <c r="S87" s="90" t="s">
        <v>577</v>
      </c>
      <c r="T87" s="96" t="str">
        <f>HYPERLINK("http://www.youtube.com/channel/UCwP0bxHg-8LXbS1QMYzhSRA")</f>
        <v>http://www.youtube.com/channel/UCwP0bxHg-8LXbS1QMYzhSRA</v>
      </c>
      <c r="U87" s="90" t="s">
        <v>642</v>
      </c>
      <c r="V87" s="90" t="s">
        <v>652</v>
      </c>
      <c r="W87" s="96" t="str">
        <f>HYPERLINK("https://www.youtube.com/watch?v=")</f>
        <v>https://www.youtube.com/watch?v=</v>
      </c>
      <c r="X87" s="90" t="s">
        <v>656</v>
      </c>
      <c r="Y87" s="90">
        <v>0</v>
      </c>
      <c r="Z87" s="99">
        <v>44252.80625</v>
      </c>
      <c r="AA87" s="99">
        <v>44252.80625</v>
      </c>
      <c r="AB87" s="90"/>
      <c r="AC87" s="90"/>
      <c r="AD87" s="94" t="s">
        <v>666</v>
      </c>
      <c r="AE87" s="92">
        <v>1</v>
      </c>
      <c r="AF87" s="93" t="str">
        <f>REPLACE(INDEX(GroupVertices[Group],MATCH(Edges[[#This Row],[Vertex 1]],GroupVertices[Vertex],0)),1,1,"")</f>
        <v>2</v>
      </c>
      <c r="AG87" s="93" t="str">
        <f>REPLACE(INDEX(GroupVertices[Group],MATCH(Edges[[#This Row],[Vertex 2]],GroupVertices[Vertex],0)),1,1,"")</f>
        <v>2</v>
      </c>
      <c r="AH87" s="127">
        <v>0</v>
      </c>
      <c r="AI87" s="128">
        <v>0</v>
      </c>
      <c r="AJ87" s="127">
        <v>0</v>
      </c>
      <c r="AK87" s="128">
        <v>0</v>
      </c>
      <c r="AL87" s="127">
        <v>0</v>
      </c>
      <c r="AM87" s="128">
        <v>0</v>
      </c>
      <c r="AN87" s="127">
        <v>1</v>
      </c>
      <c r="AO87" s="128">
        <v>100</v>
      </c>
      <c r="AP87" s="127">
        <v>1</v>
      </c>
    </row>
    <row r="88" spans="1:42" ht="15">
      <c r="A88" s="65" t="s">
        <v>299</v>
      </c>
      <c r="B88" s="65" t="s">
        <v>280</v>
      </c>
      <c r="C88" s="66" t="s">
        <v>1220</v>
      </c>
      <c r="D88" s="67">
        <v>3</v>
      </c>
      <c r="E88" s="68"/>
      <c r="F88" s="69">
        <v>40</v>
      </c>
      <c r="G88" s="66"/>
      <c r="H88" s="70"/>
      <c r="I88" s="71"/>
      <c r="J88" s="71"/>
      <c r="K88" s="35" t="s">
        <v>65</v>
      </c>
      <c r="L88" s="79">
        <v>88</v>
      </c>
      <c r="M88" s="79"/>
      <c r="N88" s="73"/>
      <c r="O88" s="90" t="s">
        <v>355</v>
      </c>
      <c r="P88" s="90" t="s">
        <v>358</v>
      </c>
      <c r="Q88" s="94" t="s">
        <v>439</v>
      </c>
      <c r="R88" s="90" t="s">
        <v>299</v>
      </c>
      <c r="S88" s="90" t="s">
        <v>578</v>
      </c>
      <c r="T88" s="96" t="str">
        <f>HYPERLINK("http://www.youtube.com/channel/UCN7DbIpJ94hcULRngZR-qRA")</f>
        <v>http://www.youtube.com/channel/UCN7DbIpJ94hcULRngZR-qRA</v>
      </c>
      <c r="U88" s="90" t="s">
        <v>642</v>
      </c>
      <c r="V88" s="90" t="s">
        <v>652</v>
      </c>
      <c r="W88" s="96" t="str">
        <f>HYPERLINK("https://www.youtube.com/watch?v=")</f>
        <v>https://www.youtube.com/watch?v=</v>
      </c>
      <c r="X88" s="90" t="s">
        <v>656</v>
      </c>
      <c r="Y88" s="90">
        <v>0</v>
      </c>
      <c r="Z88" s="99">
        <v>44257.45581018519</v>
      </c>
      <c r="AA88" s="99">
        <v>44257.45581018519</v>
      </c>
      <c r="AB88" s="90"/>
      <c r="AC88" s="90"/>
      <c r="AD88" s="94" t="s">
        <v>666</v>
      </c>
      <c r="AE88" s="92">
        <v>1</v>
      </c>
      <c r="AF88" s="93" t="str">
        <f>REPLACE(INDEX(GroupVertices[Group],MATCH(Edges[[#This Row],[Vertex 1]],GroupVertices[Vertex],0)),1,1,"")</f>
        <v>2</v>
      </c>
      <c r="AG88" s="93" t="str">
        <f>REPLACE(INDEX(GroupVertices[Group],MATCH(Edges[[#This Row],[Vertex 2]],GroupVertices[Vertex],0)),1,1,"")</f>
        <v>2</v>
      </c>
      <c r="AH88" s="127">
        <v>0</v>
      </c>
      <c r="AI88" s="128">
        <v>0</v>
      </c>
      <c r="AJ88" s="127">
        <v>0</v>
      </c>
      <c r="AK88" s="128">
        <v>0</v>
      </c>
      <c r="AL88" s="127">
        <v>0</v>
      </c>
      <c r="AM88" s="128">
        <v>0</v>
      </c>
      <c r="AN88" s="127">
        <v>1</v>
      </c>
      <c r="AO88" s="128">
        <v>100</v>
      </c>
      <c r="AP88" s="127">
        <v>1</v>
      </c>
    </row>
    <row r="89" spans="1:42" ht="15">
      <c r="A89" s="65" t="s">
        <v>300</v>
      </c>
      <c r="B89" s="65" t="s">
        <v>280</v>
      </c>
      <c r="C89" s="66" t="s">
        <v>1220</v>
      </c>
      <c r="D89" s="67">
        <v>3</v>
      </c>
      <c r="E89" s="68"/>
      <c r="F89" s="69">
        <v>40</v>
      </c>
      <c r="G89" s="66"/>
      <c r="H89" s="70"/>
      <c r="I89" s="71"/>
      <c r="J89" s="71"/>
      <c r="K89" s="35" t="s">
        <v>65</v>
      </c>
      <c r="L89" s="79">
        <v>89</v>
      </c>
      <c r="M89" s="79"/>
      <c r="N89" s="73"/>
      <c r="O89" s="90" t="s">
        <v>355</v>
      </c>
      <c r="P89" s="90" t="s">
        <v>358</v>
      </c>
      <c r="Q89" s="94" t="s">
        <v>425</v>
      </c>
      <c r="R89" s="90" t="s">
        <v>300</v>
      </c>
      <c r="S89" s="90" t="s">
        <v>579</v>
      </c>
      <c r="T89" s="96" t="str">
        <f>HYPERLINK("http://www.youtube.com/channel/UCYdODoJdVvDp-9z2mt6wgyQ")</f>
        <v>http://www.youtube.com/channel/UCYdODoJdVvDp-9z2mt6wgyQ</v>
      </c>
      <c r="U89" s="90" t="s">
        <v>642</v>
      </c>
      <c r="V89" s="90" t="s">
        <v>652</v>
      </c>
      <c r="W89" s="96" t="str">
        <f>HYPERLINK("https://www.youtube.com/watch?v=")</f>
        <v>https://www.youtube.com/watch?v=</v>
      </c>
      <c r="X89" s="90" t="s">
        <v>656</v>
      </c>
      <c r="Y89" s="90">
        <v>0</v>
      </c>
      <c r="Z89" s="99">
        <v>44260.06798611111</v>
      </c>
      <c r="AA89" s="99">
        <v>44260.06798611111</v>
      </c>
      <c r="AB89" s="90"/>
      <c r="AC89" s="90"/>
      <c r="AD89" s="94" t="s">
        <v>666</v>
      </c>
      <c r="AE89" s="92">
        <v>1</v>
      </c>
      <c r="AF89" s="93" t="str">
        <f>REPLACE(INDEX(GroupVertices[Group],MATCH(Edges[[#This Row],[Vertex 1]],GroupVertices[Vertex],0)),1,1,"")</f>
        <v>2</v>
      </c>
      <c r="AG89" s="93" t="str">
        <f>REPLACE(INDEX(GroupVertices[Group],MATCH(Edges[[#This Row],[Vertex 2]],GroupVertices[Vertex],0)),1,1,"")</f>
        <v>2</v>
      </c>
      <c r="AH89" s="127">
        <v>0</v>
      </c>
      <c r="AI89" s="128">
        <v>0</v>
      </c>
      <c r="AJ89" s="127">
        <v>0</v>
      </c>
      <c r="AK89" s="128">
        <v>0</v>
      </c>
      <c r="AL89" s="127">
        <v>0</v>
      </c>
      <c r="AM89" s="128">
        <v>0</v>
      </c>
      <c r="AN89" s="127">
        <v>1</v>
      </c>
      <c r="AO89" s="128">
        <v>100</v>
      </c>
      <c r="AP89" s="127">
        <v>1</v>
      </c>
    </row>
    <row r="90" spans="1:42" ht="15">
      <c r="A90" s="65" t="s">
        <v>301</v>
      </c>
      <c r="B90" s="65" t="s">
        <v>280</v>
      </c>
      <c r="C90" s="66" t="s">
        <v>1220</v>
      </c>
      <c r="D90" s="67">
        <v>3</v>
      </c>
      <c r="E90" s="68"/>
      <c r="F90" s="69">
        <v>40</v>
      </c>
      <c r="G90" s="66"/>
      <c r="H90" s="70"/>
      <c r="I90" s="71"/>
      <c r="J90" s="71"/>
      <c r="K90" s="35" t="s">
        <v>65</v>
      </c>
      <c r="L90" s="79">
        <v>90</v>
      </c>
      <c r="M90" s="79"/>
      <c r="N90" s="73"/>
      <c r="O90" s="90" t="s">
        <v>355</v>
      </c>
      <c r="P90" s="90" t="s">
        <v>358</v>
      </c>
      <c r="Q90" s="94" t="s">
        <v>440</v>
      </c>
      <c r="R90" s="90" t="s">
        <v>301</v>
      </c>
      <c r="S90" s="90" t="s">
        <v>580</v>
      </c>
      <c r="T90" s="96" t="str">
        <f>HYPERLINK("http://www.youtube.com/channel/UCUZeBEoKiTTz0pPp5pii-aw")</f>
        <v>http://www.youtube.com/channel/UCUZeBEoKiTTz0pPp5pii-aw</v>
      </c>
      <c r="U90" s="90" t="s">
        <v>642</v>
      </c>
      <c r="V90" s="90" t="s">
        <v>652</v>
      </c>
      <c r="W90" s="96" t="str">
        <f>HYPERLINK("https://www.youtube.com/watch?v=")</f>
        <v>https://www.youtube.com/watch?v=</v>
      </c>
      <c r="X90" s="90" t="s">
        <v>656</v>
      </c>
      <c r="Y90" s="90">
        <v>0</v>
      </c>
      <c r="Z90" s="99">
        <v>44310.942037037035</v>
      </c>
      <c r="AA90" s="99">
        <v>44310.942037037035</v>
      </c>
      <c r="AB90" s="90"/>
      <c r="AC90" s="90"/>
      <c r="AD90" s="94" t="s">
        <v>666</v>
      </c>
      <c r="AE90" s="92">
        <v>1</v>
      </c>
      <c r="AF90" s="93" t="str">
        <f>REPLACE(INDEX(GroupVertices[Group],MATCH(Edges[[#This Row],[Vertex 1]],GroupVertices[Vertex],0)),1,1,"")</f>
        <v>2</v>
      </c>
      <c r="AG90" s="93" t="str">
        <f>REPLACE(INDEX(GroupVertices[Group],MATCH(Edges[[#This Row],[Vertex 2]],GroupVertices[Vertex],0)),1,1,"")</f>
        <v>2</v>
      </c>
      <c r="AH90" s="127">
        <v>0</v>
      </c>
      <c r="AI90" s="128">
        <v>0</v>
      </c>
      <c r="AJ90" s="127">
        <v>0</v>
      </c>
      <c r="AK90" s="128">
        <v>0</v>
      </c>
      <c r="AL90" s="127">
        <v>0</v>
      </c>
      <c r="AM90" s="128">
        <v>0</v>
      </c>
      <c r="AN90" s="127">
        <v>8</v>
      </c>
      <c r="AO90" s="128">
        <v>100</v>
      </c>
      <c r="AP90" s="127">
        <v>8</v>
      </c>
    </row>
    <row r="91" spans="1:42" ht="15">
      <c r="A91" s="65" t="s">
        <v>302</v>
      </c>
      <c r="B91" s="65" t="s">
        <v>280</v>
      </c>
      <c r="C91" s="66" t="s">
        <v>1220</v>
      </c>
      <c r="D91" s="67">
        <v>3</v>
      </c>
      <c r="E91" s="68"/>
      <c r="F91" s="69">
        <v>40</v>
      </c>
      <c r="G91" s="66"/>
      <c r="H91" s="70"/>
      <c r="I91" s="71"/>
      <c r="J91" s="71"/>
      <c r="K91" s="35" t="s">
        <v>65</v>
      </c>
      <c r="L91" s="79">
        <v>91</v>
      </c>
      <c r="M91" s="79"/>
      <c r="N91" s="73"/>
      <c r="O91" s="90" t="s">
        <v>355</v>
      </c>
      <c r="P91" s="90" t="s">
        <v>358</v>
      </c>
      <c r="Q91" s="94" t="s">
        <v>422</v>
      </c>
      <c r="R91" s="90" t="s">
        <v>302</v>
      </c>
      <c r="S91" s="90" t="s">
        <v>581</v>
      </c>
      <c r="T91" s="96" t="str">
        <f>HYPERLINK("http://www.youtube.com/channel/UCy4crOLyffyAStwBkGRO9hg")</f>
        <v>http://www.youtube.com/channel/UCy4crOLyffyAStwBkGRO9hg</v>
      </c>
      <c r="U91" s="90" t="s">
        <v>642</v>
      </c>
      <c r="V91" s="90" t="s">
        <v>652</v>
      </c>
      <c r="W91" s="96" t="str">
        <f>HYPERLINK("https://www.youtube.com/watch?v=")</f>
        <v>https://www.youtube.com/watch?v=</v>
      </c>
      <c r="X91" s="90" t="s">
        <v>656</v>
      </c>
      <c r="Y91" s="90">
        <v>0</v>
      </c>
      <c r="Z91" s="99">
        <v>44322.314351851855</v>
      </c>
      <c r="AA91" s="99">
        <v>44322.314351851855</v>
      </c>
      <c r="AB91" s="90"/>
      <c r="AC91" s="90"/>
      <c r="AD91" s="94" t="s">
        <v>666</v>
      </c>
      <c r="AE91" s="92">
        <v>1</v>
      </c>
      <c r="AF91" s="93" t="str">
        <f>REPLACE(INDEX(GroupVertices[Group],MATCH(Edges[[#This Row],[Vertex 1]],GroupVertices[Vertex],0)),1,1,"")</f>
        <v>2</v>
      </c>
      <c r="AG91" s="93" t="str">
        <f>REPLACE(INDEX(GroupVertices[Group],MATCH(Edges[[#This Row],[Vertex 2]],GroupVertices[Vertex],0)),1,1,"")</f>
        <v>2</v>
      </c>
      <c r="AH91" s="127">
        <v>0</v>
      </c>
      <c r="AI91" s="128">
        <v>0</v>
      </c>
      <c r="AJ91" s="127">
        <v>0</v>
      </c>
      <c r="AK91" s="128">
        <v>0</v>
      </c>
      <c r="AL91" s="127">
        <v>0</v>
      </c>
      <c r="AM91" s="128">
        <v>0</v>
      </c>
      <c r="AN91" s="127">
        <v>1</v>
      </c>
      <c r="AO91" s="128">
        <v>100</v>
      </c>
      <c r="AP91" s="127">
        <v>1</v>
      </c>
    </row>
    <row r="92" spans="1:42" ht="15">
      <c r="A92" s="65" t="s">
        <v>280</v>
      </c>
      <c r="B92" s="65" t="s">
        <v>280</v>
      </c>
      <c r="C92" s="66" t="s">
        <v>1221</v>
      </c>
      <c r="D92" s="67">
        <v>3</v>
      </c>
      <c r="E92" s="68"/>
      <c r="F92" s="69">
        <v>40</v>
      </c>
      <c r="G92" s="66"/>
      <c r="H92" s="70"/>
      <c r="I92" s="71"/>
      <c r="J92" s="71"/>
      <c r="K92" s="35" t="s">
        <v>65</v>
      </c>
      <c r="L92" s="79">
        <v>92</v>
      </c>
      <c r="M92" s="79"/>
      <c r="N92" s="73"/>
      <c r="O92" s="90" t="s">
        <v>355</v>
      </c>
      <c r="P92" s="90" t="s">
        <v>358</v>
      </c>
      <c r="Q92" s="94" t="s">
        <v>441</v>
      </c>
      <c r="R92" s="90" t="s">
        <v>280</v>
      </c>
      <c r="S92" s="90" t="s">
        <v>559</v>
      </c>
      <c r="T92" s="96" t="str">
        <f>HYPERLINK("http://www.youtube.com/channel/UClnojW-58I9WE8weIj_0J9A")</f>
        <v>http://www.youtube.com/channel/UClnojW-58I9WE8weIj_0J9A</v>
      </c>
      <c r="U92" s="90" t="s">
        <v>642</v>
      </c>
      <c r="V92" s="90" t="s">
        <v>652</v>
      </c>
      <c r="W92" s="96" t="str">
        <f>HYPERLINK("https://www.youtube.com/watch?v=")</f>
        <v>https://www.youtube.com/watch?v=</v>
      </c>
      <c r="X92" s="90" t="s">
        <v>656</v>
      </c>
      <c r="Y92" s="90">
        <v>8</v>
      </c>
      <c r="Z92" s="99">
        <v>43924.83689814815</v>
      </c>
      <c r="AA92" s="99">
        <v>43924.83689814815</v>
      </c>
      <c r="AB92" s="90"/>
      <c r="AC92" s="90"/>
      <c r="AD92" s="94" t="s">
        <v>666</v>
      </c>
      <c r="AE92" s="92">
        <v>4</v>
      </c>
      <c r="AF92" s="93" t="str">
        <f>REPLACE(INDEX(GroupVertices[Group],MATCH(Edges[[#This Row],[Vertex 1]],GroupVertices[Vertex],0)),1,1,"")</f>
        <v>2</v>
      </c>
      <c r="AG92" s="93" t="str">
        <f>REPLACE(INDEX(GroupVertices[Group],MATCH(Edges[[#This Row],[Vertex 2]],GroupVertices[Vertex],0)),1,1,"")</f>
        <v>2</v>
      </c>
      <c r="AH92" s="127">
        <v>0</v>
      </c>
      <c r="AI92" s="128">
        <v>0</v>
      </c>
      <c r="AJ92" s="127">
        <v>0</v>
      </c>
      <c r="AK92" s="128">
        <v>0</v>
      </c>
      <c r="AL92" s="127">
        <v>0</v>
      </c>
      <c r="AM92" s="128">
        <v>0</v>
      </c>
      <c r="AN92" s="127">
        <v>4</v>
      </c>
      <c r="AO92" s="128">
        <v>100</v>
      </c>
      <c r="AP92" s="127">
        <v>4</v>
      </c>
    </row>
    <row r="93" spans="1:42" ht="15">
      <c r="A93" s="65" t="s">
        <v>280</v>
      </c>
      <c r="B93" s="65" t="s">
        <v>280</v>
      </c>
      <c r="C93" s="66" t="s">
        <v>1221</v>
      </c>
      <c r="D93" s="67">
        <v>3</v>
      </c>
      <c r="E93" s="68"/>
      <c r="F93" s="69">
        <v>40</v>
      </c>
      <c r="G93" s="66"/>
      <c r="H93" s="70"/>
      <c r="I93" s="71"/>
      <c r="J93" s="71"/>
      <c r="K93" s="35" t="s">
        <v>65</v>
      </c>
      <c r="L93" s="79">
        <v>93</v>
      </c>
      <c r="M93" s="79"/>
      <c r="N93" s="73"/>
      <c r="O93" s="90" t="s">
        <v>355</v>
      </c>
      <c r="P93" s="90" t="s">
        <v>358</v>
      </c>
      <c r="Q93" s="94" t="s">
        <v>442</v>
      </c>
      <c r="R93" s="90" t="s">
        <v>280</v>
      </c>
      <c r="S93" s="90" t="s">
        <v>559</v>
      </c>
      <c r="T93" s="96" t="str">
        <f>HYPERLINK("http://www.youtube.com/channel/UClnojW-58I9WE8weIj_0J9A")</f>
        <v>http://www.youtube.com/channel/UClnojW-58I9WE8weIj_0J9A</v>
      </c>
      <c r="U93" s="90" t="s">
        <v>642</v>
      </c>
      <c r="V93" s="90" t="s">
        <v>652</v>
      </c>
      <c r="W93" s="96" t="str">
        <f>HYPERLINK("https://www.youtube.com/watch?v=")</f>
        <v>https://www.youtube.com/watch?v=</v>
      </c>
      <c r="X93" s="90" t="s">
        <v>656</v>
      </c>
      <c r="Y93" s="90">
        <v>3</v>
      </c>
      <c r="Z93" s="99">
        <v>43944.64748842592</v>
      </c>
      <c r="AA93" s="99">
        <v>43944.64748842592</v>
      </c>
      <c r="AB93" s="90"/>
      <c r="AC93" s="90"/>
      <c r="AD93" s="94" t="s">
        <v>666</v>
      </c>
      <c r="AE93" s="92">
        <v>4</v>
      </c>
      <c r="AF93" s="93" t="str">
        <f>REPLACE(INDEX(GroupVertices[Group],MATCH(Edges[[#This Row],[Vertex 1]],GroupVertices[Vertex],0)),1,1,"")</f>
        <v>2</v>
      </c>
      <c r="AG93" s="93" t="str">
        <f>REPLACE(INDEX(GroupVertices[Group],MATCH(Edges[[#This Row],[Vertex 2]],GroupVertices[Vertex],0)),1,1,"")</f>
        <v>2</v>
      </c>
      <c r="AH93" s="127">
        <v>1</v>
      </c>
      <c r="AI93" s="128">
        <v>12.5</v>
      </c>
      <c r="AJ93" s="127">
        <v>0</v>
      </c>
      <c r="AK93" s="128">
        <v>0</v>
      </c>
      <c r="AL93" s="127">
        <v>0</v>
      </c>
      <c r="AM93" s="128">
        <v>0</v>
      </c>
      <c r="AN93" s="127">
        <v>7</v>
      </c>
      <c r="AO93" s="128">
        <v>87.5</v>
      </c>
      <c r="AP93" s="127">
        <v>8</v>
      </c>
    </row>
    <row r="94" spans="1:42" ht="15">
      <c r="A94" s="65" t="s">
        <v>280</v>
      </c>
      <c r="B94" s="65" t="s">
        <v>280</v>
      </c>
      <c r="C94" s="66" t="s">
        <v>1221</v>
      </c>
      <c r="D94" s="67">
        <v>3</v>
      </c>
      <c r="E94" s="68"/>
      <c r="F94" s="69">
        <v>40</v>
      </c>
      <c r="G94" s="66"/>
      <c r="H94" s="70"/>
      <c r="I94" s="71"/>
      <c r="J94" s="71"/>
      <c r="K94" s="35" t="s">
        <v>65</v>
      </c>
      <c r="L94" s="79">
        <v>94</v>
      </c>
      <c r="M94" s="79"/>
      <c r="N94" s="73"/>
      <c r="O94" s="90" t="s">
        <v>355</v>
      </c>
      <c r="P94" s="90" t="s">
        <v>358</v>
      </c>
      <c r="Q94" s="94" t="s">
        <v>443</v>
      </c>
      <c r="R94" s="90" t="s">
        <v>280</v>
      </c>
      <c r="S94" s="90" t="s">
        <v>559</v>
      </c>
      <c r="T94" s="96" t="str">
        <f>HYPERLINK("http://www.youtube.com/channel/UClnojW-58I9WE8weIj_0J9A")</f>
        <v>http://www.youtube.com/channel/UClnojW-58I9WE8weIj_0J9A</v>
      </c>
      <c r="U94" s="90" t="s">
        <v>642</v>
      </c>
      <c r="V94" s="90" t="s">
        <v>652</v>
      </c>
      <c r="W94" s="96" t="str">
        <f>HYPERLINK("https://www.youtube.com/watch?v=")</f>
        <v>https://www.youtube.com/watch?v=</v>
      </c>
      <c r="X94" s="90" t="s">
        <v>656</v>
      </c>
      <c r="Y94" s="90">
        <v>2</v>
      </c>
      <c r="Z94" s="99">
        <v>43944.6475462963</v>
      </c>
      <c r="AA94" s="99">
        <v>43944.6475462963</v>
      </c>
      <c r="AB94" s="90"/>
      <c r="AC94" s="90"/>
      <c r="AD94" s="94" t="s">
        <v>666</v>
      </c>
      <c r="AE94" s="92">
        <v>4</v>
      </c>
      <c r="AF94" s="93" t="str">
        <f>REPLACE(INDEX(GroupVertices[Group],MATCH(Edges[[#This Row],[Vertex 1]],GroupVertices[Vertex],0)),1,1,"")</f>
        <v>2</v>
      </c>
      <c r="AG94" s="93" t="str">
        <f>REPLACE(INDEX(GroupVertices[Group],MATCH(Edges[[#This Row],[Vertex 2]],GroupVertices[Vertex],0)),1,1,"")</f>
        <v>2</v>
      </c>
      <c r="AH94" s="127">
        <v>0</v>
      </c>
      <c r="AI94" s="128">
        <v>0</v>
      </c>
      <c r="AJ94" s="127">
        <v>0</v>
      </c>
      <c r="AK94" s="128">
        <v>0</v>
      </c>
      <c r="AL94" s="127">
        <v>0</v>
      </c>
      <c r="AM94" s="128">
        <v>0</v>
      </c>
      <c r="AN94" s="127">
        <v>3</v>
      </c>
      <c r="AO94" s="128">
        <v>100</v>
      </c>
      <c r="AP94" s="127">
        <v>3</v>
      </c>
    </row>
    <row r="95" spans="1:42" ht="15">
      <c r="A95" s="65" t="s">
        <v>280</v>
      </c>
      <c r="B95" s="65" t="s">
        <v>280</v>
      </c>
      <c r="C95" s="66" t="s">
        <v>1221</v>
      </c>
      <c r="D95" s="67">
        <v>3</v>
      </c>
      <c r="E95" s="68"/>
      <c r="F95" s="69">
        <v>40</v>
      </c>
      <c r="G95" s="66"/>
      <c r="H95" s="70"/>
      <c r="I95" s="71"/>
      <c r="J95" s="71"/>
      <c r="K95" s="35" t="s">
        <v>65</v>
      </c>
      <c r="L95" s="79">
        <v>95</v>
      </c>
      <c r="M95" s="79"/>
      <c r="N95" s="73"/>
      <c r="O95" s="90" t="s">
        <v>355</v>
      </c>
      <c r="P95" s="90" t="s">
        <v>358</v>
      </c>
      <c r="Q95" s="94" t="s">
        <v>444</v>
      </c>
      <c r="R95" s="90" t="s">
        <v>280</v>
      </c>
      <c r="S95" s="90" t="s">
        <v>559</v>
      </c>
      <c r="T95" s="96" t="str">
        <f>HYPERLINK("http://www.youtube.com/channel/UClnojW-58I9WE8weIj_0J9A")</f>
        <v>http://www.youtube.com/channel/UClnojW-58I9WE8weIj_0J9A</v>
      </c>
      <c r="U95" s="90" t="s">
        <v>642</v>
      </c>
      <c r="V95" s="90" t="s">
        <v>652</v>
      </c>
      <c r="W95" s="96" t="str">
        <f>HYPERLINK("https://www.youtube.com/watch?v=")</f>
        <v>https://www.youtube.com/watch?v=</v>
      </c>
      <c r="X95" s="90" t="s">
        <v>656</v>
      </c>
      <c r="Y95" s="90">
        <v>1</v>
      </c>
      <c r="Z95" s="99">
        <v>43978.55908564815</v>
      </c>
      <c r="AA95" s="99">
        <v>43978.55908564815</v>
      </c>
      <c r="AB95" s="90"/>
      <c r="AC95" s="90"/>
      <c r="AD95" s="94" t="s">
        <v>666</v>
      </c>
      <c r="AE95" s="92">
        <v>4</v>
      </c>
      <c r="AF95" s="93" t="str">
        <f>REPLACE(INDEX(GroupVertices[Group],MATCH(Edges[[#This Row],[Vertex 1]],GroupVertices[Vertex],0)),1,1,"")</f>
        <v>2</v>
      </c>
      <c r="AG95" s="93" t="str">
        <f>REPLACE(INDEX(GroupVertices[Group],MATCH(Edges[[#This Row],[Vertex 2]],GroupVertices[Vertex],0)),1,1,"")</f>
        <v>2</v>
      </c>
      <c r="AH95" s="127">
        <v>0</v>
      </c>
      <c r="AI95" s="128">
        <v>0</v>
      </c>
      <c r="AJ95" s="127">
        <v>0</v>
      </c>
      <c r="AK95" s="128">
        <v>0</v>
      </c>
      <c r="AL95" s="127">
        <v>0</v>
      </c>
      <c r="AM95" s="128">
        <v>0</v>
      </c>
      <c r="AN95" s="127">
        <v>6</v>
      </c>
      <c r="AO95" s="128">
        <v>100</v>
      </c>
      <c r="AP95" s="127">
        <v>6</v>
      </c>
    </row>
    <row r="96" spans="1:42" ht="15">
      <c r="A96" s="65" t="s">
        <v>303</v>
      </c>
      <c r="B96" s="65" t="s">
        <v>280</v>
      </c>
      <c r="C96" s="66" t="s">
        <v>1220</v>
      </c>
      <c r="D96" s="67">
        <v>3</v>
      </c>
      <c r="E96" s="68"/>
      <c r="F96" s="69">
        <v>40</v>
      </c>
      <c r="G96" s="66"/>
      <c r="H96" s="70"/>
      <c r="I96" s="71"/>
      <c r="J96" s="71"/>
      <c r="K96" s="35" t="s">
        <v>65</v>
      </c>
      <c r="L96" s="79">
        <v>96</v>
      </c>
      <c r="M96" s="79"/>
      <c r="N96" s="73"/>
      <c r="O96" s="90" t="s">
        <v>355</v>
      </c>
      <c r="P96" s="90" t="s">
        <v>358</v>
      </c>
      <c r="Q96" s="94" t="s">
        <v>425</v>
      </c>
      <c r="R96" s="90" t="s">
        <v>303</v>
      </c>
      <c r="S96" s="90" t="s">
        <v>582</v>
      </c>
      <c r="T96" s="96" t="str">
        <f>HYPERLINK("http://www.youtube.com/channel/UCdf__4wGpIoAJUxaHzh52Rg")</f>
        <v>http://www.youtube.com/channel/UCdf__4wGpIoAJUxaHzh52Rg</v>
      </c>
      <c r="U96" s="90" t="s">
        <v>642</v>
      </c>
      <c r="V96" s="90" t="s">
        <v>652</v>
      </c>
      <c r="W96" s="96" t="str">
        <f>HYPERLINK("https://www.youtube.com/watch?v=")</f>
        <v>https://www.youtube.com/watch?v=</v>
      </c>
      <c r="X96" s="90" t="s">
        <v>656</v>
      </c>
      <c r="Y96" s="90">
        <v>1</v>
      </c>
      <c r="Z96" s="99">
        <v>43988.11756944445</v>
      </c>
      <c r="AA96" s="99">
        <v>43988.11756944445</v>
      </c>
      <c r="AB96" s="90"/>
      <c r="AC96" s="90"/>
      <c r="AD96" s="94" t="s">
        <v>666</v>
      </c>
      <c r="AE96" s="92">
        <v>1</v>
      </c>
      <c r="AF96" s="93" t="str">
        <f>REPLACE(INDEX(GroupVertices[Group],MATCH(Edges[[#This Row],[Vertex 1]],GroupVertices[Vertex],0)),1,1,"")</f>
        <v>2</v>
      </c>
      <c r="AG96" s="93" t="str">
        <f>REPLACE(INDEX(GroupVertices[Group],MATCH(Edges[[#This Row],[Vertex 2]],GroupVertices[Vertex],0)),1,1,"")</f>
        <v>2</v>
      </c>
      <c r="AH96" s="127">
        <v>0</v>
      </c>
      <c r="AI96" s="128">
        <v>0</v>
      </c>
      <c r="AJ96" s="127">
        <v>0</v>
      </c>
      <c r="AK96" s="128">
        <v>0</v>
      </c>
      <c r="AL96" s="127">
        <v>0</v>
      </c>
      <c r="AM96" s="128">
        <v>0</v>
      </c>
      <c r="AN96" s="127">
        <v>1</v>
      </c>
      <c r="AO96" s="128">
        <v>100</v>
      </c>
      <c r="AP96" s="127">
        <v>1</v>
      </c>
    </row>
    <row r="97" spans="1:42" ht="15">
      <c r="A97" s="65" t="s">
        <v>304</v>
      </c>
      <c r="B97" s="65" t="s">
        <v>280</v>
      </c>
      <c r="C97" s="66" t="s">
        <v>1220</v>
      </c>
      <c r="D97" s="67">
        <v>3</v>
      </c>
      <c r="E97" s="68"/>
      <c r="F97" s="69">
        <v>40</v>
      </c>
      <c r="G97" s="66"/>
      <c r="H97" s="70"/>
      <c r="I97" s="71"/>
      <c r="J97" s="71"/>
      <c r="K97" s="35" t="s">
        <v>65</v>
      </c>
      <c r="L97" s="79">
        <v>97</v>
      </c>
      <c r="M97" s="79"/>
      <c r="N97" s="73"/>
      <c r="O97" s="90" t="s">
        <v>355</v>
      </c>
      <c r="P97" s="90" t="s">
        <v>358</v>
      </c>
      <c r="Q97" s="94" t="s">
        <v>445</v>
      </c>
      <c r="R97" s="90" t="s">
        <v>304</v>
      </c>
      <c r="S97" s="90" t="s">
        <v>583</v>
      </c>
      <c r="T97" s="96" t="str">
        <f>HYPERLINK("http://www.youtube.com/channel/UCqTGL2iGxZBMK9l4EWPg1Ug")</f>
        <v>http://www.youtube.com/channel/UCqTGL2iGxZBMK9l4EWPg1Ug</v>
      </c>
      <c r="U97" s="90" t="s">
        <v>642</v>
      </c>
      <c r="V97" s="90" t="s">
        <v>652</v>
      </c>
      <c r="W97" s="96" t="str">
        <f>HYPERLINK("https://www.youtube.com/watch?v=")</f>
        <v>https://www.youtube.com/watch?v=</v>
      </c>
      <c r="X97" s="90" t="s">
        <v>656</v>
      </c>
      <c r="Y97" s="90">
        <v>1</v>
      </c>
      <c r="Z97" s="99">
        <v>44166.783680555556</v>
      </c>
      <c r="AA97" s="99">
        <v>44166.783680555556</v>
      </c>
      <c r="AB97" s="90"/>
      <c r="AC97" s="90"/>
      <c r="AD97" s="94" t="s">
        <v>666</v>
      </c>
      <c r="AE97" s="92">
        <v>1</v>
      </c>
      <c r="AF97" s="93" t="str">
        <f>REPLACE(INDEX(GroupVertices[Group],MATCH(Edges[[#This Row],[Vertex 1]],GroupVertices[Vertex],0)),1,1,"")</f>
        <v>5</v>
      </c>
      <c r="AG97" s="93" t="str">
        <f>REPLACE(INDEX(GroupVertices[Group],MATCH(Edges[[#This Row],[Vertex 2]],GroupVertices[Vertex],0)),1,1,"")</f>
        <v>2</v>
      </c>
      <c r="AH97" s="127">
        <v>0</v>
      </c>
      <c r="AI97" s="128">
        <v>0</v>
      </c>
      <c r="AJ97" s="127">
        <v>0</v>
      </c>
      <c r="AK97" s="128">
        <v>0</v>
      </c>
      <c r="AL97" s="127">
        <v>0</v>
      </c>
      <c r="AM97" s="128">
        <v>0</v>
      </c>
      <c r="AN97" s="127">
        <v>4</v>
      </c>
      <c r="AO97" s="128">
        <v>100</v>
      </c>
      <c r="AP97" s="127">
        <v>4</v>
      </c>
    </row>
    <row r="98" spans="1:42" ht="15">
      <c r="A98" s="65" t="s">
        <v>305</v>
      </c>
      <c r="B98" s="65" t="s">
        <v>280</v>
      </c>
      <c r="C98" s="66" t="s">
        <v>1220</v>
      </c>
      <c r="D98" s="67">
        <v>3</v>
      </c>
      <c r="E98" s="68"/>
      <c r="F98" s="69">
        <v>40</v>
      </c>
      <c r="G98" s="66"/>
      <c r="H98" s="70"/>
      <c r="I98" s="71"/>
      <c r="J98" s="71"/>
      <c r="K98" s="35" t="s">
        <v>65</v>
      </c>
      <c r="L98" s="79">
        <v>98</v>
      </c>
      <c r="M98" s="79"/>
      <c r="N98" s="73"/>
      <c r="O98" s="90" t="s">
        <v>355</v>
      </c>
      <c r="P98" s="90" t="s">
        <v>358</v>
      </c>
      <c r="Q98" s="94" t="s">
        <v>446</v>
      </c>
      <c r="R98" s="90" t="s">
        <v>305</v>
      </c>
      <c r="S98" s="90" t="s">
        <v>584</v>
      </c>
      <c r="T98" s="96" t="str">
        <f>HYPERLINK("http://www.youtube.com/channel/UCXptVAEtFVNWoBYkirxhSHg")</f>
        <v>http://www.youtube.com/channel/UCXptVAEtFVNWoBYkirxhSHg</v>
      </c>
      <c r="U98" s="90" t="s">
        <v>642</v>
      </c>
      <c r="V98" s="90" t="s">
        <v>652</v>
      </c>
      <c r="W98" s="96" t="str">
        <f>HYPERLINK("https://www.youtube.com/watch?v=")</f>
        <v>https://www.youtube.com/watch?v=</v>
      </c>
      <c r="X98" s="90" t="s">
        <v>656</v>
      </c>
      <c r="Y98" s="90">
        <v>1</v>
      </c>
      <c r="Z98" s="99">
        <v>44221.23496527778</v>
      </c>
      <c r="AA98" s="99">
        <v>44221.23496527778</v>
      </c>
      <c r="AB98" s="90"/>
      <c r="AC98" s="90"/>
      <c r="AD98" s="94" t="s">
        <v>666</v>
      </c>
      <c r="AE98" s="92">
        <v>1</v>
      </c>
      <c r="AF98" s="93" t="str">
        <f>REPLACE(INDEX(GroupVertices[Group],MATCH(Edges[[#This Row],[Vertex 1]],GroupVertices[Vertex],0)),1,1,"")</f>
        <v>5</v>
      </c>
      <c r="AG98" s="93" t="str">
        <f>REPLACE(INDEX(GroupVertices[Group],MATCH(Edges[[#This Row],[Vertex 2]],GroupVertices[Vertex],0)),1,1,"")</f>
        <v>2</v>
      </c>
      <c r="AH98" s="127">
        <v>0</v>
      </c>
      <c r="AI98" s="128">
        <v>0</v>
      </c>
      <c r="AJ98" s="127">
        <v>0</v>
      </c>
      <c r="AK98" s="128">
        <v>0</v>
      </c>
      <c r="AL98" s="127">
        <v>0</v>
      </c>
      <c r="AM98" s="128">
        <v>0</v>
      </c>
      <c r="AN98" s="127">
        <v>7</v>
      </c>
      <c r="AO98" s="128">
        <v>100</v>
      </c>
      <c r="AP98" s="127">
        <v>7</v>
      </c>
    </row>
    <row r="99" spans="1:42" ht="15">
      <c r="A99" s="65" t="s">
        <v>306</v>
      </c>
      <c r="B99" s="65" t="s">
        <v>280</v>
      </c>
      <c r="C99" s="66" t="s">
        <v>1220</v>
      </c>
      <c r="D99" s="67">
        <v>3</v>
      </c>
      <c r="E99" s="68"/>
      <c r="F99" s="69">
        <v>40</v>
      </c>
      <c r="G99" s="66"/>
      <c r="H99" s="70"/>
      <c r="I99" s="71"/>
      <c r="J99" s="71"/>
      <c r="K99" s="35" t="s">
        <v>65</v>
      </c>
      <c r="L99" s="79">
        <v>99</v>
      </c>
      <c r="M99" s="79"/>
      <c r="N99" s="73"/>
      <c r="O99" s="90" t="s">
        <v>355</v>
      </c>
      <c r="P99" s="90" t="s">
        <v>358</v>
      </c>
      <c r="Q99" s="94" t="s">
        <v>447</v>
      </c>
      <c r="R99" s="90" t="s">
        <v>306</v>
      </c>
      <c r="S99" s="90" t="s">
        <v>585</v>
      </c>
      <c r="T99" s="96" t="str">
        <f>HYPERLINK("http://www.youtube.com/channel/UCYbcr3YlItwbRXxWJhXfPMQ")</f>
        <v>http://www.youtube.com/channel/UCYbcr3YlItwbRXxWJhXfPMQ</v>
      </c>
      <c r="U99" s="90" t="s">
        <v>642</v>
      </c>
      <c r="V99" s="90" t="s">
        <v>652</v>
      </c>
      <c r="W99" s="96" t="str">
        <f>HYPERLINK("https://www.youtube.com/watch?v=")</f>
        <v>https://www.youtube.com/watch?v=</v>
      </c>
      <c r="X99" s="90" t="s">
        <v>656</v>
      </c>
      <c r="Y99" s="90">
        <v>0</v>
      </c>
      <c r="Z99" s="99">
        <v>44235.7812037037</v>
      </c>
      <c r="AA99" s="99">
        <v>44235.7812037037</v>
      </c>
      <c r="AB99" s="90"/>
      <c r="AC99" s="90"/>
      <c r="AD99" s="94" t="s">
        <v>666</v>
      </c>
      <c r="AE99" s="92">
        <v>1</v>
      </c>
      <c r="AF99" s="93" t="str">
        <f>REPLACE(INDEX(GroupVertices[Group],MATCH(Edges[[#This Row],[Vertex 1]],GroupVertices[Vertex],0)),1,1,"")</f>
        <v>2</v>
      </c>
      <c r="AG99" s="93" t="str">
        <f>REPLACE(INDEX(GroupVertices[Group],MATCH(Edges[[#This Row],[Vertex 2]],GroupVertices[Vertex],0)),1,1,"")</f>
        <v>2</v>
      </c>
      <c r="AH99" s="127">
        <v>0</v>
      </c>
      <c r="AI99" s="128">
        <v>0</v>
      </c>
      <c r="AJ99" s="127">
        <v>0</v>
      </c>
      <c r="AK99" s="128">
        <v>0</v>
      </c>
      <c r="AL99" s="127">
        <v>0</v>
      </c>
      <c r="AM99" s="128">
        <v>0</v>
      </c>
      <c r="AN99" s="127">
        <v>2</v>
      </c>
      <c r="AO99" s="128">
        <v>100</v>
      </c>
      <c r="AP99" s="127">
        <v>2</v>
      </c>
    </row>
    <row r="100" spans="1:42" ht="15">
      <c r="A100" s="65" t="s">
        <v>307</v>
      </c>
      <c r="B100" s="65" t="s">
        <v>280</v>
      </c>
      <c r="C100" s="66" t="s">
        <v>1220</v>
      </c>
      <c r="D100" s="67">
        <v>3</v>
      </c>
      <c r="E100" s="68"/>
      <c r="F100" s="69">
        <v>40</v>
      </c>
      <c r="G100" s="66"/>
      <c r="H100" s="70"/>
      <c r="I100" s="71"/>
      <c r="J100" s="71"/>
      <c r="K100" s="35" t="s">
        <v>65</v>
      </c>
      <c r="L100" s="79">
        <v>100</v>
      </c>
      <c r="M100" s="79"/>
      <c r="N100" s="73"/>
      <c r="O100" s="90" t="s">
        <v>355</v>
      </c>
      <c r="P100" s="90" t="s">
        <v>358</v>
      </c>
      <c r="Q100" s="94" t="s">
        <v>425</v>
      </c>
      <c r="R100" s="90" t="s">
        <v>307</v>
      </c>
      <c r="S100" s="90" t="s">
        <v>586</v>
      </c>
      <c r="T100" s="96" t="str">
        <f>HYPERLINK("http://www.youtube.com/channel/UCF5ChGDslgBBC95Q2q_mqTA")</f>
        <v>http://www.youtube.com/channel/UCF5ChGDslgBBC95Q2q_mqTA</v>
      </c>
      <c r="U100" s="90" t="s">
        <v>642</v>
      </c>
      <c r="V100" s="90" t="s">
        <v>652</v>
      </c>
      <c r="W100" s="96" t="str">
        <f>HYPERLINK("https://www.youtube.com/watch?v=")</f>
        <v>https://www.youtube.com/watch?v=</v>
      </c>
      <c r="X100" s="90" t="s">
        <v>656</v>
      </c>
      <c r="Y100" s="90">
        <v>0</v>
      </c>
      <c r="Z100" s="99">
        <v>44307.91505787037</v>
      </c>
      <c r="AA100" s="99">
        <v>44307.91505787037</v>
      </c>
      <c r="AB100" s="90"/>
      <c r="AC100" s="90"/>
      <c r="AD100" s="94" t="s">
        <v>666</v>
      </c>
      <c r="AE100" s="92">
        <v>1</v>
      </c>
      <c r="AF100" s="93" t="str">
        <f>REPLACE(INDEX(GroupVertices[Group],MATCH(Edges[[#This Row],[Vertex 1]],GroupVertices[Vertex],0)),1,1,"")</f>
        <v>5</v>
      </c>
      <c r="AG100" s="93" t="str">
        <f>REPLACE(INDEX(GroupVertices[Group],MATCH(Edges[[#This Row],[Vertex 2]],GroupVertices[Vertex],0)),1,1,"")</f>
        <v>2</v>
      </c>
      <c r="AH100" s="127">
        <v>0</v>
      </c>
      <c r="AI100" s="128">
        <v>0</v>
      </c>
      <c r="AJ100" s="127">
        <v>0</v>
      </c>
      <c r="AK100" s="128">
        <v>0</v>
      </c>
      <c r="AL100" s="127">
        <v>0</v>
      </c>
      <c r="AM100" s="128">
        <v>0</v>
      </c>
      <c r="AN100" s="127">
        <v>1</v>
      </c>
      <c r="AO100" s="128">
        <v>100</v>
      </c>
      <c r="AP100" s="127">
        <v>1</v>
      </c>
    </row>
    <row r="101" spans="1:42" ht="15">
      <c r="A101" s="65" t="s">
        <v>280</v>
      </c>
      <c r="B101" s="65" t="s">
        <v>352</v>
      </c>
      <c r="C101" s="66" t="s">
        <v>1220</v>
      </c>
      <c r="D101" s="67">
        <v>3</v>
      </c>
      <c r="E101" s="68"/>
      <c r="F101" s="69">
        <v>40</v>
      </c>
      <c r="G101" s="66"/>
      <c r="H101" s="70"/>
      <c r="I101" s="71"/>
      <c r="J101" s="71"/>
      <c r="K101" s="35" t="s">
        <v>65</v>
      </c>
      <c r="L101" s="79">
        <v>101</v>
      </c>
      <c r="M101" s="79"/>
      <c r="N101" s="73"/>
      <c r="O101" s="90" t="s">
        <v>356</v>
      </c>
      <c r="P101" s="90" t="s">
        <v>212</v>
      </c>
      <c r="Q101" s="94" t="s">
        <v>448</v>
      </c>
      <c r="R101" s="90" t="s">
        <v>280</v>
      </c>
      <c r="S101" s="90" t="s">
        <v>559</v>
      </c>
      <c r="T101" s="96" t="str">
        <f>HYPERLINK("http://www.youtube.com/channel/UClnojW-58I9WE8weIj_0J9A")</f>
        <v>http://www.youtube.com/channel/UClnojW-58I9WE8weIj_0J9A</v>
      </c>
      <c r="U101" s="90"/>
      <c r="V101" s="90" t="s">
        <v>652</v>
      </c>
      <c r="W101" s="96" t="str">
        <f>HYPERLINK("https://www.youtube.com/watch?v=fK1_SH3X2ek")</f>
        <v>https://www.youtube.com/watch?v=fK1_SH3X2ek</v>
      </c>
      <c r="X101" s="90" t="s">
        <v>656</v>
      </c>
      <c r="Y101" s="90">
        <v>190</v>
      </c>
      <c r="Z101" s="99">
        <v>43922.73711805556</v>
      </c>
      <c r="AA101" s="99">
        <v>43922.73711805556</v>
      </c>
      <c r="AB101" s="90"/>
      <c r="AC101" s="90"/>
      <c r="AD101" s="94" t="s">
        <v>666</v>
      </c>
      <c r="AE101" s="92">
        <v>1</v>
      </c>
      <c r="AF101" s="93" t="str">
        <f>REPLACE(INDEX(GroupVertices[Group],MATCH(Edges[[#This Row],[Vertex 1]],GroupVertices[Vertex],0)),1,1,"")</f>
        <v>2</v>
      </c>
      <c r="AG101" s="93" t="str">
        <f>REPLACE(INDEX(GroupVertices[Group],MATCH(Edges[[#This Row],[Vertex 2]],GroupVertices[Vertex],0)),1,1,"")</f>
        <v>1</v>
      </c>
      <c r="AH101" s="127">
        <v>0</v>
      </c>
      <c r="AI101" s="128">
        <v>0</v>
      </c>
      <c r="AJ101" s="127">
        <v>0</v>
      </c>
      <c r="AK101" s="128">
        <v>0</v>
      </c>
      <c r="AL101" s="127">
        <v>0</v>
      </c>
      <c r="AM101" s="128">
        <v>0</v>
      </c>
      <c r="AN101" s="127">
        <v>16</v>
      </c>
      <c r="AO101" s="128">
        <v>100</v>
      </c>
      <c r="AP101" s="127">
        <v>16</v>
      </c>
    </row>
    <row r="102" spans="1:42" ht="15">
      <c r="A102" s="65" t="s">
        <v>259</v>
      </c>
      <c r="B102" s="65" t="s">
        <v>352</v>
      </c>
      <c r="C102" s="66" t="s">
        <v>1220</v>
      </c>
      <c r="D102" s="67">
        <v>3</v>
      </c>
      <c r="E102" s="68"/>
      <c r="F102" s="69">
        <v>40</v>
      </c>
      <c r="G102" s="66"/>
      <c r="H102" s="70"/>
      <c r="I102" s="71"/>
      <c r="J102" s="71"/>
      <c r="K102" s="35" t="s">
        <v>65</v>
      </c>
      <c r="L102" s="79">
        <v>102</v>
      </c>
      <c r="M102" s="79"/>
      <c r="N102" s="73"/>
      <c r="O102" s="90" t="s">
        <v>356</v>
      </c>
      <c r="P102" s="90" t="s">
        <v>212</v>
      </c>
      <c r="Q102" s="94" t="s">
        <v>449</v>
      </c>
      <c r="R102" s="90" t="s">
        <v>259</v>
      </c>
      <c r="S102" s="90" t="s">
        <v>538</v>
      </c>
      <c r="T102" s="96" t="str">
        <f>HYPERLINK("http://www.youtube.com/channel/UCsZFWQYkG-slxqG0PSAeuDg")</f>
        <v>http://www.youtube.com/channel/UCsZFWQYkG-slxqG0PSAeuDg</v>
      </c>
      <c r="U102" s="90"/>
      <c r="V102" s="90" t="s">
        <v>652</v>
      </c>
      <c r="W102" s="96" t="str">
        <f>HYPERLINK("https://www.youtube.com/watch?v=fK1_SH3X2ek")</f>
        <v>https://www.youtube.com/watch?v=fK1_SH3X2ek</v>
      </c>
      <c r="X102" s="90" t="s">
        <v>656</v>
      </c>
      <c r="Y102" s="90">
        <v>1</v>
      </c>
      <c r="Z102" s="99">
        <v>43927.073969907404</v>
      </c>
      <c r="AA102" s="99">
        <v>43927.073969907404</v>
      </c>
      <c r="AB102" s="90" t="s">
        <v>657</v>
      </c>
      <c r="AC102" s="90" t="s">
        <v>662</v>
      </c>
      <c r="AD102" s="94" t="s">
        <v>666</v>
      </c>
      <c r="AE102" s="92">
        <v>1</v>
      </c>
      <c r="AF102" s="93" t="str">
        <f>REPLACE(INDEX(GroupVertices[Group],MATCH(Edges[[#This Row],[Vertex 1]],GroupVertices[Vertex],0)),1,1,"")</f>
        <v>1</v>
      </c>
      <c r="AG102" s="93" t="str">
        <f>REPLACE(INDEX(GroupVertices[Group],MATCH(Edges[[#This Row],[Vertex 2]],GroupVertices[Vertex],0)),1,1,"")</f>
        <v>1</v>
      </c>
      <c r="AH102" s="127">
        <v>2</v>
      </c>
      <c r="AI102" s="128">
        <v>6.0606060606060606</v>
      </c>
      <c r="AJ102" s="127">
        <v>0</v>
      </c>
      <c r="AK102" s="128">
        <v>0</v>
      </c>
      <c r="AL102" s="127">
        <v>0</v>
      </c>
      <c r="AM102" s="128">
        <v>0</v>
      </c>
      <c r="AN102" s="127">
        <v>31</v>
      </c>
      <c r="AO102" s="128">
        <v>93.93939393939394</v>
      </c>
      <c r="AP102" s="127">
        <v>33</v>
      </c>
    </row>
    <row r="103" spans="1:42" ht="15">
      <c r="A103" s="65" t="s">
        <v>308</v>
      </c>
      <c r="B103" s="65" t="s">
        <v>352</v>
      </c>
      <c r="C103" s="66" t="s">
        <v>1220</v>
      </c>
      <c r="D103" s="67">
        <v>3</v>
      </c>
      <c r="E103" s="68"/>
      <c r="F103" s="69">
        <v>40</v>
      </c>
      <c r="G103" s="66"/>
      <c r="H103" s="70"/>
      <c r="I103" s="71"/>
      <c r="J103" s="71"/>
      <c r="K103" s="35" t="s">
        <v>65</v>
      </c>
      <c r="L103" s="79">
        <v>103</v>
      </c>
      <c r="M103" s="79"/>
      <c r="N103" s="73"/>
      <c r="O103" s="90" t="s">
        <v>356</v>
      </c>
      <c r="P103" s="90" t="s">
        <v>212</v>
      </c>
      <c r="Q103" s="94" t="s">
        <v>450</v>
      </c>
      <c r="R103" s="90" t="s">
        <v>308</v>
      </c>
      <c r="S103" s="90" t="s">
        <v>587</v>
      </c>
      <c r="T103" s="96" t="str">
        <f>HYPERLINK("http://www.youtube.com/channel/UCanNtkxGuVo8RHmoYXqQdPQ")</f>
        <v>http://www.youtube.com/channel/UCanNtkxGuVo8RHmoYXqQdPQ</v>
      </c>
      <c r="U103" s="90"/>
      <c r="V103" s="90" t="s">
        <v>652</v>
      </c>
      <c r="W103" s="96" t="str">
        <f>HYPERLINK("https://www.youtube.com/watch?v=fK1_SH3X2ek")</f>
        <v>https://www.youtube.com/watch?v=fK1_SH3X2ek</v>
      </c>
      <c r="X103" s="90" t="s">
        <v>656</v>
      </c>
      <c r="Y103" s="90">
        <v>1</v>
      </c>
      <c r="Z103" s="99">
        <v>43928.46461805556</v>
      </c>
      <c r="AA103" s="99">
        <v>43928.46461805556</v>
      </c>
      <c r="AB103" s="90"/>
      <c r="AC103" s="90"/>
      <c r="AD103" s="94" t="s">
        <v>666</v>
      </c>
      <c r="AE103" s="92">
        <v>1</v>
      </c>
      <c r="AF103" s="93" t="str">
        <f>REPLACE(INDEX(GroupVertices[Group],MATCH(Edges[[#This Row],[Vertex 1]],GroupVertices[Vertex],0)),1,1,"")</f>
        <v>1</v>
      </c>
      <c r="AG103" s="93" t="str">
        <f>REPLACE(INDEX(GroupVertices[Group],MATCH(Edges[[#This Row],[Vertex 2]],GroupVertices[Vertex],0)),1,1,"")</f>
        <v>1</v>
      </c>
      <c r="AH103" s="127">
        <v>1</v>
      </c>
      <c r="AI103" s="128">
        <v>33.333333333333336</v>
      </c>
      <c r="AJ103" s="127">
        <v>0</v>
      </c>
      <c r="AK103" s="128">
        <v>0</v>
      </c>
      <c r="AL103" s="127">
        <v>0</v>
      </c>
      <c r="AM103" s="128">
        <v>0</v>
      </c>
      <c r="AN103" s="127">
        <v>2</v>
      </c>
      <c r="AO103" s="128">
        <v>66.66666666666667</v>
      </c>
      <c r="AP103" s="127">
        <v>3</v>
      </c>
    </row>
    <row r="104" spans="1:42" ht="15">
      <c r="A104" s="65" t="s">
        <v>309</v>
      </c>
      <c r="B104" s="65" t="s">
        <v>352</v>
      </c>
      <c r="C104" s="66" t="s">
        <v>1220</v>
      </c>
      <c r="D104" s="67">
        <v>3</v>
      </c>
      <c r="E104" s="68"/>
      <c r="F104" s="69">
        <v>40</v>
      </c>
      <c r="G104" s="66"/>
      <c r="H104" s="70"/>
      <c r="I104" s="71"/>
      <c r="J104" s="71"/>
      <c r="K104" s="35" t="s">
        <v>65</v>
      </c>
      <c r="L104" s="79">
        <v>104</v>
      </c>
      <c r="M104" s="79"/>
      <c r="N104" s="73"/>
      <c r="O104" s="90" t="s">
        <v>356</v>
      </c>
      <c r="P104" s="90" t="s">
        <v>212</v>
      </c>
      <c r="Q104" s="94" t="s">
        <v>451</v>
      </c>
      <c r="R104" s="90" t="s">
        <v>309</v>
      </c>
      <c r="S104" s="90" t="s">
        <v>588</v>
      </c>
      <c r="T104" s="96" t="str">
        <f>HYPERLINK("http://www.youtube.com/channel/UCIRd_KLhNQWScj1-la439iw")</f>
        <v>http://www.youtube.com/channel/UCIRd_KLhNQWScj1-la439iw</v>
      </c>
      <c r="U104" s="90"/>
      <c r="V104" s="90" t="s">
        <v>652</v>
      </c>
      <c r="W104" s="96" t="str">
        <f>HYPERLINK("https://www.youtube.com/watch?v=fK1_SH3X2ek")</f>
        <v>https://www.youtube.com/watch?v=fK1_SH3X2ek</v>
      </c>
      <c r="X104" s="90" t="s">
        <v>656</v>
      </c>
      <c r="Y104" s="90">
        <v>1</v>
      </c>
      <c r="Z104" s="99">
        <v>43950.35011574074</v>
      </c>
      <c r="AA104" s="99">
        <v>43950.35011574074</v>
      </c>
      <c r="AB104" s="90"/>
      <c r="AC104" s="90"/>
      <c r="AD104" s="94" t="s">
        <v>666</v>
      </c>
      <c r="AE104" s="92">
        <v>1</v>
      </c>
      <c r="AF104" s="93" t="str">
        <f>REPLACE(INDEX(GroupVertices[Group],MATCH(Edges[[#This Row],[Vertex 1]],GroupVertices[Vertex],0)),1,1,"")</f>
        <v>1</v>
      </c>
      <c r="AG104" s="93" t="str">
        <f>REPLACE(INDEX(GroupVertices[Group],MATCH(Edges[[#This Row],[Vertex 2]],GroupVertices[Vertex],0)),1,1,"")</f>
        <v>1</v>
      </c>
      <c r="AH104" s="127">
        <v>0</v>
      </c>
      <c r="AI104" s="128">
        <v>0</v>
      </c>
      <c r="AJ104" s="127">
        <v>0</v>
      </c>
      <c r="AK104" s="128">
        <v>0</v>
      </c>
      <c r="AL104" s="127">
        <v>0</v>
      </c>
      <c r="AM104" s="128">
        <v>0</v>
      </c>
      <c r="AN104" s="127">
        <v>3</v>
      </c>
      <c r="AO104" s="128">
        <v>100</v>
      </c>
      <c r="AP104" s="127">
        <v>3</v>
      </c>
    </row>
    <row r="105" spans="1:42" ht="15">
      <c r="A105" s="65" t="s">
        <v>310</v>
      </c>
      <c r="B105" s="65" t="s">
        <v>352</v>
      </c>
      <c r="C105" s="66" t="s">
        <v>1221</v>
      </c>
      <c r="D105" s="67">
        <v>3</v>
      </c>
      <c r="E105" s="68"/>
      <c r="F105" s="69">
        <v>40</v>
      </c>
      <c r="G105" s="66"/>
      <c r="H105" s="70"/>
      <c r="I105" s="71"/>
      <c r="J105" s="71"/>
      <c r="K105" s="35" t="s">
        <v>65</v>
      </c>
      <c r="L105" s="79">
        <v>105</v>
      </c>
      <c r="M105" s="79"/>
      <c r="N105" s="73"/>
      <c r="O105" s="90" t="s">
        <v>356</v>
      </c>
      <c r="P105" s="90" t="s">
        <v>212</v>
      </c>
      <c r="Q105" s="94" t="s">
        <v>452</v>
      </c>
      <c r="R105" s="90" t="s">
        <v>310</v>
      </c>
      <c r="S105" s="90" t="s">
        <v>589</v>
      </c>
      <c r="T105" s="96" t="str">
        <f>HYPERLINK("http://www.youtube.com/channel/UCnkFrB1A-54rSDf1RYW_lnw")</f>
        <v>http://www.youtube.com/channel/UCnkFrB1A-54rSDf1RYW_lnw</v>
      </c>
      <c r="U105" s="90"/>
      <c r="V105" s="90" t="s">
        <v>652</v>
      </c>
      <c r="W105" s="96" t="str">
        <f>HYPERLINK("https://www.youtube.com/watch?v=fK1_SH3X2ek")</f>
        <v>https://www.youtube.com/watch?v=fK1_SH3X2ek</v>
      </c>
      <c r="X105" s="90" t="s">
        <v>656</v>
      </c>
      <c r="Y105" s="90">
        <v>0</v>
      </c>
      <c r="Z105" s="99">
        <v>43961.91050925926</v>
      </c>
      <c r="AA105" s="99">
        <v>43961.91050925926</v>
      </c>
      <c r="AB105" s="90"/>
      <c r="AC105" s="90"/>
      <c r="AD105" s="94" t="s">
        <v>666</v>
      </c>
      <c r="AE105" s="92">
        <v>2</v>
      </c>
      <c r="AF105" s="93" t="str">
        <f>REPLACE(INDEX(GroupVertices[Group],MATCH(Edges[[#This Row],[Vertex 1]],GroupVertices[Vertex],0)),1,1,"")</f>
        <v>1</v>
      </c>
      <c r="AG105" s="93" t="str">
        <f>REPLACE(INDEX(GroupVertices[Group],MATCH(Edges[[#This Row],[Vertex 2]],GroupVertices[Vertex],0)),1,1,"")</f>
        <v>1</v>
      </c>
      <c r="AH105" s="127">
        <v>0</v>
      </c>
      <c r="AI105" s="128">
        <v>0</v>
      </c>
      <c r="AJ105" s="127">
        <v>0</v>
      </c>
      <c r="AK105" s="128">
        <v>0</v>
      </c>
      <c r="AL105" s="127">
        <v>0</v>
      </c>
      <c r="AM105" s="128">
        <v>0</v>
      </c>
      <c r="AN105" s="127">
        <v>1</v>
      </c>
      <c r="AO105" s="128">
        <v>100</v>
      </c>
      <c r="AP105" s="127">
        <v>1</v>
      </c>
    </row>
    <row r="106" spans="1:42" ht="15">
      <c r="A106" s="65" t="s">
        <v>310</v>
      </c>
      <c r="B106" s="65" t="s">
        <v>352</v>
      </c>
      <c r="C106" s="66" t="s">
        <v>1221</v>
      </c>
      <c r="D106" s="67">
        <v>3</v>
      </c>
      <c r="E106" s="68"/>
      <c r="F106" s="69">
        <v>40</v>
      </c>
      <c r="G106" s="66"/>
      <c r="H106" s="70"/>
      <c r="I106" s="71"/>
      <c r="J106" s="71"/>
      <c r="K106" s="35" t="s">
        <v>65</v>
      </c>
      <c r="L106" s="79">
        <v>106</v>
      </c>
      <c r="M106" s="79"/>
      <c r="N106" s="73"/>
      <c r="O106" s="90" t="s">
        <v>356</v>
      </c>
      <c r="P106" s="90" t="s">
        <v>212</v>
      </c>
      <c r="Q106" s="94" t="s">
        <v>453</v>
      </c>
      <c r="R106" s="90" t="s">
        <v>310</v>
      </c>
      <c r="S106" s="90" t="s">
        <v>589</v>
      </c>
      <c r="T106" s="96" t="str">
        <f>HYPERLINK("http://www.youtube.com/channel/UCnkFrB1A-54rSDf1RYW_lnw")</f>
        <v>http://www.youtube.com/channel/UCnkFrB1A-54rSDf1RYW_lnw</v>
      </c>
      <c r="U106" s="90"/>
      <c r="V106" s="90" t="s">
        <v>652</v>
      </c>
      <c r="W106" s="96" t="str">
        <f>HYPERLINK("https://www.youtube.com/watch?v=fK1_SH3X2ek")</f>
        <v>https://www.youtube.com/watch?v=fK1_SH3X2ek</v>
      </c>
      <c r="X106" s="90" t="s">
        <v>656</v>
      </c>
      <c r="Y106" s="90">
        <v>0</v>
      </c>
      <c r="Z106" s="99">
        <v>43961.91116898148</v>
      </c>
      <c r="AA106" s="99">
        <v>43961.91116898148</v>
      </c>
      <c r="AB106" s="90"/>
      <c r="AC106" s="90"/>
      <c r="AD106" s="94" t="s">
        <v>666</v>
      </c>
      <c r="AE106" s="92">
        <v>2</v>
      </c>
      <c r="AF106" s="93" t="str">
        <f>REPLACE(INDEX(GroupVertices[Group],MATCH(Edges[[#This Row],[Vertex 1]],GroupVertices[Vertex],0)),1,1,"")</f>
        <v>1</v>
      </c>
      <c r="AG106" s="93" t="str">
        <f>REPLACE(INDEX(GroupVertices[Group],MATCH(Edges[[#This Row],[Vertex 2]],GroupVertices[Vertex],0)),1,1,"")</f>
        <v>1</v>
      </c>
      <c r="AH106" s="127">
        <v>0</v>
      </c>
      <c r="AI106" s="128">
        <v>0</v>
      </c>
      <c r="AJ106" s="127">
        <v>0</v>
      </c>
      <c r="AK106" s="128">
        <v>0</v>
      </c>
      <c r="AL106" s="127">
        <v>0</v>
      </c>
      <c r="AM106" s="128">
        <v>0</v>
      </c>
      <c r="AN106" s="127">
        <v>2</v>
      </c>
      <c r="AO106" s="128">
        <v>100</v>
      </c>
      <c r="AP106" s="127">
        <v>2</v>
      </c>
    </row>
    <row r="107" spans="1:42" ht="15">
      <c r="A107" s="65" t="s">
        <v>311</v>
      </c>
      <c r="B107" s="65" t="s">
        <v>352</v>
      </c>
      <c r="C107" s="66" t="s">
        <v>1221</v>
      </c>
      <c r="D107" s="67">
        <v>3</v>
      </c>
      <c r="E107" s="68"/>
      <c r="F107" s="69">
        <v>40</v>
      </c>
      <c r="G107" s="66"/>
      <c r="H107" s="70"/>
      <c r="I107" s="71"/>
      <c r="J107" s="71"/>
      <c r="K107" s="35" t="s">
        <v>65</v>
      </c>
      <c r="L107" s="79">
        <v>107</v>
      </c>
      <c r="M107" s="79"/>
      <c r="N107" s="73"/>
      <c r="O107" s="90" t="s">
        <v>356</v>
      </c>
      <c r="P107" s="90" t="s">
        <v>212</v>
      </c>
      <c r="Q107" s="94" t="s">
        <v>454</v>
      </c>
      <c r="R107" s="90" t="s">
        <v>311</v>
      </c>
      <c r="S107" s="90" t="s">
        <v>590</v>
      </c>
      <c r="T107" s="96" t="str">
        <f>HYPERLINK("http://www.youtube.com/channel/UCsllZ-JGcQe1GqrWliTwIaQ")</f>
        <v>http://www.youtube.com/channel/UCsllZ-JGcQe1GqrWliTwIaQ</v>
      </c>
      <c r="U107" s="90"/>
      <c r="V107" s="90" t="s">
        <v>652</v>
      </c>
      <c r="W107" s="96" t="str">
        <f>HYPERLINK("https://www.youtube.com/watch?v=fK1_SH3X2ek")</f>
        <v>https://www.youtube.com/watch?v=fK1_SH3X2ek</v>
      </c>
      <c r="X107" s="90" t="s">
        <v>656</v>
      </c>
      <c r="Y107" s="90">
        <v>0</v>
      </c>
      <c r="Z107" s="99">
        <v>43962.66289351852</v>
      </c>
      <c r="AA107" s="99">
        <v>43962.66289351852</v>
      </c>
      <c r="AB107" s="90"/>
      <c r="AC107" s="90"/>
      <c r="AD107" s="94" t="s">
        <v>666</v>
      </c>
      <c r="AE107" s="92">
        <v>2</v>
      </c>
      <c r="AF107" s="93" t="str">
        <f>REPLACE(INDEX(GroupVertices[Group],MATCH(Edges[[#This Row],[Vertex 1]],GroupVertices[Vertex],0)),1,1,"")</f>
        <v>1</v>
      </c>
      <c r="AG107" s="93" t="str">
        <f>REPLACE(INDEX(GroupVertices[Group],MATCH(Edges[[#This Row],[Vertex 2]],GroupVertices[Vertex],0)),1,1,"")</f>
        <v>1</v>
      </c>
      <c r="AH107" s="127">
        <v>1</v>
      </c>
      <c r="AI107" s="128">
        <v>25</v>
      </c>
      <c r="AJ107" s="127">
        <v>2</v>
      </c>
      <c r="AK107" s="128">
        <v>50</v>
      </c>
      <c r="AL107" s="127">
        <v>0</v>
      </c>
      <c r="AM107" s="128">
        <v>0</v>
      </c>
      <c r="AN107" s="127">
        <v>1</v>
      </c>
      <c r="AO107" s="128">
        <v>25</v>
      </c>
      <c r="AP107" s="127">
        <v>4</v>
      </c>
    </row>
    <row r="108" spans="1:42" ht="15">
      <c r="A108" s="65" t="s">
        <v>311</v>
      </c>
      <c r="B108" s="65" t="s">
        <v>352</v>
      </c>
      <c r="C108" s="66" t="s">
        <v>1221</v>
      </c>
      <c r="D108" s="67">
        <v>3</v>
      </c>
      <c r="E108" s="68"/>
      <c r="F108" s="69">
        <v>40</v>
      </c>
      <c r="G108" s="66"/>
      <c r="H108" s="70"/>
      <c r="I108" s="71"/>
      <c r="J108" s="71"/>
      <c r="K108" s="35" t="s">
        <v>65</v>
      </c>
      <c r="L108" s="79">
        <v>108</v>
      </c>
      <c r="M108" s="79"/>
      <c r="N108" s="73"/>
      <c r="O108" s="90" t="s">
        <v>356</v>
      </c>
      <c r="P108" s="90" t="s">
        <v>212</v>
      </c>
      <c r="Q108" s="94" t="s">
        <v>455</v>
      </c>
      <c r="R108" s="90" t="s">
        <v>311</v>
      </c>
      <c r="S108" s="90" t="s">
        <v>590</v>
      </c>
      <c r="T108" s="96" t="str">
        <f>HYPERLINK("http://www.youtube.com/channel/UCsllZ-JGcQe1GqrWliTwIaQ")</f>
        <v>http://www.youtube.com/channel/UCsllZ-JGcQe1GqrWliTwIaQ</v>
      </c>
      <c r="U108" s="90"/>
      <c r="V108" s="90" t="s">
        <v>652</v>
      </c>
      <c r="W108" s="96" t="str">
        <f>HYPERLINK("https://www.youtube.com/watch?v=fK1_SH3X2ek")</f>
        <v>https://www.youtube.com/watch?v=fK1_SH3X2ek</v>
      </c>
      <c r="X108" s="90" t="s">
        <v>656</v>
      </c>
      <c r="Y108" s="90">
        <v>0</v>
      </c>
      <c r="Z108" s="99">
        <v>43962.663310185184</v>
      </c>
      <c r="AA108" s="99">
        <v>43962.663310185184</v>
      </c>
      <c r="AB108" s="90"/>
      <c r="AC108" s="90"/>
      <c r="AD108" s="94" t="s">
        <v>666</v>
      </c>
      <c r="AE108" s="92">
        <v>2</v>
      </c>
      <c r="AF108" s="93" t="str">
        <f>REPLACE(INDEX(GroupVertices[Group],MATCH(Edges[[#This Row],[Vertex 1]],GroupVertices[Vertex],0)),1,1,"")</f>
        <v>1</v>
      </c>
      <c r="AG108" s="93" t="str">
        <f>REPLACE(INDEX(GroupVertices[Group],MATCH(Edges[[#This Row],[Vertex 2]],GroupVertices[Vertex],0)),1,1,"")</f>
        <v>1</v>
      </c>
      <c r="AH108" s="127">
        <v>0</v>
      </c>
      <c r="AI108" s="128">
        <v>0</v>
      </c>
      <c r="AJ108" s="127">
        <v>2</v>
      </c>
      <c r="AK108" s="128">
        <v>15.384615384615385</v>
      </c>
      <c r="AL108" s="127">
        <v>0</v>
      </c>
      <c r="AM108" s="128">
        <v>0</v>
      </c>
      <c r="AN108" s="127">
        <v>11</v>
      </c>
      <c r="AO108" s="128">
        <v>84.61538461538461</v>
      </c>
      <c r="AP108" s="127">
        <v>13</v>
      </c>
    </row>
    <row r="109" spans="1:42" ht="15">
      <c r="A109" s="65" t="s">
        <v>312</v>
      </c>
      <c r="B109" s="65" t="s">
        <v>352</v>
      </c>
      <c r="C109" s="66" t="s">
        <v>1220</v>
      </c>
      <c r="D109" s="67">
        <v>3</v>
      </c>
      <c r="E109" s="68"/>
      <c r="F109" s="69">
        <v>40</v>
      </c>
      <c r="G109" s="66"/>
      <c r="H109" s="70"/>
      <c r="I109" s="71"/>
      <c r="J109" s="71"/>
      <c r="K109" s="35" t="s">
        <v>65</v>
      </c>
      <c r="L109" s="79">
        <v>109</v>
      </c>
      <c r="M109" s="79"/>
      <c r="N109" s="73"/>
      <c r="O109" s="90" t="s">
        <v>356</v>
      </c>
      <c r="P109" s="90" t="s">
        <v>212</v>
      </c>
      <c r="Q109" s="94" t="s">
        <v>456</v>
      </c>
      <c r="R109" s="90" t="s">
        <v>312</v>
      </c>
      <c r="S109" s="90" t="s">
        <v>591</v>
      </c>
      <c r="T109" s="96" t="str">
        <f>HYPERLINK("http://www.youtube.com/channel/UC7SBoanzWGOIY8cJm5N5XwQ")</f>
        <v>http://www.youtube.com/channel/UC7SBoanzWGOIY8cJm5N5XwQ</v>
      </c>
      <c r="U109" s="90"/>
      <c r="V109" s="90" t="s">
        <v>652</v>
      </c>
      <c r="W109" s="96" t="str">
        <f>HYPERLINK("https://www.youtube.com/watch?v=fK1_SH3X2ek")</f>
        <v>https://www.youtube.com/watch?v=fK1_SH3X2ek</v>
      </c>
      <c r="X109" s="90" t="s">
        <v>656</v>
      </c>
      <c r="Y109" s="90">
        <v>1</v>
      </c>
      <c r="Z109" s="99">
        <v>43979.37734953704</v>
      </c>
      <c r="AA109" s="99">
        <v>43979.37734953704</v>
      </c>
      <c r="AB109" s="90"/>
      <c r="AC109" s="90"/>
      <c r="AD109" s="94" t="s">
        <v>666</v>
      </c>
      <c r="AE109" s="92">
        <v>1</v>
      </c>
      <c r="AF109" s="93" t="str">
        <f>REPLACE(INDEX(GroupVertices[Group],MATCH(Edges[[#This Row],[Vertex 1]],GroupVertices[Vertex],0)),1,1,"")</f>
        <v>1</v>
      </c>
      <c r="AG109" s="93" t="str">
        <f>REPLACE(INDEX(GroupVertices[Group],MATCH(Edges[[#This Row],[Vertex 2]],GroupVertices[Vertex],0)),1,1,"")</f>
        <v>1</v>
      </c>
      <c r="AH109" s="127">
        <v>2</v>
      </c>
      <c r="AI109" s="128">
        <v>33.333333333333336</v>
      </c>
      <c r="AJ109" s="127">
        <v>0</v>
      </c>
      <c r="AK109" s="128">
        <v>0</v>
      </c>
      <c r="AL109" s="127">
        <v>0</v>
      </c>
      <c r="AM109" s="128">
        <v>0</v>
      </c>
      <c r="AN109" s="127">
        <v>4</v>
      </c>
      <c r="AO109" s="128">
        <v>66.66666666666667</v>
      </c>
      <c r="AP109" s="127">
        <v>6</v>
      </c>
    </row>
    <row r="110" spans="1:42" ht="15">
      <c r="A110" s="65" t="s">
        <v>303</v>
      </c>
      <c r="B110" s="65" t="s">
        <v>352</v>
      </c>
      <c r="C110" s="66" t="s">
        <v>1220</v>
      </c>
      <c r="D110" s="67">
        <v>3</v>
      </c>
      <c r="E110" s="68"/>
      <c r="F110" s="69">
        <v>40</v>
      </c>
      <c r="G110" s="66"/>
      <c r="H110" s="70"/>
      <c r="I110" s="71"/>
      <c r="J110" s="71"/>
      <c r="K110" s="35" t="s">
        <v>65</v>
      </c>
      <c r="L110" s="79">
        <v>110</v>
      </c>
      <c r="M110" s="79"/>
      <c r="N110" s="73"/>
      <c r="O110" s="90" t="s">
        <v>356</v>
      </c>
      <c r="P110" s="90" t="s">
        <v>212</v>
      </c>
      <c r="Q110" s="94" t="s">
        <v>457</v>
      </c>
      <c r="R110" s="90" t="s">
        <v>303</v>
      </c>
      <c r="S110" s="90" t="s">
        <v>582</v>
      </c>
      <c r="T110" s="96" t="str">
        <f>HYPERLINK("http://www.youtube.com/channel/UCdf__4wGpIoAJUxaHzh52Rg")</f>
        <v>http://www.youtube.com/channel/UCdf__4wGpIoAJUxaHzh52Rg</v>
      </c>
      <c r="U110" s="90"/>
      <c r="V110" s="90" t="s">
        <v>652</v>
      </c>
      <c r="W110" s="96" t="str">
        <f>HYPERLINK("https://www.youtube.com/watch?v=fK1_SH3X2ek")</f>
        <v>https://www.youtube.com/watch?v=fK1_SH3X2ek</v>
      </c>
      <c r="X110" s="90" t="s">
        <v>656</v>
      </c>
      <c r="Y110" s="90">
        <v>0</v>
      </c>
      <c r="Z110" s="99">
        <v>43989.6456712963</v>
      </c>
      <c r="AA110" s="99">
        <v>43989.6456712963</v>
      </c>
      <c r="AB110" s="90"/>
      <c r="AC110" s="90"/>
      <c r="AD110" s="94" t="s">
        <v>666</v>
      </c>
      <c r="AE110" s="92">
        <v>1</v>
      </c>
      <c r="AF110" s="93" t="str">
        <f>REPLACE(INDEX(GroupVertices[Group],MATCH(Edges[[#This Row],[Vertex 1]],GroupVertices[Vertex],0)),1,1,"")</f>
        <v>2</v>
      </c>
      <c r="AG110" s="93" t="str">
        <f>REPLACE(INDEX(GroupVertices[Group],MATCH(Edges[[#This Row],[Vertex 2]],GroupVertices[Vertex],0)),1,1,"")</f>
        <v>1</v>
      </c>
      <c r="AH110" s="127">
        <v>0</v>
      </c>
      <c r="AI110" s="128">
        <v>0</v>
      </c>
      <c r="AJ110" s="127">
        <v>0</v>
      </c>
      <c r="AK110" s="128">
        <v>0</v>
      </c>
      <c r="AL110" s="127">
        <v>0</v>
      </c>
      <c r="AM110" s="128">
        <v>0</v>
      </c>
      <c r="AN110" s="127">
        <v>1</v>
      </c>
      <c r="AO110" s="128">
        <v>100</v>
      </c>
      <c r="AP110" s="127">
        <v>1</v>
      </c>
    </row>
    <row r="111" spans="1:42" ht="15">
      <c r="A111" s="65" t="s">
        <v>313</v>
      </c>
      <c r="B111" s="65" t="s">
        <v>314</v>
      </c>
      <c r="C111" s="66" t="s">
        <v>1221</v>
      </c>
      <c r="D111" s="67">
        <v>3</v>
      </c>
      <c r="E111" s="68"/>
      <c r="F111" s="69">
        <v>40</v>
      </c>
      <c r="G111" s="66"/>
      <c r="H111" s="70"/>
      <c r="I111" s="71"/>
      <c r="J111" s="71"/>
      <c r="K111" s="35" t="s">
        <v>65</v>
      </c>
      <c r="L111" s="79">
        <v>111</v>
      </c>
      <c r="M111" s="79"/>
      <c r="N111" s="73"/>
      <c r="O111" s="90" t="s">
        <v>355</v>
      </c>
      <c r="P111" s="90" t="s">
        <v>358</v>
      </c>
      <c r="Q111" s="94" t="s">
        <v>425</v>
      </c>
      <c r="R111" s="90" t="s">
        <v>313</v>
      </c>
      <c r="S111" s="90" t="s">
        <v>592</v>
      </c>
      <c r="T111" s="96" t="str">
        <f>HYPERLINK("http://www.youtube.com/channel/UCfSRxcEYb7rjFKHXBw1O2dA")</f>
        <v>http://www.youtube.com/channel/UCfSRxcEYb7rjFKHXBw1O2dA</v>
      </c>
      <c r="U111" s="90" t="s">
        <v>643</v>
      </c>
      <c r="V111" s="90" t="s">
        <v>652</v>
      </c>
      <c r="W111" s="96" t="str">
        <f>HYPERLINK("https://www.youtube.com/watch?v=")</f>
        <v>https://www.youtube.com/watch?v=</v>
      </c>
      <c r="X111" s="90" t="s">
        <v>656</v>
      </c>
      <c r="Y111" s="90">
        <v>0</v>
      </c>
      <c r="Z111" s="99">
        <v>44337.869618055556</v>
      </c>
      <c r="AA111" s="99">
        <v>44337.869618055556</v>
      </c>
      <c r="AB111" s="90"/>
      <c r="AC111" s="90"/>
      <c r="AD111" s="94" t="s">
        <v>666</v>
      </c>
      <c r="AE111" s="92">
        <v>2</v>
      </c>
      <c r="AF111" s="93" t="str">
        <f>REPLACE(INDEX(GroupVertices[Group],MATCH(Edges[[#This Row],[Vertex 1]],GroupVertices[Vertex],0)),1,1,"")</f>
        <v>5</v>
      </c>
      <c r="AG111" s="93" t="str">
        <f>REPLACE(INDEX(GroupVertices[Group],MATCH(Edges[[#This Row],[Vertex 2]],GroupVertices[Vertex],0)),1,1,"")</f>
        <v>5</v>
      </c>
      <c r="AH111" s="127">
        <v>0</v>
      </c>
      <c r="AI111" s="128">
        <v>0</v>
      </c>
      <c r="AJ111" s="127">
        <v>0</v>
      </c>
      <c r="AK111" s="128">
        <v>0</v>
      </c>
      <c r="AL111" s="127">
        <v>0</v>
      </c>
      <c r="AM111" s="128">
        <v>0</v>
      </c>
      <c r="AN111" s="127">
        <v>1</v>
      </c>
      <c r="AO111" s="128">
        <v>100</v>
      </c>
      <c r="AP111" s="127">
        <v>1</v>
      </c>
    </row>
    <row r="112" spans="1:42" ht="15">
      <c r="A112" s="65" t="s">
        <v>313</v>
      </c>
      <c r="B112" s="65" t="s">
        <v>314</v>
      </c>
      <c r="C112" s="66" t="s">
        <v>1221</v>
      </c>
      <c r="D112" s="67">
        <v>3</v>
      </c>
      <c r="E112" s="68"/>
      <c r="F112" s="69">
        <v>40</v>
      </c>
      <c r="G112" s="66"/>
      <c r="H112" s="70"/>
      <c r="I112" s="71"/>
      <c r="J112" s="71"/>
      <c r="K112" s="35" t="s">
        <v>65</v>
      </c>
      <c r="L112" s="79">
        <v>112</v>
      </c>
      <c r="M112" s="79"/>
      <c r="N112" s="73"/>
      <c r="O112" s="90" t="s">
        <v>355</v>
      </c>
      <c r="P112" s="90" t="s">
        <v>358</v>
      </c>
      <c r="Q112" s="94" t="s">
        <v>458</v>
      </c>
      <c r="R112" s="90" t="s">
        <v>313</v>
      </c>
      <c r="S112" s="90" t="s">
        <v>592</v>
      </c>
      <c r="T112" s="96" t="str">
        <f>HYPERLINK("http://www.youtube.com/channel/UCfSRxcEYb7rjFKHXBw1O2dA")</f>
        <v>http://www.youtube.com/channel/UCfSRxcEYb7rjFKHXBw1O2dA</v>
      </c>
      <c r="U112" s="90" t="s">
        <v>643</v>
      </c>
      <c r="V112" s="90" t="s">
        <v>652</v>
      </c>
      <c r="W112" s="96" t="str">
        <f>HYPERLINK("https://www.youtube.com/watch?v=")</f>
        <v>https://www.youtube.com/watch?v=</v>
      </c>
      <c r="X112" s="90" t="s">
        <v>656</v>
      </c>
      <c r="Y112" s="90">
        <v>0</v>
      </c>
      <c r="Z112" s="99">
        <v>44337.8702662037</v>
      </c>
      <c r="AA112" s="99">
        <v>44337.8702662037</v>
      </c>
      <c r="AB112" s="90"/>
      <c r="AC112" s="90"/>
      <c r="AD112" s="94" t="s">
        <v>666</v>
      </c>
      <c r="AE112" s="92">
        <v>2</v>
      </c>
      <c r="AF112" s="93" t="str">
        <f>REPLACE(INDEX(GroupVertices[Group],MATCH(Edges[[#This Row],[Vertex 1]],GroupVertices[Vertex],0)),1,1,"")</f>
        <v>5</v>
      </c>
      <c r="AG112" s="93" t="str">
        <f>REPLACE(INDEX(GroupVertices[Group],MATCH(Edges[[#This Row],[Vertex 2]],GroupVertices[Vertex],0)),1,1,"")</f>
        <v>5</v>
      </c>
      <c r="AH112" s="127">
        <v>0</v>
      </c>
      <c r="AI112" s="128">
        <v>0</v>
      </c>
      <c r="AJ112" s="127">
        <v>0</v>
      </c>
      <c r="AK112" s="128">
        <v>0</v>
      </c>
      <c r="AL112" s="127">
        <v>0</v>
      </c>
      <c r="AM112" s="128">
        <v>0</v>
      </c>
      <c r="AN112" s="127">
        <v>9</v>
      </c>
      <c r="AO112" s="128">
        <v>100</v>
      </c>
      <c r="AP112" s="127">
        <v>9</v>
      </c>
    </row>
    <row r="113" spans="1:42" ht="15">
      <c r="A113" s="65" t="s">
        <v>304</v>
      </c>
      <c r="B113" s="65" t="s">
        <v>314</v>
      </c>
      <c r="C113" s="66" t="s">
        <v>1220</v>
      </c>
      <c r="D113" s="67">
        <v>3</v>
      </c>
      <c r="E113" s="68"/>
      <c r="F113" s="69">
        <v>40</v>
      </c>
      <c r="G113" s="66"/>
      <c r="H113" s="70"/>
      <c r="I113" s="71"/>
      <c r="J113" s="71"/>
      <c r="K113" s="35" t="s">
        <v>65</v>
      </c>
      <c r="L113" s="79">
        <v>113</v>
      </c>
      <c r="M113" s="79"/>
      <c r="N113" s="73"/>
      <c r="O113" s="90" t="s">
        <v>355</v>
      </c>
      <c r="P113" s="90" t="s">
        <v>358</v>
      </c>
      <c r="Q113" s="94" t="s">
        <v>459</v>
      </c>
      <c r="R113" s="90" t="s">
        <v>304</v>
      </c>
      <c r="S113" s="90" t="s">
        <v>583</v>
      </c>
      <c r="T113" s="96" t="str">
        <f>HYPERLINK("http://www.youtube.com/channel/UCqTGL2iGxZBMK9l4EWPg1Ug")</f>
        <v>http://www.youtube.com/channel/UCqTGL2iGxZBMK9l4EWPg1Ug</v>
      </c>
      <c r="U113" s="90" t="s">
        <v>643</v>
      </c>
      <c r="V113" s="90" t="s">
        <v>652</v>
      </c>
      <c r="W113" s="96" t="str">
        <f>HYPERLINK("https://www.youtube.com/watch?v=")</f>
        <v>https://www.youtube.com/watch?v=</v>
      </c>
      <c r="X113" s="90" t="s">
        <v>656</v>
      </c>
      <c r="Y113" s="90">
        <v>0</v>
      </c>
      <c r="Z113" s="99">
        <v>44166.78387731482</v>
      </c>
      <c r="AA113" s="99">
        <v>44166.78387731482</v>
      </c>
      <c r="AB113" s="90"/>
      <c r="AC113" s="90"/>
      <c r="AD113" s="94" t="s">
        <v>666</v>
      </c>
      <c r="AE113" s="92">
        <v>1</v>
      </c>
      <c r="AF113" s="93" t="str">
        <f>REPLACE(INDEX(GroupVertices[Group],MATCH(Edges[[#This Row],[Vertex 1]],GroupVertices[Vertex],0)),1,1,"")</f>
        <v>5</v>
      </c>
      <c r="AG113" s="93" t="str">
        <f>REPLACE(INDEX(GroupVertices[Group],MATCH(Edges[[#This Row],[Vertex 2]],GroupVertices[Vertex],0)),1,1,"")</f>
        <v>5</v>
      </c>
      <c r="AH113" s="127">
        <v>0</v>
      </c>
      <c r="AI113" s="128">
        <v>0</v>
      </c>
      <c r="AJ113" s="127">
        <v>0</v>
      </c>
      <c r="AK113" s="128">
        <v>0</v>
      </c>
      <c r="AL113" s="127">
        <v>0</v>
      </c>
      <c r="AM113" s="128">
        <v>0</v>
      </c>
      <c r="AN113" s="127">
        <v>2</v>
      </c>
      <c r="AO113" s="128">
        <v>100</v>
      </c>
      <c r="AP113" s="127">
        <v>2</v>
      </c>
    </row>
    <row r="114" spans="1:42" ht="15">
      <c r="A114" s="65" t="s">
        <v>307</v>
      </c>
      <c r="B114" s="65" t="s">
        <v>314</v>
      </c>
      <c r="C114" s="66" t="s">
        <v>1220</v>
      </c>
      <c r="D114" s="67">
        <v>3</v>
      </c>
      <c r="E114" s="68"/>
      <c r="F114" s="69">
        <v>40</v>
      </c>
      <c r="G114" s="66"/>
      <c r="H114" s="70"/>
      <c r="I114" s="71"/>
      <c r="J114" s="71"/>
      <c r="K114" s="35" t="s">
        <v>65</v>
      </c>
      <c r="L114" s="79">
        <v>114</v>
      </c>
      <c r="M114" s="79"/>
      <c r="N114" s="73"/>
      <c r="O114" s="90" t="s">
        <v>355</v>
      </c>
      <c r="P114" s="90" t="s">
        <v>358</v>
      </c>
      <c r="Q114" s="94" t="s">
        <v>425</v>
      </c>
      <c r="R114" s="90" t="s">
        <v>307</v>
      </c>
      <c r="S114" s="90" t="s">
        <v>586</v>
      </c>
      <c r="T114" s="96" t="str">
        <f>HYPERLINK("http://www.youtube.com/channel/UCF5ChGDslgBBC95Q2q_mqTA")</f>
        <v>http://www.youtube.com/channel/UCF5ChGDslgBBC95Q2q_mqTA</v>
      </c>
      <c r="U114" s="90" t="s">
        <v>643</v>
      </c>
      <c r="V114" s="90" t="s">
        <v>652</v>
      </c>
      <c r="W114" s="96" t="str">
        <f>HYPERLINK("https://www.youtube.com/watch?v=")</f>
        <v>https://www.youtube.com/watch?v=</v>
      </c>
      <c r="X114" s="90" t="s">
        <v>656</v>
      </c>
      <c r="Y114" s="90">
        <v>0</v>
      </c>
      <c r="Z114" s="99">
        <v>44307.91641203704</v>
      </c>
      <c r="AA114" s="99">
        <v>44307.91641203704</v>
      </c>
      <c r="AB114" s="90"/>
      <c r="AC114" s="90"/>
      <c r="AD114" s="94" t="s">
        <v>666</v>
      </c>
      <c r="AE114" s="92">
        <v>1</v>
      </c>
      <c r="AF114" s="93" t="str">
        <f>REPLACE(INDEX(GroupVertices[Group],MATCH(Edges[[#This Row],[Vertex 1]],GroupVertices[Vertex],0)),1,1,"")</f>
        <v>5</v>
      </c>
      <c r="AG114" s="93" t="str">
        <f>REPLACE(INDEX(GroupVertices[Group],MATCH(Edges[[#This Row],[Vertex 2]],GroupVertices[Vertex],0)),1,1,"")</f>
        <v>5</v>
      </c>
      <c r="AH114" s="127">
        <v>0</v>
      </c>
      <c r="AI114" s="128">
        <v>0</v>
      </c>
      <c r="AJ114" s="127">
        <v>0</v>
      </c>
      <c r="AK114" s="128">
        <v>0</v>
      </c>
      <c r="AL114" s="127">
        <v>0</v>
      </c>
      <c r="AM114" s="128">
        <v>0</v>
      </c>
      <c r="AN114" s="127">
        <v>1</v>
      </c>
      <c r="AO114" s="128">
        <v>100</v>
      </c>
      <c r="AP114" s="127">
        <v>1</v>
      </c>
    </row>
    <row r="115" spans="1:42" ht="15">
      <c r="A115" s="65" t="s">
        <v>314</v>
      </c>
      <c r="B115" s="65" t="s">
        <v>314</v>
      </c>
      <c r="C115" s="66" t="s">
        <v>1220</v>
      </c>
      <c r="D115" s="67">
        <v>3</v>
      </c>
      <c r="E115" s="68"/>
      <c r="F115" s="69">
        <v>40</v>
      </c>
      <c r="G115" s="66"/>
      <c r="H115" s="70"/>
      <c r="I115" s="71"/>
      <c r="J115" s="71"/>
      <c r="K115" s="35" t="s">
        <v>65</v>
      </c>
      <c r="L115" s="79">
        <v>115</v>
      </c>
      <c r="M115" s="79"/>
      <c r="N115" s="73"/>
      <c r="O115" s="90" t="s">
        <v>355</v>
      </c>
      <c r="P115" s="90" t="s">
        <v>358</v>
      </c>
      <c r="Q115" s="94" t="s">
        <v>460</v>
      </c>
      <c r="R115" s="90" t="s">
        <v>314</v>
      </c>
      <c r="S115" s="90" t="s">
        <v>593</v>
      </c>
      <c r="T115" s="96" t="str">
        <f>HYPERLINK("http://www.youtube.com/channel/UC8_oQ7TS8UBU5j1es2pvHHg")</f>
        <v>http://www.youtube.com/channel/UC8_oQ7TS8UBU5j1es2pvHHg</v>
      </c>
      <c r="U115" s="90" t="s">
        <v>643</v>
      </c>
      <c r="V115" s="90" t="s">
        <v>652</v>
      </c>
      <c r="W115" s="96" t="str">
        <f>HYPERLINK("https://www.youtube.com/watch?v=")</f>
        <v>https://www.youtube.com/watch?v=</v>
      </c>
      <c r="X115" s="90" t="s">
        <v>656</v>
      </c>
      <c r="Y115" s="90">
        <v>0</v>
      </c>
      <c r="Z115" s="99">
        <v>44345.81068287037</v>
      </c>
      <c r="AA115" s="99">
        <v>44345.81068287037</v>
      </c>
      <c r="AB115" s="90"/>
      <c r="AC115" s="90"/>
      <c r="AD115" s="94" t="s">
        <v>666</v>
      </c>
      <c r="AE115" s="92">
        <v>1</v>
      </c>
      <c r="AF115" s="93" t="str">
        <f>REPLACE(INDEX(GroupVertices[Group],MATCH(Edges[[#This Row],[Vertex 1]],GroupVertices[Vertex],0)),1,1,"")</f>
        <v>5</v>
      </c>
      <c r="AG115" s="93" t="str">
        <f>REPLACE(INDEX(GroupVertices[Group],MATCH(Edges[[#This Row],[Vertex 2]],GroupVertices[Vertex],0)),1,1,"")</f>
        <v>5</v>
      </c>
      <c r="AH115" s="127">
        <v>0</v>
      </c>
      <c r="AI115" s="128">
        <v>0</v>
      </c>
      <c r="AJ115" s="127">
        <v>0</v>
      </c>
      <c r="AK115" s="128">
        <v>0</v>
      </c>
      <c r="AL115" s="127">
        <v>0</v>
      </c>
      <c r="AM115" s="128">
        <v>0</v>
      </c>
      <c r="AN115" s="127">
        <v>5</v>
      </c>
      <c r="AO115" s="128">
        <v>100</v>
      </c>
      <c r="AP115" s="127">
        <v>5</v>
      </c>
    </row>
    <row r="116" spans="1:42" ht="15">
      <c r="A116" s="65" t="s">
        <v>315</v>
      </c>
      <c r="B116" s="65" t="s">
        <v>314</v>
      </c>
      <c r="C116" s="66" t="s">
        <v>1220</v>
      </c>
      <c r="D116" s="67">
        <v>3</v>
      </c>
      <c r="E116" s="68"/>
      <c r="F116" s="69">
        <v>40</v>
      </c>
      <c r="G116" s="66"/>
      <c r="H116" s="70"/>
      <c r="I116" s="71"/>
      <c r="J116" s="71"/>
      <c r="K116" s="35" t="s">
        <v>65</v>
      </c>
      <c r="L116" s="79">
        <v>116</v>
      </c>
      <c r="M116" s="79"/>
      <c r="N116" s="73"/>
      <c r="O116" s="90" t="s">
        <v>355</v>
      </c>
      <c r="P116" s="90" t="s">
        <v>358</v>
      </c>
      <c r="Q116" s="94" t="s">
        <v>461</v>
      </c>
      <c r="R116" s="90" t="s">
        <v>315</v>
      </c>
      <c r="S116" s="90" t="s">
        <v>594</v>
      </c>
      <c r="T116" s="96" t="str">
        <f>HYPERLINK("http://www.youtube.com/channel/UCnRYGBsqdgTYMJN96h4DoTQ")</f>
        <v>http://www.youtube.com/channel/UCnRYGBsqdgTYMJN96h4DoTQ</v>
      </c>
      <c r="U116" s="90" t="s">
        <v>643</v>
      </c>
      <c r="V116" s="90" t="s">
        <v>652</v>
      </c>
      <c r="W116" s="96" t="str">
        <f>HYPERLINK("https://www.youtube.com/watch?v=")</f>
        <v>https://www.youtube.com/watch?v=</v>
      </c>
      <c r="X116" s="90" t="s">
        <v>656</v>
      </c>
      <c r="Y116" s="90">
        <v>0</v>
      </c>
      <c r="Z116" s="99">
        <v>44361.66056712963</v>
      </c>
      <c r="AA116" s="99">
        <v>44361.66056712963</v>
      </c>
      <c r="AB116" s="90"/>
      <c r="AC116" s="90"/>
      <c r="AD116" s="94" t="s">
        <v>666</v>
      </c>
      <c r="AE116" s="92">
        <v>1</v>
      </c>
      <c r="AF116" s="93" t="str">
        <f>REPLACE(INDEX(GroupVertices[Group],MATCH(Edges[[#This Row],[Vertex 1]],GroupVertices[Vertex],0)),1,1,"")</f>
        <v>5</v>
      </c>
      <c r="AG116" s="93" t="str">
        <f>REPLACE(INDEX(GroupVertices[Group],MATCH(Edges[[#This Row],[Vertex 2]],GroupVertices[Vertex],0)),1,1,"")</f>
        <v>5</v>
      </c>
      <c r="AH116" s="127">
        <v>0</v>
      </c>
      <c r="AI116" s="128">
        <v>0</v>
      </c>
      <c r="AJ116" s="127">
        <v>0</v>
      </c>
      <c r="AK116" s="128">
        <v>0</v>
      </c>
      <c r="AL116" s="127">
        <v>0</v>
      </c>
      <c r="AM116" s="128">
        <v>0</v>
      </c>
      <c r="AN116" s="127">
        <v>2</v>
      </c>
      <c r="AO116" s="128">
        <v>100</v>
      </c>
      <c r="AP116" s="127">
        <v>2</v>
      </c>
    </row>
    <row r="117" spans="1:42" ht="15">
      <c r="A117" s="65" t="s">
        <v>314</v>
      </c>
      <c r="B117" s="65" t="s">
        <v>352</v>
      </c>
      <c r="C117" s="66" t="s">
        <v>1220</v>
      </c>
      <c r="D117" s="67">
        <v>3</v>
      </c>
      <c r="E117" s="68"/>
      <c r="F117" s="69">
        <v>40</v>
      </c>
      <c r="G117" s="66"/>
      <c r="H117" s="70"/>
      <c r="I117" s="71"/>
      <c r="J117" s="71"/>
      <c r="K117" s="35" t="s">
        <v>65</v>
      </c>
      <c r="L117" s="79">
        <v>117</v>
      </c>
      <c r="M117" s="79"/>
      <c r="N117" s="73"/>
      <c r="O117" s="90" t="s">
        <v>356</v>
      </c>
      <c r="P117" s="90" t="s">
        <v>212</v>
      </c>
      <c r="Q117" s="94" t="s">
        <v>462</v>
      </c>
      <c r="R117" s="90" t="s">
        <v>314</v>
      </c>
      <c r="S117" s="90" t="s">
        <v>593</v>
      </c>
      <c r="T117" s="96" t="str">
        <f>HYPERLINK("http://www.youtube.com/channel/UC8_oQ7TS8UBU5j1es2pvHHg")</f>
        <v>http://www.youtube.com/channel/UC8_oQ7TS8UBU5j1es2pvHHg</v>
      </c>
      <c r="U117" s="90"/>
      <c r="V117" s="90" t="s">
        <v>652</v>
      </c>
      <c r="W117" s="96" t="str">
        <f>HYPERLINK("https://www.youtube.com/watch?v=fK1_SH3X2ek")</f>
        <v>https://www.youtube.com/watch?v=fK1_SH3X2ek</v>
      </c>
      <c r="X117" s="90" t="s">
        <v>656</v>
      </c>
      <c r="Y117" s="90">
        <v>48</v>
      </c>
      <c r="Z117" s="99">
        <v>43992.205775462964</v>
      </c>
      <c r="AA117" s="99">
        <v>43992.205925925926</v>
      </c>
      <c r="AB117" s="90"/>
      <c r="AC117" s="90"/>
      <c r="AD117" s="94" t="s">
        <v>666</v>
      </c>
      <c r="AE117" s="92">
        <v>1</v>
      </c>
      <c r="AF117" s="93" t="str">
        <f>REPLACE(INDEX(GroupVertices[Group],MATCH(Edges[[#This Row],[Vertex 1]],GroupVertices[Vertex],0)),1,1,"")</f>
        <v>5</v>
      </c>
      <c r="AG117" s="93" t="str">
        <f>REPLACE(INDEX(GroupVertices[Group],MATCH(Edges[[#This Row],[Vertex 2]],GroupVertices[Vertex],0)),1,1,"")</f>
        <v>1</v>
      </c>
      <c r="AH117" s="127">
        <v>0</v>
      </c>
      <c r="AI117" s="128">
        <v>0</v>
      </c>
      <c r="AJ117" s="127">
        <v>0</v>
      </c>
      <c r="AK117" s="128">
        <v>0</v>
      </c>
      <c r="AL117" s="127">
        <v>0</v>
      </c>
      <c r="AM117" s="128">
        <v>0</v>
      </c>
      <c r="AN117" s="127">
        <v>7</v>
      </c>
      <c r="AO117" s="128">
        <v>100</v>
      </c>
      <c r="AP117" s="127">
        <v>7</v>
      </c>
    </row>
    <row r="118" spans="1:42" ht="15">
      <c r="A118" s="65" t="s">
        <v>316</v>
      </c>
      <c r="B118" s="65" t="s">
        <v>352</v>
      </c>
      <c r="C118" s="66" t="s">
        <v>1220</v>
      </c>
      <c r="D118" s="67">
        <v>3</v>
      </c>
      <c r="E118" s="68"/>
      <c r="F118" s="69">
        <v>40</v>
      </c>
      <c r="G118" s="66"/>
      <c r="H118" s="70"/>
      <c r="I118" s="71"/>
      <c r="J118" s="71"/>
      <c r="K118" s="35" t="s">
        <v>65</v>
      </c>
      <c r="L118" s="79">
        <v>118</v>
      </c>
      <c r="M118" s="79"/>
      <c r="N118" s="73"/>
      <c r="O118" s="90" t="s">
        <v>356</v>
      </c>
      <c r="P118" s="90" t="s">
        <v>212</v>
      </c>
      <c r="Q118" s="94" t="s">
        <v>463</v>
      </c>
      <c r="R118" s="90" t="s">
        <v>316</v>
      </c>
      <c r="S118" s="90" t="s">
        <v>595</v>
      </c>
      <c r="T118" s="96" t="str">
        <f>HYPERLINK("http://www.youtube.com/channel/UC3htKE-dyoJeXF-fZ7JS_jw")</f>
        <v>http://www.youtube.com/channel/UC3htKE-dyoJeXF-fZ7JS_jw</v>
      </c>
      <c r="U118" s="90"/>
      <c r="V118" s="90" t="s">
        <v>652</v>
      </c>
      <c r="W118" s="96" t="str">
        <f>HYPERLINK("https://www.youtube.com/watch?v=fK1_SH3X2ek")</f>
        <v>https://www.youtube.com/watch?v=fK1_SH3X2ek</v>
      </c>
      <c r="X118" s="90" t="s">
        <v>656</v>
      </c>
      <c r="Y118" s="90">
        <v>0</v>
      </c>
      <c r="Z118" s="99">
        <v>44007.26902777778</v>
      </c>
      <c r="AA118" s="99">
        <v>44007.26902777778</v>
      </c>
      <c r="AB118" s="90"/>
      <c r="AC118" s="90"/>
      <c r="AD118" s="94" t="s">
        <v>666</v>
      </c>
      <c r="AE118" s="92">
        <v>1</v>
      </c>
      <c r="AF118" s="93" t="str">
        <f>REPLACE(INDEX(GroupVertices[Group],MATCH(Edges[[#This Row],[Vertex 1]],GroupVertices[Vertex],0)),1,1,"")</f>
        <v>1</v>
      </c>
      <c r="AG118" s="93" t="str">
        <f>REPLACE(INDEX(GroupVertices[Group],MATCH(Edges[[#This Row],[Vertex 2]],GroupVertices[Vertex],0)),1,1,"")</f>
        <v>1</v>
      </c>
      <c r="AH118" s="127">
        <v>1</v>
      </c>
      <c r="AI118" s="128">
        <v>33.333333333333336</v>
      </c>
      <c r="AJ118" s="127">
        <v>0</v>
      </c>
      <c r="AK118" s="128">
        <v>0</v>
      </c>
      <c r="AL118" s="127">
        <v>0</v>
      </c>
      <c r="AM118" s="128">
        <v>0</v>
      </c>
      <c r="AN118" s="127">
        <v>2</v>
      </c>
      <c r="AO118" s="128">
        <v>66.66666666666667</v>
      </c>
      <c r="AP118" s="127">
        <v>3</v>
      </c>
    </row>
    <row r="119" spans="1:42" ht="15">
      <c r="A119" s="65" t="s">
        <v>317</v>
      </c>
      <c r="B119" s="65" t="s">
        <v>352</v>
      </c>
      <c r="C119" s="66" t="s">
        <v>1220</v>
      </c>
      <c r="D119" s="67">
        <v>3</v>
      </c>
      <c r="E119" s="68"/>
      <c r="F119" s="69">
        <v>40</v>
      </c>
      <c r="G119" s="66"/>
      <c r="H119" s="70"/>
      <c r="I119" s="71"/>
      <c r="J119" s="71"/>
      <c r="K119" s="35" t="s">
        <v>65</v>
      </c>
      <c r="L119" s="79">
        <v>119</v>
      </c>
      <c r="M119" s="79"/>
      <c r="N119" s="73"/>
      <c r="O119" s="90" t="s">
        <v>356</v>
      </c>
      <c r="P119" s="90" t="s">
        <v>212</v>
      </c>
      <c r="Q119" s="94" t="s">
        <v>464</v>
      </c>
      <c r="R119" s="90" t="s">
        <v>317</v>
      </c>
      <c r="S119" s="90" t="s">
        <v>596</v>
      </c>
      <c r="T119" s="96" t="str">
        <f>HYPERLINK("http://www.youtube.com/channel/UC7nIPfgorPJhL52Ne5qkn4Q")</f>
        <v>http://www.youtube.com/channel/UC7nIPfgorPJhL52Ne5qkn4Q</v>
      </c>
      <c r="U119" s="90"/>
      <c r="V119" s="90" t="s">
        <v>652</v>
      </c>
      <c r="W119" s="96" t="str">
        <f>HYPERLINK("https://www.youtube.com/watch?v=fK1_SH3X2ek")</f>
        <v>https://www.youtube.com/watch?v=fK1_SH3X2ek</v>
      </c>
      <c r="X119" s="90" t="s">
        <v>656</v>
      </c>
      <c r="Y119" s="90">
        <v>0</v>
      </c>
      <c r="Z119" s="99">
        <v>44032.623240740744</v>
      </c>
      <c r="AA119" s="99">
        <v>44032.623240740744</v>
      </c>
      <c r="AB119" s="90"/>
      <c r="AC119" s="90"/>
      <c r="AD119" s="94" t="s">
        <v>666</v>
      </c>
      <c r="AE119" s="92">
        <v>1</v>
      </c>
      <c r="AF119" s="93" t="str">
        <f>REPLACE(INDEX(GroupVertices[Group],MATCH(Edges[[#This Row],[Vertex 1]],GroupVertices[Vertex],0)),1,1,"")</f>
        <v>1</v>
      </c>
      <c r="AG119" s="93" t="str">
        <f>REPLACE(INDEX(GroupVertices[Group],MATCH(Edges[[#This Row],[Vertex 2]],GroupVertices[Vertex],0)),1,1,"")</f>
        <v>1</v>
      </c>
      <c r="AH119" s="127">
        <v>0</v>
      </c>
      <c r="AI119" s="128">
        <v>0</v>
      </c>
      <c r="AJ119" s="127">
        <v>0</v>
      </c>
      <c r="AK119" s="128">
        <v>0</v>
      </c>
      <c r="AL119" s="127">
        <v>0</v>
      </c>
      <c r="AM119" s="128">
        <v>0</v>
      </c>
      <c r="AN119" s="127">
        <v>2</v>
      </c>
      <c r="AO119" s="128">
        <v>100</v>
      </c>
      <c r="AP119" s="127">
        <v>2</v>
      </c>
    </row>
    <row r="120" spans="1:42" ht="15">
      <c r="A120" s="65" t="s">
        <v>318</v>
      </c>
      <c r="B120" s="65" t="s">
        <v>352</v>
      </c>
      <c r="C120" s="66" t="s">
        <v>1220</v>
      </c>
      <c r="D120" s="67">
        <v>3</v>
      </c>
      <c r="E120" s="68"/>
      <c r="F120" s="69">
        <v>40</v>
      </c>
      <c r="G120" s="66"/>
      <c r="H120" s="70"/>
      <c r="I120" s="71"/>
      <c r="J120" s="71"/>
      <c r="K120" s="35" t="s">
        <v>65</v>
      </c>
      <c r="L120" s="79">
        <v>120</v>
      </c>
      <c r="M120" s="79"/>
      <c r="N120" s="73"/>
      <c r="O120" s="90" t="s">
        <v>356</v>
      </c>
      <c r="P120" s="90" t="s">
        <v>212</v>
      </c>
      <c r="Q120" s="94" t="s">
        <v>465</v>
      </c>
      <c r="R120" s="90" t="s">
        <v>318</v>
      </c>
      <c r="S120" s="90" t="s">
        <v>597</v>
      </c>
      <c r="T120" s="96" t="str">
        <f>HYPERLINK("http://www.youtube.com/channel/UCMqj6PcNzNbrIBmmVl0yoag")</f>
        <v>http://www.youtube.com/channel/UCMqj6PcNzNbrIBmmVl0yoag</v>
      </c>
      <c r="U120" s="90"/>
      <c r="V120" s="90" t="s">
        <v>652</v>
      </c>
      <c r="W120" s="96" t="str">
        <f>HYPERLINK("https://www.youtube.com/watch?v=fK1_SH3X2ek")</f>
        <v>https://www.youtube.com/watch?v=fK1_SH3X2ek</v>
      </c>
      <c r="X120" s="90" t="s">
        <v>656</v>
      </c>
      <c r="Y120" s="90">
        <v>0</v>
      </c>
      <c r="Z120" s="99">
        <v>44033.28542824074</v>
      </c>
      <c r="AA120" s="99">
        <v>44033.28542824074</v>
      </c>
      <c r="AB120" s="90"/>
      <c r="AC120" s="90"/>
      <c r="AD120" s="94" t="s">
        <v>666</v>
      </c>
      <c r="AE120" s="92">
        <v>1</v>
      </c>
      <c r="AF120" s="93" t="str">
        <f>REPLACE(INDEX(GroupVertices[Group],MATCH(Edges[[#This Row],[Vertex 1]],GroupVertices[Vertex],0)),1,1,"")</f>
        <v>1</v>
      </c>
      <c r="AG120" s="93" t="str">
        <f>REPLACE(INDEX(GroupVertices[Group],MATCH(Edges[[#This Row],[Vertex 2]],GroupVertices[Vertex],0)),1,1,"")</f>
        <v>1</v>
      </c>
      <c r="AH120" s="127">
        <v>2</v>
      </c>
      <c r="AI120" s="128">
        <v>50</v>
      </c>
      <c r="AJ120" s="127">
        <v>0</v>
      </c>
      <c r="AK120" s="128">
        <v>0</v>
      </c>
      <c r="AL120" s="127">
        <v>0</v>
      </c>
      <c r="AM120" s="128">
        <v>0</v>
      </c>
      <c r="AN120" s="127">
        <v>2</v>
      </c>
      <c r="AO120" s="128">
        <v>50</v>
      </c>
      <c r="AP120" s="127">
        <v>4</v>
      </c>
    </row>
    <row r="121" spans="1:42" ht="15">
      <c r="A121" s="65" t="s">
        <v>319</v>
      </c>
      <c r="B121" s="65" t="s">
        <v>352</v>
      </c>
      <c r="C121" s="66" t="s">
        <v>1220</v>
      </c>
      <c r="D121" s="67">
        <v>3</v>
      </c>
      <c r="E121" s="68"/>
      <c r="F121" s="69">
        <v>40</v>
      </c>
      <c r="G121" s="66"/>
      <c r="H121" s="70"/>
      <c r="I121" s="71"/>
      <c r="J121" s="71"/>
      <c r="K121" s="35" t="s">
        <v>65</v>
      </c>
      <c r="L121" s="79">
        <v>121</v>
      </c>
      <c r="M121" s="79"/>
      <c r="N121" s="73"/>
      <c r="O121" s="90" t="s">
        <v>356</v>
      </c>
      <c r="P121" s="90" t="s">
        <v>212</v>
      </c>
      <c r="Q121" s="94" t="s">
        <v>466</v>
      </c>
      <c r="R121" s="90" t="s">
        <v>319</v>
      </c>
      <c r="S121" s="90" t="s">
        <v>598</v>
      </c>
      <c r="T121" s="96" t="str">
        <f>HYPERLINK("http://www.youtube.com/channel/UCr8qF5f_vLyTxQe2fw02d8w")</f>
        <v>http://www.youtube.com/channel/UCr8qF5f_vLyTxQe2fw02d8w</v>
      </c>
      <c r="U121" s="90"/>
      <c r="V121" s="90" t="s">
        <v>652</v>
      </c>
      <c r="W121" s="96" t="str">
        <f>HYPERLINK("https://www.youtube.com/watch?v=fK1_SH3X2ek")</f>
        <v>https://www.youtube.com/watch?v=fK1_SH3X2ek</v>
      </c>
      <c r="X121" s="90" t="s">
        <v>656</v>
      </c>
      <c r="Y121" s="90">
        <v>0</v>
      </c>
      <c r="Z121" s="99">
        <v>44050.46113425926</v>
      </c>
      <c r="AA121" s="99">
        <v>44050.46113425926</v>
      </c>
      <c r="AB121" s="90"/>
      <c r="AC121" s="90"/>
      <c r="AD121" s="94" t="s">
        <v>666</v>
      </c>
      <c r="AE121" s="92">
        <v>1</v>
      </c>
      <c r="AF121" s="93" t="str">
        <f>REPLACE(INDEX(GroupVertices[Group],MATCH(Edges[[#This Row],[Vertex 1]],GroupVertices[Vertex],0)),1,1,"")</f>
        <v>1</v>
      </c>
      <c r="AG121" s="93" t="str">
        <f>REPLACE(INDEX(GroupVertices[Group],MATCH(Edges[[#This Row],[Vertex 2]],GroupVertices[Vertex],0)),1,1,"")</f>
        <v>1</v>
      </c>
      <c r="AH121" s="127">
        <v>0</v>
      </c>
      <c r="AI121" s="128">
        <v>0</v>
      </c>
      <c r="AJ121" s="127">
        <v>0</v>
      </c>
      <c r="AK121" s="128">
        <v>0</v>
      </c>
      <c r="AL121" s="127">
        <v>0</v>
      </c>
      <c r="AM121" s="128">
        <v>0</v>
      </c>
      <c r="AN121" s="127">
        <v>1</v>
      </c>
      <c r="AO121" s="128">
        <v>100</v>
      </c>
      <c r="AP121" s="127">
        <v>1</v>
      </c>
    </row>
    <row r="122" spans="1:42" ht="15">
      <c r="A122" s="65" t="s">
        <v>320</v>
      </c>
      <c r="B122" s="65" t="s">
        <v>352</v>
      </c>
      <c r="C122" s="66" t="s">
        <v>1220</v>
      </c>
      <c r="D122" s="67">
        <v>3</v>
      </c>
      <c r="E122" s="68"/>
      <c r="F122" s="69">
        <v>40</v>
      </c>
      <c r="G122" s="66"/>
      <c r="H122" s="70"/>
      <c r="I122" s="71"/>
      <c r="J122" s="71"/>
      <c r="K122" s="35" t="s">
        <v>65</v>
      </c>
      <c r="L122" s="79">
        <v>122</v>
      </c>
      <c r="M122" s="79"/>
      <c r="N122" s="73"/>
      <c r="O122" s="90" t="s">
        <v>356</v>
      </c>
      <c r="P122" s="90" t="s">
        <v>212</v>
      </c>
      <c r="Q122" s="94" t="s">
        <v>467</v>
      </c>
      <c r="R122" s="90" t="s">
        <v>320</v>
      </c>
      <c r="S122" s="90" t="s">
        <v>599</v>
      </c>
      <c r="T122" s="96" t="str">
        <f>HYPERLINK("http://www.youtube.com/channel/UCh-2TKI04EBmj1G6P1OB6Pw")</f>
        <v>http://www.youtube.com/channel/UCh-2TKI04EBmj1G6P1OB6Pw</v>
      </c>
      <c r="U122" s="90"/>
      <c r="V122" s="90" t="s">
        <v>652</v>
      </c>
      <c r="W122" s="96" t="str">
        <f>HYPERLINK("https://www.youtube.com/watch?v=fK1_SH3X2ek")</f>
        <v>https://www.youtube.com/watch?v=fK1_SH3X2ek</v>
      </c>
      <c r="X122" s="90" t="s">
        <v>656</v>
      </c>
      <c r="Y122" s="90">
        <v>0</v>
      </c>
      <c r="Z122" s="99">
        <v>44062.305972222224</v>
      </c>
      <c r="AA122" s="99">
        <v>44062.305972222224</v>
      </c>
      <c r="AB122" s="90"/>
      <c r="AC122" s="90"/>
      <c r="AD122" s="94" t="s">
        <v>666</v>
      </c>
      <c r="AE122" s="92">
        <v>1</v>
      </c>
      <c r="AF122" s="93" t="str">
        <f>REPLACE(INDEX(GroupVertices[Group],MATCH(Edges[[#This Row],[Vertex 1]],GroupVertices[Vertex],0)),1,1,"")</f>
        <v>1</v>
      </c>
      <c r="AG122" s="93" t="str">
        <f>REPLACE(INDEX(GroupVertices[Group],MATCH(Edges[[#This Row],[Vertex 2]],GroupVertices[Vertex],0)),1,1,"")</f>
        <v>1</v>
      </c>
      <c r="AH122" s="127">
        <v>0</v>
      </c>
      <c r="AI122" s="128">
        <v>0</v>
      </c>
      <c r="AJ122" s="127">
        <v>0</v>
      </c>
      <c r="AK122" s="128">
        <v>0</v>
      </c>
      <c r="AL122" s="127">
        <v>0</v>
      </c>
      <c r="AM122" s="128">
        <v>0</v>
      </c>
      <c r="AN122" s="127">
        <v>0</v>
      </c>
      <c r="AO122" s="128">
        <v>0</v>
      </c>
      <c r="AP122" s="127">
        <v>0</v>
      </c>
    </row>
    <row r="123" spans="1:42" ht="15">
      <c r="A123" s="65" t="s">
        <v>265</v>
      </c>
      <c r="B123" s="65" t="s">
        <v>322</v>
      </c>
      <c r="C123" s="66" t="s">
        <v>1220</v>
      </c>
      <c r="D123" s="67">
        <v>3</v>
      </c>
      <c r="E123" s="68"/>
      <c r="F123" s="69">
        <v>40</v>
      </c>
      <c r="G123" s="66"/>
      <c r="H123" s="70"/>
      <c r="I123" s="71"/>
      <c r="J123" s="71"/>
      <c r="K123" s="35" t="s">
        <v>65</v>
      </c>
      <c r="L123" s="79">
        <v>123</v>
      </c>
      <c r="M123" s="79"/>
      <c r="N123" s="73"/>
      <c r="O123" s="90" t="s">
        <v>355</v>
      </c>
      <c r="P123" s="90" t="s">
        <v>358</v>
      </c>
      <c r="Q123" s="94" t="s">
        <v>468</v>
      </c>
      <c r="R123" s="90" t="s">
        <v>265</v>
      </c>
      <c r="S123" s="90" t="s">
        <v>544</v>
      </c>
      <c r="T123" s="96" t="str">
        <f>HYPERLINK("http://www.youtube.com/channel/UCy8XLhlIl992JrAP2hgCscQ")</f>
        <v>http://www.youtube.com/channel/UCy8XLhlIl992JrAP2hgCscQ</v>
      </c>
      <c r="U123" s="90" t="s">
        <v>644</v>
      </c>
      <c r="V123" s="90" t="s">
        <v>652</v>
      </c>
      <c r="W123" s="96" t="str">
        <f>HYPERLINK("https://www.youtube.com/watch?v=fK1_SH3X2ek")</f>
        <v>https://www.youtube.com/watch?v=fK1_SH3X2ek</v>
      </c>
      <c r="X123" s="90" t="s">
        <v>656</v>
      </c>
      <c r="Y123" s="90">
        <v>1</v>
      </c>
      <c r="Z123" s="99">
        <v>44124.64743055555</v>
      </c>
      <c r="AA123" s="99">
        <v>44124.64743055555</v>
      </c>
      <c r="AB123" s="90"/>
      <c r="AC123" s="90"/>
      <c r="AD123" s="94" t="s">
        <v>666</v>
      </c>
      <c r="AE123" s="92">
        <v>1</v>
      </c>
      <c r="AF123" s="93" t="str">
        <f>REPLACE(INDEX(GroupVertices[Group],MATCH(Edges[[#This Row],[Vertex 1]],GroupVertices[Vertex],0)),1,1,"")</f>
        <v>1</v>
      </c>
      <c r="AG123" s="93" t="str">
        <f>REPLACE(INDEX(GroupVertices[Group],MATCH(Edges[[#This Row],[Vertex 2]],GroupVertices[Vertex],0)),1,1,"")</f>
        <v>1</v>
      </c>
      <c r="AH123" s="127">
        <v>1</v>
      </c>
      <c r="AI123" s="128">
        <v>6.25</v>
      </c>
      <c r="AJ123" s="127">
        <v>0</v>
      </c>
      <c r="AK123" s="128">
        <v>0</v>
      </c>
      <c r="AL123" s="127">
        <v>0</v>
      </c>
      <c r="AM123" s="128">
        <v>0</v>
      </c>
      <c r="AN123" s="127">
        <v>15</v>
      </c>
      <c r="AO123" s="128">
        <v>93.75</v>
      </c>
      <c r="AP123" s="127">
        <v>16</v>
      </c>
    </row>
    <row r="124" spans="1:42" ht="15">
      <c r="A124" s="65" t="s">
        <v>321</v>
      </c>
      <c r="B124" s="65" t="s">
        <v>322</v>
      </c>
      <c r="C124" s="66" t="s">
        <v>1220</v>
      </c>
      <c r="D124" s="67">
        <v>3</v>
      </c>
      <c r="E124" s="68"/>
      <c r="F124" s="69">
        <v>40</v>
      </c>
      <c r="G124" s="66"/>
      <c r="H124" s="70"/>
      <c r="I124" s="71"/>
      <c r="J124" s="71"/>
      <c r="K124" s="35" t="s">
        <v>65</v>
      </c>
      <c r="L124" s="79">
        <v>124</v>
      </c>
      <c r="M124" s="79"/>
      <c r="N124" s="73"/>
      <c r="O124" s="90" t="s">
        <v>355</v>
      </c>
      <c r="P124" s="90" t="s">
        <v>358</v>
      </c>
      <c r="Q124" s="94" t="s">
        <v>469</v>
      </c>
      <c r="R124" s="90" t="s">
        <v>321</v>
      </c>
      <c r="S124" s="90" t="s">
        <v>600</v>
      </c>
      <c r="T124" s="96" t="str">
        <f>HYPERLINK("http://www.youtube.com/channel/UC1l0Bbv3upJ90bFKIfT2JCA")</f>
        <v>http://www.youtube.com/channel/UC1l0Bbv3upJ90bFKIfT2JCA</v>
      </c>
      <c r="U124" s="90" t="s">
        <v>644</v>
      </c>
      <c r="V124" s="90" t="s">
        <v>652</v>
      </c>
      <c r="W124" s="96" t="str">
        <f>HYPERLINK("https://www.youtube.com/watch?v=fK1_SH3X2ek")</f>
        <v>https://www.youtube.com/watch?v=fK1_SH3X2ek</v>
      </c>
      <c r="X124" s="90" t="s">
        <v>656</v>
      </c>
      <c r="Y124" s="90">
        <v>1</v>
      </c>
      <c r="Z124" s="99">
        <v>44135.35366898148</v>
      </c>
      <c r="AA124" s="99">
        <v>44135.35366898148</v>
      </c>
      <c r="AB124" s="90"/>
      <c r="AC124" s="90"/>
      <c r="AD124" s="94" t="s">
        <v>666</v>
      </c>
      <c r="AE124" s="92">
        <v>1</v>
      </c>
      <c r="AF124" s="93" t="str">
        <f>REPLACE(INDEX(GroupVertices[Group],MATCH(Edges[[#This Row],[Vertex 1]],GroupVertices[Vertex],0)),1,1,"")</f>
        <v>1</v>
      </c>
      <c r="AG124" s="93" t="str">
        <f>REPLACE(INDEX(GroupVertices[Group],MATCH(Edges[[#This Row],[Vertex 2]],GroupVertices[Vertex],0)),1,1,"")</f>
        <v>1</v>
      </c>
      <c r="AH124" s="127">
        <v>1</v>
      </c>
      <c r="AI124" s="128">
        <v>7.142857142857143</v>
      </c>
      <c r="AJ124" s="127">
        <v>0</v>
      </c>
      <c r="AK124" s="128">
        <v>0</v>
      </c>
      <c r="AL124" s="127">
        <v>0</v>
      </c>
      <c r="AM124" s="128">
        <v>0</v>
      </c>
      <c r="AN124" s="127">
        <v>13</v>
      </c>
      <c r="AO124" s="128">
        <v>92.85714285714286</v>
      </c>
      <c r="AP124" s="127">
        <v>14</v>
      </c>
    </row>
    <row r="125" spans="1:42" ht="15">
      <c r="A125" s="65" t="s">
        <v>322</v>
      </c>
      <c r="B125" s="65" t="s">
        <v>322</v>
      </c>
      <c r="C125" s="66" t="s">
        <v>1220</v>
      </c>
      <c r="D125" s="67">
        <v>3</v>
      </c>
      <c r="E125" s="68"/>
      <c r="F125" s="69">
        <v>40</v>
      </c>
      <c r="G125" s="66"/>
      <c r="H125" s="70"/>
      <c r="I125" s="71"/>
      <c r="J125" s="71"/>
      <c r="K125" s="35" t="s">
        <v>65</v>
      </c>
      <c r="L125" s="79">
        <v>125</v>
      </c>
      <c r="M125" s="79"/>
      <c r="N125" s="73"/>
      <c r="O125" s="90" t="s">
        <v>355</v>
      </c>
      <c r="P125" s="90" t="s">
        <v>358</v>
      </c>
      <c r="Q125" s="94" t="s">
        <v>470</v>
      </c>
      <c r="R125" s="90" t="s">
        <v>322</v>
      </c>
      <c r="S125" s="90" t="s">
        <v>601</v>
      </c>
      <c r="T125" s="96" t="str">
        <f>HYPERLINK("http://www.youtube.com/channel/UCaIeo4JpCmSTtmQfmfH4eAg")</f>
        <v>http://www.youtube.com/channel/UCaIeo4JpCmSTtmQfmfH4eAg</v>
      </c>
      <c r="U125" s="90" t="s">
        <v>644</v>
      </c>
      <c r="V125" s="90" t="s">
        <v>652</v>
      </c>
      <c r="W125" s="96" t="str">
        <f>HYPERLINK("https://www.youtube.com/watch?v=fK1_SH3X2ek")</f>
        <v>https://www.youtube.com/watch?v=fK1_SH3X2ek</v>
      </c>
      <c r="X125" s="90" t="s">
        <v>656</v>
      </c>
      <c r="Y125" s="90">
        <v>0</v>
      </c>
      <c r="Z125" s="99">
        <v>44135.573599537034</v>
      </c>
      <c r="AA125" s="99">
        <v>44135.573599537034</v>
      </c>
      <c r="AB125" s="90"/>
      <c r="AC125" s="90"/>
      <c r="AD125" s="94" t="s">
        <v>666</v>
      </c>
      <c r="AE125" s="92">
        <v>1</v>
      </c>
      <c r="AF125" s="93" t="str">
        <f>REPLACE(INDEX(GroupVertices[Group],MATCH(Edges[[#This Row],[Vertex 1]],GroupVertices[Vertex],0)),1,1,"")</f>
        <v>1</v>
      </c>
      <c r="AG125" s="93" t="str">
        <f>REPLACE(INDEX(GroupVertices[Group],MATCH(Edges[[#This Row],[Vertex 2]],GroupVertices[Vertex],0)),1,1,"")</f>
        <v>1</v>
      </c>
      <c r="AH125" s="127">
        <v>2</v>
      </c>
      <c r="AI125" s="128">
        <v>8</v>
      </c>
      <c r="AJ125" s="127">
        <v>0</v>
      </c>
      <c r="AK125" s="128">
        <v>0</v>
      </c>
      <c r="AL125" s="127">
        <v>0</v>
      </c>
      <c r="AM125" s="128">
        <v>0</v>
      </c>
      <c r="AN125" s="127">
        <v>23</v>
      </c>
      <c r="AO125" s="128">
        <v>92</v>
      </c>
      <c r="AP125" s="127">
        <v>25</v>
      </c>
    </row>
    <row r="126" spans="1:42" ht="15">
      <c r="A126" s="65" t="s">
        <v>322</v>
      </c>
      <c r="B126" s="65" t="s">
        <v>352</v>
      </c>
      <c r="C126" s="66" t="s">
        <v>1220</v>
      </c>
      <c r="D126" s="67">
        <v>3</v>
      </c>
      <c r="E126" s="68"/>
      <c r="F126" s="69">
        <v>40</v>
      </c>
      <c r="G126" s="66"/>
      <c r="H126" s="70"/>
      <c r="I126" s="71"/>
      <c r="J126" s="71"/>
      <c r="K126" s="35" t="s">
        <v>65</v>
      </c>
      <c r="L126" s="79">
        <v>126</v>
      </c>
      <c r="M126" s="79"/>
      <c r="N126" s="73"/>
      <c r="O126" s="90" t="s">
        <v>356</v>
      </c>
      <c r="P126" s="90" t="s">
        <v>212</v>
      </c>
      <c r="Q126" s="94" t="s">
        <v>471</v>
      </c>
      <c r="R126" s="90" t="s">
        <v>322</v>
      </c>
      <c r="S126" s="90" t="s">
        <v>601</v>
      </c>
      <c r="T126" s="96" t="str">
        <f>HYPERLINK("http://www.youtube.com/channel/UCaIeo4JpCmSTtmQfmfH4eAg")</f>
        <v>http://www.youtube.com/channel/UCaIeo4JpCmSTtmQfmfH4eAg</v>
      </c>
      <c r="U126" s="90"/>
      <c r="V126" s="90" t="s">
        <v>652</v>
      </c>
      <c r="W126" s="96" t="str">
        <f>HYPERLINK("https://www.youtube.com/watch?v=fK1_SH3X2ek")</f>
        <v>https://www.youtube.com/watch?v=fK1_SH3X2ek</v>
      </c>
      <c r="X126" s="90" t="s">
        <v>656</v>
      </c>
      <c r="Y126" s="90">
        <v>3</v>
      </c>
      <c r="Z126" s="99">
        <v>44066.0221875</v>
      </c>
      <c r="AA126" s="99">
        <v>44066.0221875</v>
      </c>
      <c r="AB126" s="90" t="s">
        <v>660</v>
      </c>
      <c r="AC126" s="90" t="s">
        <v>664</v>
      </c>
      <c r="AD126" s="94" t="s">
        <v>666</v>
      </c>
      <c r="AE126" s="92">
        <v>1</v>
      </c>
      <c r="AF126" s="93" t="str">
        <f>REPLACE(INDEX(GroupVertices[Group],MATCH(Edges[[#This Row],[Vertex 1]],GroupVertices[Vertex],0)),1,1,"")</f>
        <v>1</v>
      </c>
      <c r="AG126" s="93" t="str">
        <f>REPLACE(INDEX(GroupVertices[Group],MATCH(Edges[[#This Row],[Vertex 2]],GroupVertices[Vertex],0)),1,1,"")</f>
        <v>1</v>
      </c>
      <c r="AH126" s="127">
        <v>4</v>
      </c>
      <c r="AI126" s="128">
        <v>2.2099447513812156</v>
      </c>
      <c r="AJ126" s="127">
        <v>4</v>
      </c>
      <c r="AK126" s="128">
        <v>2.2099447513812156</v>
      </c>
      <c r="AL126" s="127">
        <v>0</v>
      </c>
      <c r="AM126" s="128">
        <v>0</v>
      </c>
      <c r="AN126" s="127">
        <v>173</v>
      </c>
      <c r="AO126" s="128">
        <v>95.58011049723757</v>
      </c>
      <c r="AP126" s="127">
        <v>181</v>
      </c>
    </row>
    <row r="127" spans="1:42" ht="15">
      <c r="A127" s="65" t="s">
        <v>323</v>
      </c>
      <c r="B127" s="65" t="s">
        <v>352</v>
      </c>
      <c r="C127" s="66" t="s">
        <v>1220</v>
      </c>
      <c r="D127" s="67">
        <v>3</v>
      </c>
      <c r="E127" s="68"/>
      <c r="F127" s="69">
        <v>40</v>
      </c>
      <c r="G127" s="66"/>
      <c r="H127" s="70"/>
      <c r="I127" s="71"/>
      <c r="J127" s="71"/>
      <c r="K127" s="35" t="s">
        <v>65</v>
      </c>
      <c r="L127" s="79">
        <v>127</v>
      </c>
      <c r="M127" s="79"/>
      <c r="N127" s="73"/>
      <c r="O127" s="90" t="s">
        <v>356</v>
      </c>
      <c r="P127" s="90" t="s">
        <v>212</v>
      </c>
      <c r="Q127" s="94" t="s">
        <v>472</v>
      </c>
      <c r="R127" s="90" t="s">
        <v>323</v>
      </c>
      <c r="S127" s="90" t="s">
        <v>602</v>
      </c>
      <c r="T127" s="96" t="str">
        <f>HYPERLINK("http://www.youtube.com/channel/UCD3JkquUUlOui749jhE6Mvg")</f>
        <v>http://www.youtube.com/channel/UCD3JkquUUlOui749jhE6Mvg</v>
      </c>
      <c r="U127" s="90"/>
      <c r="V127" s="90" t="s">
        <v>652</v>
      </c>
      <c r="W127" s="96" t="str">
        <f>HYPERLINK("https://www.youtube.com/watch?v=fK1_SH3X2ek")</f>
        <v>https://www.youtube.com/watch?v=fK1_SH3X2ek</v>
      </c>
      <c r="X127" s="90" t="s">
        <v>656</v>
      </c>
      <c r="Y127" s="90">
        <v>1</v>
      </c>
      <c r="Z127" s="99">
        <v>44096.70679398148</v>
      </c>
      <c r="AA127" s="99">
        <v>44096.70679398148</v>
      </c>
      <c r="AB127" s="90"/>
      <c r="AC127" s="90"/>
      <c r="AD127" s="94" t="s">
        <v>666</v>
      </c>
      <c r="AE127" s="92">
        <v>1</v>
      </c>
      <c r="AF127" s="93" t="str">
        <f>REPLACE(INDEX(GroupVertices[Group],MATCH(Edges[[#This Row],[Vertex 1]],GroupVertices[Vertex],0)),1,1,"")</f>
        <v>1</v>
      </c>
      <c r="AG127" s="93" t="str">
        <f>REPLACE(INDEX(GroupVertices[Group],MATCH(Edges[[#This Row],[Vertex 2]],GroupVertices[Vertex],0)),1,1,"")</f>
        <v>1</v>
      </c>
      <c r="AH127" s="127">
        <v>1</v>
      </c>
      <c r="AI127" s="128">
        <v>7.142857142857143</v>
      </c>
      <c r="AJ127" s="127">
        <v>0</v>
      </c>
      <c r="AK127" s="128">
        <v>0</v>
      </c>
      <c r="AL127" s="127">
        <v>0</v>
      </c>
      <c r="AM127" s="128">
        <v>0</v>
      </c>
      <c r="AN127" s="127">
        <v>13</v>
      </c>
      <c r="AO127" s="128">
        <v>92.85714285714286</v>
      </c>
      <c r="AP127" s="127">
        <v>14</v>
      </c>
    </row>
    <row r="128" spans="1:42" ht="15">
      <c r="A128" s="65" t="s">
        <v>324</v>
      </c>
      <c r="B128" s="65" t="s">
        <v>352</v>
      </c>
      <c r="C128" s="66" t="s">
        <v>1220</v>
      </c>
      <c r="D128" s="67">
        <v>3</v>
      </c>
      <c r="E128" s="68"/>
      <c r="F128" s="69">
        <v>40</v>
      </c>
      <c r="G128" s="66"/>
      <c r="H128" s="70"/>
      <c r="I128" s="71"/>
      <c r="J128" s="71"/>
      <c r="K128" s="35" t="s">
        <v>65</v>
      </c>
      <c r="L128" s="79">
        <v>128</v>
      </c>
      <c r="M128" s="79"/>
      <c r="N128" s="73"/>
      <c r="O128" s="90" t="s">
        <v>356</v>
      </c>
      <c r="P128" s="90" t="s">
        <v>212</v>
      </c>
      <c r="Q128" s="94" t="s">
        <v>473</v>
      </c>
      <c r="R128" s="90" t="s">
        <v>324</v>
      </c>
      <c r="S128" s="90" t="s">
        <v>603</v>
      </c>
      <c r="T128" s="96" t="str">
        <f>HYPERLINK("http://www.youtube.com/channel/UCLj0oRJSMJlFtBvj2MqARiQ")</f>
        <v>http://www.youtube.com/channel/UCLj0oRJSMJlFtBvj2MqARiQ</v>
      </c>
      <c r="U128" s="90"/>
      <c r="V128" s="90" t="s">
        <v>652</v>
      </c>
      <c r="W128" s="96" t="str">
        <f>HYPERLINK("https://www.youtube.com/watch?v=fK1_SH3X2ek")</f>
        <v>https://www.youtube.com/watch?v=fK1_SH3X2ek</v>
      </c>
      <c r="X128" s="90" t="s">
        <v>656</v>
      </c>
      <c r="Y128" s="90">
        <v>1</v>
      </c>
      <c r="Z128" s="99">
        <v>44103.326319444444</v>
      </c>
      <c r="AA128" s="99">
        <v>44103.326319444444</v>
      </c>
      <c r="AB128" s="90"/>
      <c r="AC128" s="90"/>
      <c r="AD128" s="94" t="s">
        <v>666</v>
      </c>
      <c r="AE128" s="92">
        <v>1</v>
      </c>
      <c r="AF128" s="93" t="str">
        <f>REPLACE(INDEX(GroupVertices[Group],MATCH(Edges[[#This Row],[Vertex 1]],GroupVertices[Vertex],0)),1,1,"")</f>
        <v>1</v>
      </c>
      <c r="AG128" s="93" t="str">
        <f>REPLACE(INDEX(GroupVertices[Group],MATCH(Edges[[#This Row],[Vertex 2]],GroupVertices[Vertex],0)),1,1,"")</f>
        <v>1</v>
      </c>
      <c r="AH128" s="127">
        <v>1</v>
      </c>
      <c r="AI128" s="128">
        <v>50</v>
      </c>
      <c r="AJ128" s="127">
        <v>0</v>
      </c>
      <c r="AK128" s="128">
        <v>0</v>
      </c>
      <c r="AL128" s="127">
        <v>0</v>
      </c>
      <c r="AM128" s="128">
        <v>0</v>
      </c>
      <c r="AN128" s="127">
        <v>1</v>
      </c>
      <c r="AO128" s="128">
        <v>50</v>
      </c>
      <c r="AP128" s="127">
        <v>2</v>
      </c>
    </row>
    <row r="129" spans="1:42" ht="15">
      <c r="A129" s="65" t="s">
        <v>325</v>
      </c>
      <c r="B129" s="65" t="s">
        <v>352</v>
      </c>
      <c r="C129" s="66" t="s">
        <v>1221</v>
      </c>
      <c r="D129" s="67">
        <v>3</v>
      </c>
      <c r="E129" s="68"/>
      <c r="F129" s="69">
        <v>40</v>
      </c>
      <c r="G129" s="66"/>
      <c r="H129" s="70"/>
      <c r="I129" s="71"/>
      <c r="J129" s="71"/>
      <c r="K129" s="35" t="s">
        <v>65</v>
      </c>
      <c r="L129" s="79">
        <v>129</v>
      </c>
      <c r="M129" s="79"/>
      <c r="N129" s="73"/>
      <c r="O129" s="90" t="s">
        <v>356</v>
      </c>
      <c r="P129" s="90" t="s">
        <v>212</v>
      </c>
      <c r="Q129" s="94" t="s">
        <v>474</v>
      </c>
      <c r="R129" s="90" t="s">
        <v>325</v>
      </c>
      <c r="S129" s="90" t="s">
        <v>604</v>
      </c>
      <c r="T129" s="96" t="str">
        <f>HYPERLINK("http://www.youtube.com/channel/UC1aILpkji8MPAKECCmV6exQ")</f>
        <v>http://www.youtube.com/channel/UC1aILpkji8MPAKECCmV6exQ</v>
      </c>
      <c r="U129" s="90"/>
      <c r="V129" s="90" t="s">
        <v>652</v>
      </c>
      <c r="W129" s="96" t="str">
        <f>HYPERLINK("https://www.youtube.com/watch?v=fK1_SH3X2ek")</f>
        <v>https://www.youtube.com/watch?v=fK1_SH3X2ek</v>
      </c>
      <c r="X129" s="90" t="s">
        <v>656</v>
      </c>
      <c r="Y129" s="90">
        <v>0</v>
      </c>
      <c r="Z129" s="99">
        <v>44105.19553240741</v>
      </c>
      <c r="AA129" s="99">
        <v>44105.19553240741</v>
      </c>
      <c r="AB129" s="90"/>
      <c r="AC129" s="90"/>
      <c r="AD129" s="94" t="s">
        <v>666</v>
      </c>
      <c r="AE129" s="92">
        <v>2</v>
      </c>
      <c r="AF129" s="93" t="str">
        <f>REPLACE(INDEX(GroupVertices[Group],MATCH(Edges[[#This Row],[Vertex 1]],GroupVertices[Vertex],0)),1,1,"")</f>
        <v>1</v>
      </c>
      <c r="AG129" s="93" t="str">
        <f>REPLACE(INDEX(GroupVertices[Group],MATCH(Edges[[#This Row],[Vertex 2]],GroupVertices[Vertex],0)),1,1,"")</f>
        <v>1</v>
      </c>
      <c r="AH129" s="127">
        <v>0</v>
      </c>
      <c r="AI129" s="128">
        <v>0</v>
      </c>
      <c r="AJ129" s="127">
        <v>0</v>
      </c>
      <c r="AK129" s="128">
        <v>0</v>
      </c>
      <c r="AL129" s="127">
        <v>0</v>
      </c>
      <c r="AM129" s="128">
        <v>0</v>
      </c>
      <c r="AN129" s="127">
        <v>1</v>
      </c>
      <c r="AO129" s="128">
        <v>100</v>
      </c>
      <c r="AP129" s="127">
        <v>1</v>
      </c>
    </row>
    <row r="130" spans="1:42" ht="15">
      <c r="A130" s="65" t="s">
        <v>325</v>
      </c>
      <c r="B130" s="65" t="s">
        <v>352</v>
      </c>
      <c r="C130" s="66" t="s">
        <v>1221</v>
      </c>
      <c r="D130" s="67">
        <v>3</v>
      </c>
      <c r="E130" s="68"/>
      <c r="F130" s="69">
        <v>40</v>
      </c>
      <c r="G130" s="66"/>
      <c r="H130" s="70"/>
      <c r="I130" s="71"/>
      <c r="J130" s="71"/>
      <c r="K130" s="35" t="s">
        <v>65</v>
      </c>
      <c r="L130" s="79">
        <v>130</v>
      </c>
      <c r="M130" s="79"/>
      <c r="N130" s="73"/>
      <c r="O130" s="90" t="s">
        <v>356</v>
      </c>
      <c r="P130" s="90" t="s">
        <v>212</v>
      </c>
      <c r="Q130" s="94" t="s">
        <v>475</v>
      </c>
      <c r="R130" s="90" t="s">
        <v>325</v>
      </c>
      <c r="S130" s="90" t="s">
        <v>604</v>
      </c>
      <c r="T130" s="96" t="str">
        <f>HYPERLINK("http://www.youtube.com/channel/UC1aILpkji8MPAKECCmV6exQ")</f>
        <v>http://www.youtube.com/channel/UC1aILpkji8MPAKECCmV6exQ</v>
      </c>
      <c r="U130" s="90"/>
      <c r="V130" s="90" t="s">
        <v>652</v>
      </c>
      <c r="W130" s="96" t="str">
        <f>HYPERLINK("https://www.youtube.com/watch?v=fK1_SH3X2ek")</f>
        <v>https://www.youtube.com/watch?v=fK1_SH3X2ek</v>
      </c>
      <c r="X130" s="90" t="s">
        <v>656</v>
      </c>
      <c r="Y130" s="90">
        <v>0</v>
      </c>
      <c r="Z130" s="99">
        <v>44105.19567129629</v>
      </c>
      <c r="AA130" s="99">
        <v>44105.19567129629</v>
      </c>
      <c r="AB130" s="90"/>
      <c r="AC130" s="90"/>
      <c r="AD130" s="94" t="s">
        <v>666</v>
      </c>
      <c r="AE130" s="92">
        <v>2</v>
      </c>
      <c r="AF130" s="93" t="str">
        <f>REPLACE(INDEX(GroupVertices[Group],MATCH(Edges[[#This Row],[Vertex 1]],GroupVertices[Vertex],0)),1,1,"")</f>
        <v>1</v>
      </c>
      <c r="AG130" s="93" t="str">
        <f>REPLACE(INDEX(GroupVertices[Group],MATCH(Edges[[#This Row],[Vertex 2]],GroupVertices[Vertex],0)),1,1,"")</f>
        <v>1</v>
      </c>
      <c r="AH130" s="127">
        <v>1</v>
      </c>
      <c r="AI130" s="128">
        <v>100</v>
      </c>
      <c r="AJ130" s="127">
        <v>0</v>
      </c>
      <c r="AK130" s="128">
        <v>0</v>
      </c>
      <c r="AL130" s="127">
        <v>0</v>
      </c>
      <c r="AM130" s="128">
        <v>0</v>
      </c>
      <c r="AN130" s="127">
        <v>0</v>
      </c>
      <c r="AO130" s="128">
        <v>0</v>
      </c>
      <c r="AP130" s="127">
        <v>1</v>
      </c>
    </row>
    <row r="131" spans="1:42" ht="15">
      <c r="A131" s="65" t="s">
        <v>326</v>
      </c>
      <c r="B131" s="65" t="s">
        <v>352</v>
      </c>
      <c r="C131" s="66" t="s">
        <v>1220</v>
      </c>
      <c r="D131" s="67">
        <v>3</v>
      </c>
      <c r="E131" s="68"/>
      <c r="F131" s="69">
        <v>40</v>
      </c>
      <c r="G131" s="66"/>
      <c r="H131" s="70"/>
      <c r="I131" s="71"/>
      <c r="J131" s="71"/>
      <c r="K131" s="35" t="s">
        <v>65</v>
      </c>
      <c r="L131" s="79">
        <v>131</v>
      </c>
      <c r="M131" s="79"/>
      <c r="N131" s="73"/>
      <c r="O131" s="90" t="s">
        <v>356</v>
      </c>
      <c r="P131" s="90" t="s">
        <v>212</v>
      </c>
      <c r="Q131" s="94" t="s">
        <v>476</v>
      </c>
      <c r="R131" s="90" t="s">
        <v>326</v>
      </c>
      <c r="S131" s="90" t="s">
        <v>605</v>
      </c>
      <c r="T131" s="96" t="str">
        <f>HYPERLINK("http://www.youtube.com/channel/UCjXQ1_b7RUp86iL0t4I4XrQ")</f>
        <v>http://www.youtube.com/channel/UCjXQ1_b7RUp86iL0t4I4XrQ</v>
      </c>
      <c r="U131" s="90"/>
      <c r="V131" s="90" t="s">
        <v>652</v>
      </c>
      <c r="W131" s="96" t="str">
        <f>HYPERLINK("https://www.youtube.com/watch?v=fK1_SH3X2ek")</f>
        <v>https://www.youtube.com/watch?v=fK1_SH3X2ek</v>
      </c>
      <c r="X131" s="90" t="s">
        <v>656</v>
      </c>
      <c r="Y131" s="90">
        <v>0</v>
      </c>
      <c r="Z131" s="99">
        <v>44118.135625</v>
      </c>
      <c r="AA131" s="99">
        <v>44118.135625</v>
      </c>
      <c r="AB131" s="90"/>
      <c r="AC131" s="90"/>
      <c r="AD131" s="94" t="s">
        <v>666</v>
      </c>
      <c r="AE131" s="92">
        <v>1</v>
      </c>
      <c r="AF131" s="93" t="str">
        <f>REPLACE(INDEX(GroupVertices[Group],MATCH(Edges[[#This Row],[Vertex 1]],GroupVertices[Vertex],0)),1,1,"")</f>
        <v>1</v>
      </c>
      <c r="AG131" s="93" t="str">
        <f>REPLACE(INDEX(GroupVertices[Group],MATCH(Edges[[#This Row],[Vertex 2]],GroupVertices[Vertex],0)),1,1,"")</f>
        <v>1</v>
      </c>
      <c r="AH131" s="127">
        <v>1</v>
      </c>
      <c r="AI131" s="128">
        <v>50</v>
      </c>
      <c r="AJ131" s="127">
        <v>0</v>
      </c>
      <c r="AK131" s="128">
        <v>0</v>
      </c>
      <c r="AL131" s="127">
        <v>0</v>
      </c>
      <c r="AM131" s="128">
        <v>0</v>
      </c>
      <c r="AN131" s="127">
        <v>1</v>
      </c>
      <c r="AO131" s="128">
        <v>50</v>
      </c>
      <c r="AP131" s="127">
        <v>2</v>
      </c>
    </row>
    <row r="132" spans="1:42" ht="15">
      <c r="A132" s="65" t="s">
        <v>327</v>
      </c>
      <c r="B132" s="65" t="s">
        <v>352</v>
      </c>
      <c r="C132" s="66" t="s">
        <v>1220</v>
      </c>
      <c r="D132" s="67">
        <v>3</v>
      </c>
      <c r="E132" s="68"/>
      <c r="F132" s="69">
        <v>40</v>
      </c>
      <c r="G132" s="66"/>
      <c r="H132" s="70"/>
      <c r="I132" s="71"/>
      <c r="J132" s="71"/>
      <c r="K132" s="35" t="s">
        <v>65</v>
      </c>
      <c r="L132" s="79">
        <v>132</v>
      </c>
      <c r="M132" s="79"/>
      <c r="N132" s="73"/>
      <c r="O132" s="90" t="s">
        <v>356</v>
      </c>
      <c r="P132" s="90" t="s">
        <v>212</v>
      </c>
      <c r="Q132" s="94" t="s">
        <v>477</v>
      </c>
      <c r="R132" s="90" t="s">
        <v>327</v>
      </c>
      <c r="S132" s="90" t="s">
        <v>606</v>
      </c>
      <c r="T132" s="96" t="str">
        <f>HYPERLINK("http://www.youtube.com/channel/UCBWw8SH9UeJw3XQVEBJtQrA")</f>
        <v>http://www.youtube.com/channel/UCBWw8SH9UeJw3XQVEBJtQrA</v>
      </c>
      <c r="U132" s="90"/>
      <c r="V132" s="90" t="s">
        <v>652</v>
      </c>
      <c r="W132" s="96" t="str">
        <f>HYPERLINK("https://www.youtube.com/watch?v=fK1_SH3X2ek")</f>
        <v>https://www.youtube.com/watch?v=fK1_SH3X2ek</v>
      </c>
      <c r="X132" s="90" t="s">
        <v>656</v>
      </c>
      <c r="Y132" s="90">
        <v>0</v>
      </c>
      <c r="Z132" s="99">
        <v>44126.29858796296</v>
      </c>
      <c r="AA132" s="99">
        <v>44126.29858796296</v>
      </c>
      <c r="AB132" s="90"/>
      <c r="AC132" s="90"/>
      <c r="AD132" s="94" t="s">
        <v>666</v>
      </c>
      <c r="AE132" s="92">
        <v>1</v>
      </c>
      <c r="AF132" s="93" t="str">
        <f>REPLACE(INDEX(GroupVertices[Group],MATCH(Edges[[#This Row],[Vertex 1]],GroupVertices[Vertex],0)),1,1,"")</f>
        <v>1</v>
      </c>
      <c r="AG132" s="93" t="str">
        <f>REPLACE(INDEX(GroupVertices[Group],MATCH(Edges[[#This Row],[Vertex 2]],GroupVertices[Vertex],0)),1,1,"")</f>
        <v>1</v>
      </c>
      <c r="AH132" s="127">
        <v>1</v>
      </c>
      <c r="AI132" s="128">
        <v>25</v>
      </c>
      <c r="AJ132" s="127">
        <v>0</v>
      </c>
      <c r="AK132" s="128">
        <v>0</v>
      </c>
      <c r="AL132" s="127">
        <v>0</v>
      </c>
      <c r="AM132" s="128">
        <v>0</v>
      </c>
      <c r="AN132" s="127">
        <v>3</v>
      </c>
      <c r="AO132" s="128">
        <v>75</v>
      </c>
      <c r="AP132" s="127">
        <v>4</v>
      </c>
    </row>
    <row r="133" spans="1:42" ht="15">
      <c r="A133" s="65" t="s">
        <v>328</v>
      </c>
      <c r="B133" s="65" t="s">
        <v>352</v>
      </c>
      <c r="C133" s="66" t="s">
        <v>1220</v>
      </c>
      <c r="D133" s="67">
        <v>3</v>
      </c>
      <c r="E133" s="68"/>
      <c r="F133" s="69">
        <v>40</v>
      </c>
      <c r="G133" s="66"/>
      <c r="H133" s="70"/>
      <c r="I133" s="71"/>
      <c r="J133" s="71"/>
      <c r="K133" s="35" t="s">
        <v>65</v>
      </c>
      <c r="L133" s="79">
        <v>133</v>
      </c>
      <c r="M133" s="79"/>
      <c r="N133" s="73"/>
      <c r="O133" s="90" t="s">
        <v>356</v>
      </c>
      <c r="P133" s="90" t="s">
        <v>212</v>
      </c>
      <c r="Q133" s="94" t="s">
        <v>478</v>
      </c>
      <c r="R133" s="90" t="s">
        <v>328</v>
      </c>
      <c r="S133" s="90" t="s">
        <v>607</v>
      </c>
      <c r="T133" s="96" t="str">
        <f>HYPERLINK("http://www.youtube.com/channel/UCSFVipfASWh43ZpnFG3Alvg")</f>
        <v>http://www.youtube.com/channel/UCSFVipfASWh43ZpnFG3Alvg</v>
      </c>
      <c r="U133" s="90"/>
      <c r="V133" s="90" t="s">
        <v>652</v>
      </c>
      <c r="W133" s="96" t="str">
        <f>HYPERLINK("https://www.youtube.com/watch?v=fK1_SH3X2ek")</f>
        <v>https://www.youtube.com/watch?v=fK1_SH3X2ek</v>
      </c>
      <c r="X133" s="90" t="s">
        <v>656</v>
      </c>
      <c r="Y133" s="90">
        <v>11</v>
      </c>
      <c r="Z133" s="99">
        <v>44126.85835648148</v>
      </c>
      <c r="AA133" s="99">
        <v>44126.85835648148</v>
      </c>
      <c r="AB133" s="90"/>
      <c r="AC133" s="90"/>
      <c r="AD133" s="94" t="s">
        <v>666</v>
      </c>
      <c r="AE133" s="92">
        <v>1</v>
      </c>
      <c r="AF133" s="93" t="str">
        <f>REPLACE(INDEX(GroupVertices[Group],MATCH(Edges[[#This Row],[Vertex 1]],GroupVertices[Vertex],0)),1,1,"")</f>
        <v>1</v>
      </c>
      <c r="AG133" s="93" t="str">
        <f>REPLACE(INDEX(GroupVertices[Group],MATCH(Edges[[#This Row],[Vertex 2]],GroupVertices[Vertex],0)),1,1,"")</f>
        <v>1</v>
      </c>
      <c r="AH133" s="127">
        <v>0</v>
      </c>
      <c r="AI133" s="128">
        <v>0</v>
      </c>
      <c r="AJ133" s="127">
        <v>0</v>
      </c>
      <c r="AK133" s="128">
        <v>0</v>
      </c>
      <c r="AL133" s="127">
        <v>0</v>
      </c>
      <c r="AM133" s="128">
        <v>0</v>
      </c>
      <c r="AN133" s="127">
        <v>10</v>
      </c>
      <c r="AO133" s="128">
        <v>100</v>
      </c>
      <c r="AP133" s="127">
        <v>10</v>
      </c>
    </row>
    <row r="134" spans="1:42" ht="15">
      <c r="A134" s="65" t="s">
        <v>329</v>
      </c>
      <c r="B134" s="65" t="s">
        <v>352</v>
      </c>
      <c r="C134" s="66" t="s">
        <v>1220</v>
      </c>
      <c r="D134" s="67">
        <v>3</v>
      </c>
      <c r="E134" s="68"/>
      <c r="F134" s="69">
        <v>40</v>
      </c>
      <c r="G134" s="66"/>
      <c r="H134" s="70"/>
      <c r="I134" s="71"/>
      <c r="J134" s="71"/>
      <c r="K134" s="35" t="s">
        <v>65</v>
      </c>
      <c r="L134" s="79">
        <v>134</v>
      </c>
      <c r="M134" s="79"/>
      <c r="N134" s="73"/>
      <c r="O134" s="90" t="s">
        <v>356</v>
      </c>
      <c r="P134" s="90" t="s">
        <v>212</v>
      </c>
      <c r="Q134" s="94" t="s">
        <v>479</v>
      </c>
      <c r="R134" s="90" t="s">
        <v>329</v>
      </c>
      <c r="S134" s="90" t="s">
        <v>608</v>
      </c>
      <c r="T134" s="96" t="str">
        <f>HYPERLINK("http://www.youtube.com/channel/UCmtBrY48_j-28UhxzpxRVyg")</f>
        <v>http://www.youtube.com/channel/UCmtBrY48_j-28UhxzpxRVyg</v>
      </c>
      <c r="U134" s="90"/>
      <c r="V134" s="90" t="s">
        <v>652</v>
      </c>
      <c r="W134" s="96" t="str">
        <f>HYPERLINK("https://www.youtube.com/watch?v=fK1_SH3X2ek")</f>
        <v>https://www.youtube.com/watch?v=fK1_SH3X2ek</v>
      </c>
      <c r="X134" s="90" t="s">
        <v>656</v>
      </c>
      <c r="Y134" s="90">
        <v>0</v>
      </c>
      <c r="Z134" s="99">
        <v>44132.10228009259</v>
      </c>
      <c r="AA134" s="99">
        <v>44132.10228009259</v>
      </c>
      <c r="AB134" s="90"/>
      <c r="AC134" s="90"/>
      <c r="AD134" s="94" t="s">
        <v>666</v>
      </c>
      <c r="AE134" s="92">
        <v>1</v>
      </c>
      <c r="AF134" s="93" t="str">
        <f>REPLACE(INDEX(GroupVertices[Group],MATCH(Edges[[#This Row],[Vertex 1]],GroupVertices[Vertex],0)),1,1,"")</f>
        <v>1</v>
      </c>
      <c r="AG134" s="93" t="str">
        <f>REPLACE(INDEX(GroupVertices[Group],MATCH(Edges[[#This Row],[Vertex 2]],GroupVertices[Vertex],0)),1,1,"")</f>
        <v>1</v>
      </c>
      <c r="AH134" s="127">
        <v>0</v>
      </c>
      <c r="AI134" s="128">
        <v>0</v>
      </c>
      <c r="AJ134" s="127">
        <v>0</v>
      </c>
      <c r="AK134" s="128">
        <v>0</v>
      </c>
      <c r="AL134" s="127">
        <v>0</v>
      </c>
      <c r="AM134" s="128">
        <v>0</v>
      </c>
      <c r="AN134" s="127">
        <v>1</v>
      </c>
      <c r="AO134" s="128">
        <v>100</v>
      </c>
      <c r="AP134" s="127">
        <v>1</v>
      </c>
    </row>
    <row r="135" spans="1:42" ht="15">
      <c r="A135" s="65" t="s">
        <v>321</v>
      </c>
      <c r="B135" s="65" t="s">
        <v>352</v>
      </c>
      <c r="C135" s="66" t="s">
        <v>1220</v>
      </c>
      <c r="D135" s="67">
        <v>3</v>
      </c>
      <c r="E135" s="68"/>
      <c r="F135" s="69">
        <v>40</v>
      </c>
      <c r="G135" s="66"/>
      <c r="H135" s="70"/>
      <c r="I135" s="71"/>
      <c r="J135" s="71"/>
      <c r="K135" s="35" t="s">
        <v>65</v>
      </c>
      <c r="L135" s="79">
        <v>135</v>
      </c>
      <c r="M135" s="79"/>
      <c r="N135" s="73"/>
      <c r="O135" s="90" t="s">
        <v>356</v>
      </c>
      <c r="P135" s="90" t="s">
        <v>212</v>
      </c>
      <c r="Q135" s="94" t="s">
        <v>480</v>
      </c>
      <c r="R135" s="90" t="s">
        <v>321</v>
      </c>
      <c r="S135" s="90" t="s">
        <v>600</v>
      </c>
      <c r="T135" s="96" t="str">
        <f>HYPERLINK("http://www.youtube.com/channel/UC1l0Bbv3upJ90bFKIfT2JCA")</f>
        <v>http://www.youtube.com/channel/UC1l0Bbv3upJ90bFKIfT2JCA</v>
      </c>
      <c r="U135" s="90"/>
      <c r="V135" s="90" t="s">
        <v>652</v>
      </c>
      <c r="W135" s="96" t="str">
        <f>HYPERLINK("https://www.youtube.com/watch?v=fK1_SH3X2ek")</f>
        <v>https://www.youtube.com/watch?v=fK1_SH3X2ek</v>
      </c>
      <c r="X135" s="90" t="s">
        <v>656</v>
      </c>
      <c r="Y135" s="90">
        <v>2</v>
      </c>
      <c r="Z135" s="99">
        <v>44135.352858796294</v>
      </c>
      <c r="AA135" s="99">
        <v>44135.352858796294</v>
      </c>
      <c r="AB135" s="90"/>
      <c r="AC135" s="90"/>
      <c r="AD135" s="94" t="s">
        <v>666</v>
      </c>
      <c r="AE135" s="92">
        <v>1</v>
      </c>
      <c r="AF135" s="93" t="str">
        <f>REPLACE(INDEX(GroupVertices[Group],MATCH(Edges[[#This Row],[Vertex 1]],GroupVertices[Vertex],0)),1,1,"")</f>
        <v>1</v>
      </c>
      <c r="AG135" s="93" t="str">
        <f>REPLACE(INDEX(GroupVertices[Group],MATCH(Edges[[#This Row],[Vertex 2]],GroupVertices[Vertex],0)),1,1,"")</f>
        <v>1</v>
      </c>
      <c r="AH135" s="127">
        <v>0</v>
      </c>
      <c r="AI135" s="128">
        <v>0</v>
      </c>
      <c r="AJ135" s="127">
        <v>0</v>
      </c>
      <c r="AK135" s="128">
        <v>0</v>
      </c>
      <c r="AL135" s="127">
        <v>0</v>
      </c>
      <c r="AM135" s="128">
        <v>0</v>
      </c>
      <c r="AN135" s="127">
        <v>1</v>
      </c>
      <c r="AO135" s="128">
        <v>100</v>
      </c>
      <c r="AP135" s="127">
        <v>1</v>
      </c>
    </row>
    <row r="136" spans="1:42" ht="15">
      <c r="A136" s="65" t="s">
        <v>330</v>
      </c>
      <c r="B136" s="65" t="s">
        <v>352</v>
      </c>
      <c r="C136" s="66" t="s">
        <v>1220</v>
      </c>
      <c r="D136" s="67">
        <v>3</v>
      </c>
      <c r="E136" s="68"/>
      <c r="F136" s="69">
        <v>40</v>
      </c>
      <c r="G136" s="66"/>
      <c r="H136" s="70"/>
      <c r="I136" s="71"/>
      <c r="J136" s="71"/>
      <c r="K136" s="35" t="s">
        <v>65</v>
      </c>
      <c r="L136" s="79">
        <v>136</v>
      </c>
      <c r="M136" s="79"/>
      <c r="N136" s="73"/>
      <c r="O136" s="90" t="s">
        <v>356</v>
      </c>
      <c r="P136" s="90" t="s">
        <v>212</v>
      </c>
      <c r="Q136" s="94" t="s">
        <v>481</v>
      </c>
      <c r="R136" s="90" t="s">
        <v>330</v>
      </c>
      <c r="S136" s="90" t="s">
        <v>609</v>
      </c>
      <c r="T136" s="96" t="str">
        <f>HYPERLINK("http://www.youtube.com/channel/UCkoGhJVmkMOztmnzPa30EWA")</f>
        <v>http://www.youtube.com/channel/UCkoGhJVmkMOztmnzPa30EWA</v>
      </c>
      <c r="U136" s="90"/>
      <c r="V136" s="90" t="s">
        <v>652</v>
      </c>
      <c r="W136" s="96" t="str">
        <f>HYPERLINK("https://www.youtube.com/watch?v=fK1_SH3X2ek")</f>
        <v>https://www.youtube.com/watch?v=fK1_SH3X2ek</v>
      </c>
      <c r="X136" s="90" t="s">
        <v>656</v>
      </c>
      <c r="Y136" s="90">
        <v>0</v>
      </c>
      <c r="Z136" s="99">
        <v>44140.27452546296</v>
      </c>
      <c r="AA136" s="99">
        <v>44140.27452546296</v>
      </c>
      <c r="AB136" s="90"/>
      <c r="AC136" s="90"/>
      <c r="AD136" s="94" t="s">
        <v>666</v>
      </c>
      <c r="AE136" s="92">
        <v>1</v>
      </c>
      <c r="AF136" s="93" t="str">
        <f>REPLACE(INDEX(GroupVertices[Group],MATCH(Edges[[#This Row],[Vertex 1]],GroupVertices[Vertex],0)),1,1,"")</f>
        <v>1</v>
      </c>
      <c r="AG136" s="93" t="str">
        <f>REPLACE(INDEX(GroupVertices[Group],MATCH(Edges[[#This Row],[Vertex 2]],GroupVertices[Vertex],0)),1,1,"")</f>
        <v>1</v>
      </c>
      <c r="AH136" s="127">
        <v>1</v>
      </c>
      <c r="AI136" s="128">
        <v>20</v>
      </c>
      <c r="AJ136" s="127">
        <v>0</v>
      </c>
      <c r="AK136" s="128">
        <v>0</v>
      </c>
      <c r="AL136" s="127">
        <v>0</v>
      </c>
      <c r="AM136" s="128">
        <v>0</v>
      </c>
      <c r="AN136" s="127">
        <v>4</v>
      </c>
      <c r="AO136" s="128">
        <v>80</v>
      </c>
      <c r="AP136" s="127">
        <v>5</v>
      </c>
    </row>
    <row r="137" spans="1:42" ht="15">
      <c r="A137" s="65" t="s">
        <v>331</v>
      </c>
      <c r="B137" s="65" t="s">
        <v>352</v>
      </c>
      <c r="C137" s="66" t="s">
        <v>1220</v>
      </c>
      <c r="D137" s="67">
        <v>3</v>
      </c>
      <c r="E137" s="68"/>
      <c r="F137" s="69">
        <v>40</v>
      </c>
      <c r="G137" s="66"/>
      <c r="H137" s="70"/>
      <c r="I137" s="71"/>
      <c r="J137" s="71"/>
      <c r="K137" s="35" t="s">
        <v>65</v>
      </c>
      <c r="L137" s="79">
        <v>137</v>
      </c>
      <c r="M137" s="79"/>
      <c r="N137" s="73"/>
      <c r="O137" s="90" t="s">
        <v>356</v>
      </c>
      <c r="P137" s="90" t="s">
        <v>212</v>
      </c>
      <c r="Q137" s="94" t="s">
        <v>379</v>
      </c>
      <c r="R137" s="90" t="s">
        <v>331</v>
      </c>
      <c r="S137" s="90" t="s">
        <v>610</v>
      </c>
      <c r="T137" s="96" t="str">
        <f>HYPERLINK("http://www.youtube.com/channel/UCUUcUvc-YNLzYoX7ztHzLsw")</f>
        <v>http://www.youtube.com/channel/UCUUcUvc-YNLzYoX7ztHzLsw</v>
      </c>
      <c r="U137" s="90"/>
      <c r="V137" s="90" t="s">
        <v>652</v>
      </c>
      <c r="W137" s="96" t="str">
        <f>HYPERLINK("https://www.youtube.com/watch?v=fK1_SH3X2ek")</f>
        <v>https://www.youtube.com/watch?v=fK1_SH3X2ek</v>
      </c>
      <c r="X137" s="90" t="s">
        <v>656</v>
      </c>
      <c r="Y137" s="90">
        <v>0</v>
      </c>
      <c r="Z137" s="99">
        <v>44144.153449074074</v>
      </c>
      <c r="AA137" s="99">
        <v>44144.153449074074</v>
      </c>
      <c r="AB137" s="90"/>
      <c r="AC137" s="90"/>
      <c r="AD137" s="94" t="s">
        <v>666</v>
      </c>
      <c r="AE137" s="92">
        <v>1</v>
      </c>
      <c r="AF137" s="93" t="str">
        <f>REPLACE(INDEX(GroupVertices[Group],MATCH(Edges[[#This Row],[Vertex 1]],GroupVertices[Vertex],0)),1,1,"")</f>
        <v>1</v>
      </c>
      <c r="AG137" s="93" t="str">
        <f>REPLACE(INDEX(GroupVertices[Group],MATCH(Edges[[#This Row],[Vertex 2]],GroupVertices[Vertex],0)),1,1,"")</f>
        <v>1</v>
      </c>
      <c r="AH137" s="127">
        <v>1</v>
      </c>
      <c r="AI137" s="128">
        <v>100</v>
      </c>
      <c r="AJ137" s="127">
        <v>0</v>
      </c>
      <c r="AK137" s="128">
        <v>0</v>
      </c>
      <c r="AL137" s="127">
        <v>0</v>
      </c>
      <c r="AM137" s="128">
        <v>0</v>
      </c>
      <c r="AN137" s="127">
        <v>0</v>
      </c>
      <c r="AO137" s="128">
        <v>0</v>
      </c>
      <c r="AP137" s="127">
        <v>1</v>
      </c>
    </row>
    <row r="138" spans="1:42" ht="15">
      <c r="A138" s="65" t="s">
        <v>332</v>
      </c>
      <c r="B138" s="65" t="s">
        <v>332</v>
      </c>
      <c r="C138" s="66" t="s">
        <v>1220</v>
      </c>
      <c r="D138" s="67">
        <v>3</v>
      </c>
      <c r="E138" s="68"/>
      <c r="F138" s="69">
        <v>40</v>
      </c>
      <c r="G138" s="66"/>
      <c r="H138" s="70"/>
      <c r="I138" s="71"/>
      <c r="J138" s="71"/>
      <c r="K138" s="35" t="s">
        <v>65</v>
      </c>
      <c r="L138" s="79">
        <v>138</v>
      </c>
      <c r="M138" s="79"/>
      <c r="N138" s="73"/>
      <c r="O138" s="90" t="s">
        <v>355</v>
      </c>
      <c r="P138" s="90" t="s">
        <v>358</v>
      </c>
      <c r="Q138" s="94" t="s">
        <v>482</v>
      </c>
      <c r="R138" s="90" t="s">
        <v>332</v>
      </c>
      <c r="S138" s="90" t="s">
        <v>611</v>
      </c>
      <c r="T138" s="96" t="str">
        <f>HYPERLINK("http://www.youtube.com/channel/UC-MVjybu6gbAbIDiQosKimA")</f>
        <v>http://www.youtube.com/channel/UC-MVjybu6gbAbIDiQosKimA</v>
      </c>
      <c r="U138" s="90" t="s">
        <v>645</v>
      </c>
      <c r="V138" s="90" t="s">
        <v>652</v>
      </c>
      <c r="W138" s="96" t="str">
        <f>HYPERLINK("https://www.youtube.com/watch?v=fK1_SH3X2ek")</f>
        <v>https://www.youtube.com/watch?v=fK1_SH3X2ek</v>
      </c>
      <c r="X138" s="90" t="s">
        <v>656</v>
      </c>
      <c r="Y138" s="90">
        <v>0</v>
      </c>
      <c r="Z138" s="99">
        <v>44155.014131944445</v>
      </c>
      <c r="AA138" s="99">
        <v>44155.014131944445</v>
      </c>
      <c r="AB138" s="90"/>
      <c r="AC138" s="90"/>
      <c r="AD138" s="94" t="s">
        <v>666</v>
      </c>
      <c r="AE138" s="92">
        <v>1</v>
      </c>
      <c r="AF138" s="93" t="str">
        <f>REPLACE(INDEX(GroupVertices[Group],MATCH(Edges[[#This Row],[Vertex 1]],GroupVertices[Vertex],0)),1,1,"")</f>
        <v>1</v>
      </c>
      <c r="AG138" s="93" t="str">
        <f>REPLACE(INDEX(GroupVertices[Group],MATCH(Edges[[#This Row],[Vertex 2]],GroupVertices[Vertex],0)),1,1,"")</f>
        <v>1</v>
      </c>
      <c r="AH138" s="127">
        <v>1</v>
      </c>
      <c r="AI138" s="128">
        <v>5.2631578947368425</v>
      </c>
      <c r="AJ138" s="127">
        <v>0</v>
      </c>
      <c r="AK138" s="128">
        <v>0</v>
      </c>
      <c r="AL138" s="127">
        <v>0</v>
      </c>
      <c r="AM138" s="128">
        <v>0</v>
      </c>
      <c r="AN138" s="127">
        <v>18</v>
      </c>
      <c r="AO138" s="128">
        <v>94.73684210526316</v>
      </c>
      <c r="AP138" s="127">
        <v>19</v>
      </c>
    </row>
    <row r="139" spans="1:42" ht="15">
      <c r="A139" s="65" t="s">
        <v>332</v>
      </c>
      <c r="B139" s="65" t="s">
        <v>352</v>
      </c>
      <c r="C139" s="66" t="s">
        <v>1220</v>
      </c>
      <c r="D139" s="67">
        <v>3</v>
      </c>
      <c r="E139" s="68"/>
      <c r="F139" s="69">
        <v>40</v>
      </c>
      <c r="G139" s="66"/>
      <c r="H139" s="70"/>
      <c r="I139" s="71"/>
      <c r="J139" s="71"/>
      <c r="K139" s="35" t="s">
        <v>65</v>
      </c>
      <c r="L139" s="79">
        <v>139</v>
      </c>
      <c r="M139" s="79"/>
      <c r="N139" s="73"/>
      <c r="O139" s="90" t="s">
        <v>356</v>
      </c>
      <c r="P139" s="90" t="s">
        <v>212</v>
      </c>
      <c r="Q139" s="94" t="s">
        <v>483</v>
      </c>
      <c r="R139" s="90" t="s">
        <v>332</v>
      </c>
      <c r="S139" s="90" t="s">
        <v>611</v>
      </c>
      <c r="T139" s="96" t="str">
        <f>HYPERLINK("http://www.youtube.com/channel/UC-MVjybu6gbAbIDiQosKimA")</f>
        <v>http://www.youtube.com/channel/UC-MVjybu6gbAbIDiQosKimA</v>
      </c>
      <c r="U139" s="90"/>
      <c r="V139" s="90" t="s">
        <v>652</v>
      </c>
      <c r="W139" s="96" t="str">
        <f>HYPERLINK("https://www.youtube.com/watch?v=fK1_SH3X2ek")</f>
        <v>https://www.youtube.com/watch?v=fK1_SH3X2ek</v>
      </c>
      <c r="X139" s="90" t="s">
        <v>656</v>
      </c>
      <c r="Y139" s="90">
        <v>0</v>
      </c>
      <c r="Z139" s="99">
        <v>44155.01318287037</v>
      </c>
      <c r="AA139" s="99">
        <v>44155.01318287037</v>
      </c>
      <c r="AB139" s="90"/>
      <c r="AC139" s="90"/>
      <c r="AD139" s="94" t="s">
        <v>666</v>
      </c>
      <c r="AE139" s="92">
        <v>1</v>
      </c>
      <c r="AF139" s="93" t="str">
        <f>REPLACE(INDEX(GroupVertices[Group],MATCH(Edges[[#This Row],[Vertex 1]],GroupVertices[Vertex],0)),1,1,"")</f>
        <v>1</v>
      </c>
      <c r="AG139" s="93" t="str">
        <f>REPLACE(INDEX(GroupVertices[Group],MATCH(Edges[[#This Row],[Vertex 2]],GroupVertices[Vertex],0)),1,1,"")</f>
        <v>1</v>
      </c>
      <c r="AH139" s="127">
        <v>0</v>
      </c>
      <c r="AI139" s="128">
        <v>0</v>
      </c>
      <c r="AJ139" s="127">
        <v>0</v>
      </c>
      <c r="AK139" s="128">
        <v>0</v>
      </c>
      <c r="AL139" s="127">
        <v>0</v>
      </c>
      <c r="AM139" s="128">
        <v>0</v>
      </c>
      <c r="AN139" s="127">
        <v>12</v>
      </c>
      <c r="AO139" s="128">
        <v>100</v>
      </c>
      <c r="AP139" s="127">
        <v>12</v>
      </c>
    </row>
    <row r="140" spans="1:42" ht="15">
      <c r="A140" s="65" t="s">
        <v>304</v>
      </c>
      <c r="B140" s="65" t="s">
        <v>352</v>
      </c>
      <c r="C140" s="66" t="s">
        <v>1220</v>
      </c>
      <c r="D140" s="67">
        <v>3</v>
      </c>
      <c r="E140" s="68"/>
      <c r="F140" s="69">
        <v>40</v>
      </c>
      <c r="G140" s="66"/>
      <c r="H140" s="70"/>
      <c r="I140" s="71"/>
      <c r="J140" s="71"/>
      <c r="K140" s="35" t="s">
        <v>65</v>
      </c>
      <c r="L140" s="79">
        <v>140</v>
      </c>
      <c r="M140" s="79"/>
      <c r="N140" s="73"/>
      <c r="O140" s="90" t="s">
        <v>356</v>
      </c>
      <c r="P140" s="90" t="s">
        <v>212</v>
      </c>
      <c r="Q140" s="94" t="s">
        <v>484</v>
      </c>
      <c r="R140" s="90" t="s">
        <v>304</v>
      </c>
      <c r="S140" s="90" t="s">
        <v>583</v>
      </c>
      <c r="T140" s="96" t="str">
        <f>HYPERLINK("http://www.youtube.com/channel/UCqTGL2iGxZBMK9l4EWPg1Ug")</f>
        <v>http://www.youtube.com/channel/UCqTGL2iGxZBMK9l4EWPg1Ug</v>
      </c>
      <c r="U140" s="90"/>
      <c r="V140" s="90" t="s">
        <v>652</v>
      </c>
      <c r="W140" s="96" t="str">
        <f>HYPERLINK("https://www.youtube.com/watch?v=fK1_SH3X2ek")</f>
        <v>https://www.youtube.com/watch?v=fK1_SH3X2ek</v>
      </c>
      <c r="X140" s="90" t="s">
        <v>656</v>
      </c>
      <c r="Y140" s="90">
        <v>3</v>
      </c>
      <c r="Z140" s="99">
        <v>44166.78351851852</v>
      </c>
      <c r="AA140" s="99">
        <v>44166.78351851852</v>
      </c>
      <c r="AB140" s="90" t="s">
        <v>661</v>
      </c>
      <c r="AC140" s="90" t="s">
        <v>665</v>
      </c>
      <c r="AD140" s="94" t="s">
        <v>666</v>
      </c>
      <c r="AE140" s="92">
        <v>1</v>
      </c>
      <c r="AF140" s="93" t="str">
        <f>REPLACE(INDEX(GroupVertices[Group],MATCH(Edges[[#This Row],[Vertex 1]],GroupVertices[Vertex],0)),1,1,"")</f>
        <v>5</v>
      </c>
      <c r="AG140" s="93" t="str">
        <f>REPLACE(INDEX(GroupVertices[Group],MATCH(Edges[[#This Row],[Vertex 2]],GroupVertices[Vertex],0)),1,1,"")</f>
        <v>1</v>
      </c>
      <c r="AH140" s="127">
        <v>0</v>
      </c>
      <c r="AI140" s="128">
        <v>0</v>
      </c>
      <c r="AJ140" s="127">
        <v>0</v>
      </c>
      <c r="AK140" s="128">
        <v>0</v>
      </c>
      <c r="AL140" s="127">
        <v>0</v>
      </c>
      <c r="AM140" s="128">
        <v>0</v>
      </c>
      <c r="AN140" s="127">
        <v>21</v>
      </c>
      <c r="AO140" s="128">
        <v>100</v>
      </c>
      <c r="AP140" s="127">
        <v>21</v>
      </c>
    </row>
    <row r="141" spans="1:42" ht="15">
      <c r="A141" s="65" t="s">
        <v>333</v>
      </c>
      <c r="B141" s="65" t="s">
        <v>334</v>
      </c>
      <c r="C141" s="66" t="s">
        <v>1220</v>
      </c>
      <c r="D141" s="67">
        <v>3</v>
      </c>
      <c r="E141" s="68"/>
      <c r="F141" s="69">
        <v>40</v>
      </c>
      <c r="G141" s="66"/>
      <c r="H141" s="70"/>
      <c r="I141" s="71"/>
      <c r="J141" s="71"/>
      <c r="K141" s="35" t="s">
        <v>65</v>
      </c>
      <c r="L141" s="79">
        <v>141</v>
      </c>
      <c r="M141" s="79"/>
      <c r="N141" s="73"/>
      <c r="O141" s="90" t="s">
        <v>355</v>
      </c>
      <c r="P141" s="90" t="s">
        <v>358</v>
      </c>
      <c r="Q141" s="94" t="s">
        <v>485</v>
      </c>
      <c r="R141" s="90" t="s">
        <v>333</v>
      </c>
      <c r="S141" s="90" t="s">
        <v>612</v>
      </c>
      <c r="T141" s="96" t="str">
        <f>HYPERLINK("http://www.youtube.com/channel/UC6E4aPR3UIKueoV4Zv4vCeA")</f>
        <v>http://www.youtube.com/channel/UC6E4aPR3UIKueoV4Zv4vCeA</v>
      </c>
      <c r="U141" s="90" t="s">
        <v>646</v>
      </c>
      <c r="V141" s="90" t="s">
        <v>652</v>
      </c>
      <c r="W141" s="96" t="str">
        <f>HYPERLINK("https://www.youtube.com/watch?v=fK1_SH3X2ek")</f>
        <v>https://www.youtube.com/watch?v=fK1_SH3X2ek</v>
      </c>
      <c r="X141" s="90" t="s">
        <v>656</v>
      </c>
      <c r="Y141" s="90">
        <v>0</v>
      </c>
      <c r="Z141" s="99">
        <v>44260.78045138889</v>
      </c>
      <c r="AA141" s="99">
        <v>44260.78045138889</v>
      </c>
      <c r="AB141" s="90"/>
      <c r="AC141" s="90"/>
      <c r="AD141" s="94" t="s">
        <v>666</v>
      </c>
      <c r="AE141" s="92">
        <v>1</v>
      </c>
      <c r="AF141" s="93" t="str">
        <f>REPLACE(INDEX(GroupVertices[Group],MATCH(Edges[[#This Row],[Vertex 1]],GroupVertices[Vertex],0)),1,1,"")</f>
        <v>10</v>
      </c>
      <c r="AG141" s="93" t="str">
        <f>REPLACE(INDEX(GroupVertices[Group],MATCH(Edges[[#This Row],[Vertex 2]],GroupVertices[Vertex],0)),1,1,"")</f>
        <v>10</v>
      </c>
      <c r="AH141" s="127">
        <v>0</v>
      </c>
      <c r="AI141" s="128">
        <v>0</v>
      </c>
      <c r="AJ141" s="127">
        <v>0</v>
      </c>
      <c r="AK141" s="128">
        <v>0</v>
      </c>
      <c r="AL141" s="127">
        <v>0</v>
      </c>
      <c r="AM141" s="128">
        <v>0</v>
      </c>
      <c r="AN141" s="127">
        <v>3</v>
      </c>
      <c r="AO141" s="128">
        <v>100</v>
      </c>
      <c r="AP141" s="127">
        <v>3</v>
      </c>
    </row>
    <row r="142" spans="1:42" ht="15">
      <c r="A142" s="65" t="s">
        <v>334</v>
      </c>
      <c r="B142" s="65" t="s">
        <v>352</v>
      </c>
      <c r="C142" s="66" t="s">
        <v>1220</v>
      </c>
      <c r="D142" s="67">
        <v>3</v>
      </c>
      <c r="E142" s="68"/>
      <c r="F142" s="69">
        <v>40</v>
      </c>
      <c r="G142" s="66"/>
      <c r="H142" s="70"/>
      <c r="I142" s="71"/>
      <c r="J142" s="71"/>
      <c r="K142" s="35" t="s">
        <v>65</v>
      </c>
      <c r="L142" s="79">
        <v>142</v>
      </c>
      <c r="M142" s="79"/>
      <c r="N142" s="73"/>
      <c r="O142" s="90" t="s">
        <v>356</v>
      </c>
      <c r="P142" s="90" t="s">
        <v>212</v>
      </c>
      <c r="Q142" s="94" t="s">
        <v>486</v>
      </c>
      <c r="R142" s="90" t="s">
        <v>334</v>
      </c>
      <c r="S142" s="90" t="s">
        <v>613</v>
      </c>
      <c r="T142" s="96" t="str">
        <f>HYPERLINK("http://www.youtube.com/channel/UCgquf9LuuyNk4tYNC7gZKgg")</f>
        <v>http://www.youtube.com/channel/UCgquf9LuuyNk4tYNC7gZKgg</v>
      </c>
      <c r="U142" s="90"/>
      <c r="V142" s="90" t="s">
        <v>652</v>
      </c>
      <c r="W142" s="96" t="str">
        <f>HYPERLINK("https://www.youtube.com/watch?v=fK1_SH3X2ek")</f>
        <v>https://www.youtube.com/watch?v=fK1_SH3X2ek</v>
      </c>
      <c r="X142" s="90" t="s">
        <v>656</v>
      </c>
      <c r="Y142" s="90">
        <v>8</v>
      </c>
      <c r="Z142" s="99">
        <v>44173.063622685186</v>
      </c>
      <c r="AA142" s="99">
        <v>44173.063622685186</v>
      </c>
      <c r="AB142" s="90"/>
      <c r="AC142" s="90"/>
      <c r="AD142" s="94" t="s">
        <v>666</v>
      </c>
      <c r="AE142" s="92">
        <v>1</v>
      </c>
      <c r="AF142" s="93" t="str">
        <f>REPLACE(INDEX(GroupVertices[Group],MATCH(Edges[[#This Row],[Vertex 1]],GroupVertices[Vertex],0)),1,1,"")</f>
        <v>10</v>
      </c>
      <c r="AG142" s="93" t="str">
        <f>REPLACE(INDEX(GroupVertices[Group],MATCH(Edges[[#This Row],[Vertex 2]],GroupVertices[Vertex],0)),1,1,"")</f>
        <v>1</v>
      </c>
      <c r="AH142" s="127">
        <v>0</v>
      </c>
      <c r="AI142" s="128">
        <v>0</v>
      </c>
      <c r="AJ142" s="127">
        <v>0</v>
      </c>
      <c r="AK142" s="128">
        <v>0</v>
      </c>
      <c r="AL142" s="127">
        <v>0</v>
      </c>
      <c r="AM142" s="128">
        <v>0</v>
      </c>
      <c r="AN142" s="127">
        <v>12</v>
      </c>
      <c r="AO142" s="128">
        <v>100</v>
      </c>
      <c r="AP142" s="127">
        <v>12</v>
      </c>
    </row>
    <row r="143" spans="1:42" ht="15">
      <c r="A143" s="65" t="s">
        <v>335</v>
      </c>
      <c r="B143" s="65" t="s">
        <v>352</v>
      </c>
      <c r="C143" s="66" t="s">
        <v>1220</v>
      </c>
      <c r="D143" s="67">
        <v>3</v>
      </c>
      <c r="E143" s="68"/>
      <c r="F143" s="69">
        <v>40</v>
      </c>
      <c r="G143" s="66"/>
      <c r="H143" s="70"/>
      <c r="I143" s="71"/>
      <c r="J143" s="71"/>
      <c r="K143" s="35" t="s">
        <v>65</v>
      </c>
      <c r="L143" s="79">
        <v>143</v>
      </c>
      <c r="M143" s="79"/>
      <c r="N143" s="73"/>
      <c r="O143" s="90" t="s">
        <v>356</v>
      </c>
      <c r="P143" s="90" t="s">
        <v>212</v>
      </c>
      <c r="Q143" s="94" t="s">
        <v>487</v>
      </c>
      <c r="R143" s="90" t="s">
        <v>335</v>
      </c>
      <c r="S143" s="90" t="s">
        <v>614</v>
      </c>
      <c r="T143" s="96" t="str">
        <f>HYPERLINK("http://www.youtube.com/channel/UCPO2vYJeMPUThpD2I7nA5KQ")</f>
        <v>http://www.youtube.com/channel/UCPO2vYJeMPUThpD2I7nA5KQ</v>
      </c>
      <c r="U143" s="90"/>
      <c r="V143" s="90" t="s">
        <v>652</v>
      </c>
      <c r="W143" s="96" t="str">
        <f>HYPERLINK("https://www.youtube.com/watch?v=fK1_SH3X2ek")</f>
        <v>https://www.youtube.com/watch?v=fK1_SH3X2ek</v>
      </c>
      <c r="X143" s="90" t="s">
        <v>656</v>
      </c>
      <c r="Y143" s="90">
        <v>0</v>
      </c>
      <c r="Z143" s="99">
        <v>44209.728900462964</v>
      </c>
      <c r="AA143" s="99">
        <v>44209.728900462964</v>
      </c>
      <c r="AB143" s="90"/>
      <c r="AC143" s="90"/>
      <c r="AD143" s="94" t="s">
        <v>666</v>
      </c>
      <c r="AE143" s="92">
        <v>1</v>
      </c>
      <c r="AF143" s="93" t="str">
        <f>REPLACE(INDEX(GroupVertices[Group],MATCH(Edges[[#This Row],[Vertex 1]],GroupVertices[Vertex],0)),1,1,"")</f>
        <v>1</v>
      </c>
      <c r="AG143" s="93" t="str">
        <f>REPLACE(INDEX(GroupVertices[Group],MATCH(Edges[[#This Row],[Vertex 2]],GroupVertices[Vertex],0)),1,1,"")</f>
        <v>1</v>
      </c>
      <c r="AH143" s="127">
        <v>0</v>
      </c>
      <c r="AI143" s="128">
        <v>0</v>
      </c>
      <c r="AJ143" s="127">
        <v>0</v>
      </c>
      <c r="AK143" s="128">
        <v>0</v>
      </c>
      <c r="AL143" s="127">
        <v>0</v>
      </c>
      <c r="AM143" s="128">
        <v>0</v>
      </c>
      <c r="AN143" s="127">
        <v>1</v>
      </c>
      <c r="AO143" s="128">
        <v>100</v>
      </c>
      <c r="AP143" s="127">
        <v>1</v>
      </c>
    </row>
    <row r="144" spans="1:42" ht="15">
      <c r="A144" s="65" t="s">
        <v>336</v>
      </c>
      <c r="B144" s="65" t="s">
        <v>352</v>
      </c>
      <c r="C144" s="66" t="s">
        <v>1220</v>
      </c>
      <c r="D144" s="67">
        <v>3</v>
      </c>
      <c r="E144" s="68"/>
      <c r="F144" s="69">
        <v>40</v>
      </c>
      <c r="G144" s="66"/>
      <c r="H144" s="70"/>
      <c r="I144" s="71"/>
      <c r="J144" s="71"/>
      <c r="K144" s="35" t="s">
        <v>65</v>
      </c>
      <c r="L144" s="79">
        <v>144</v>
      </c>
      <c r="M144" s="79"/>
      <c r="N144" s="73"/>
      <c r="O144" s="90" t="s">
        <v>356</v>
      </c>
      <c r="P144" s="90" t="s">
        <v>212</v>
      </c>
      <c r="Q144" s="94" t="s">
        <v>488</v>
      </c>
      <c r="R144" s="90" t="s">
        <v>336</v>
      </c>
      <c r="S144" s="90" t="s">
        <v>615</v>
      </c>
      <c r="T144" s="96" t="str">
        <f>HYPERLINK("http://www.youtube.com/channel/UChTJoaRW4cXLkDd7UQsILEw")</f>
        <v>http://www.youtube.com/channel/UChTJoaRW4cXLkDd7UQsILEw</v>
      </c>
      <c r="U144" s="90"/>
      <c r="V144" s="90" t="s">
        <v>652</v>
      </c>
      <c r="W144" s="96" t="str">
        <f>HYPERLINK("https://www.youtube.com/watch?v=fK1_SH3X2ek")</f>
        <v>https://www.youtube.com/watch?v=fK1_SH3X2ek</v>
      </c>
      <c r="X144" s="90" t="s">
        <v>656</v>
      </c>
      <c r="Y144" s="90">
        <v>1</v>
      </c>
      <c r="Z144" s="99">
        <v>44219.67701388889</v>
      </c>
      <c r="AA144" s="99">
        <v>44219.67701388889</v>
      </c>
      <c r="AB144" s="90"/>
      <c r="AC144" s="90"/>
      <c r="AD144" s="94" t="s">
        <v>666</v>
      </c>
      <c r="AE144" s="92">
        <v>1</v>
      </c>
      <c r="AF144" s="93" t="str">
        <f>REPLACE(INDEX(GroupVertices[Group],MATCH(Edges[[#This Row],[Vertex 1]],GroupVertices[Vertex],0)),1,1,"")</f>
        <v>1</v>
      </c>
      <c r="AG144" s="93" t="str">
        <f>REPLACE(INDEX(GroupVertices[Group],MATCH(Edges[[#This Row],[Vertex 2]],GroupVertices[Vertex],0)),1,1,"")</f>
        <v>1</v>
      </c>
      <c r="AH144" s="127">
        <v>0</v>
      </c>
      <c r="AI144" s="128">
        <v>0</v>
      </c>
      <c r="AJ144" s="127">
        <v>0</v>
      </c>
      <c r="AK144" s="128">
        <v>0</v>
      </c>
      <c r="AL144" s="127">
        <v>0</v>
      </c>
      <c r="AM144" s="128">
        <v>0</v>
      </c>
      <c r="AN144" s="127">
        <v>9</v>
      </c>
      <c r="AO144" s="128">
        <v>100</v>
      </c>
      <c r="AP144" s="127">
        <v>9</v>
      </c>
    </row>
    <row r="145" spans="1:42" ht="15">
      <c r="A145" s="65" t="s">
        <v>315</v>
      </c>
      <c r="B145" s="65" t="s">
        <v>305</v>
      </c>
      <c r="C145" s="66" t="s">
        <v>1220</v>
      </c>
      <c r="D145" s="67">
        <v>3</v>
      </c>
      <c r="E145" s="68"/>
      <c r="F145" s="69">
        <v>40</v>
      </c>
      <c r="G145" s="66"/>
      <c r="H145" s="70"/>
      <c r="I145" s="71"/>
      <c r="J145" s="71"/>
      <c r="K145" s="35" t="s">
        <v>65</v>
      </c>
      <c r="L145" s="79">
        <v>145</v>
      </c>
      <c r="M145" s="79"/>
      <c r="N145" s="73"/>
      <c r="O145" s="90" t="s">
        <v>355</v>
      </c>
      <c r="P145" s="90" t="s">
        <v>358</v>
      </c>
      <c r="Q145" s="94" t="s">
        <v>489</v>
      </c>
      <c r="R145" s="90" t="s">
        <v>315</v>
      </c>
      <c r="S145" s="90" t="s">
        <v>594</v>
      </c>
      <c r="T145" s="96" t="str">
        <f>HYPERLINK("http://www.youtube.com/channel/UCnRYGBsqdgTYMJN96h4DoTQ")</f>
        <v>http://www.youtube.com/channel/UCnRYGBsqdgTYMJN96h4DoTQ</v>
      </c>
      <c r="U145" s="90" t="s">
        <v>647</v>
      </c>
      <c r="V145" s="90" t="s">
        <v>652</v>
      </c>
      <c r="W145" s="96" t="str">
        <f>HYPERLINK("https://www.youtube.com/watch?v=fK1_SH3X2ek")</f>
        <v>https://www.youtube.com/watch?v=fK1_SH3X2ek</v>
      </c>
      <c r="X145" s="90" t="s">
        <v>656</v>
      </c>
      <c r="Y145" s="90">
        <v>1</v>
      </c>
      <c r="Z145" s="99">
        <v>44361.660416666666</v>
      </c>
      <c r="AA145" s="99">
        <v>44361.660416666666</v>
      </c>
      <c r="AB145" s="90"/>
      <c r="AC145" s="90"/>
      <c r="AD145" s="94" t="s">
        <v>666</v>
      </c>
      <c r="AE145" s="92">
        <v>1</v>
      </c>
      <c r="AF145" s="93" t="str">
        <f>REPLACE(INDEX(GroupVertices[Group],MATCH(Edges[[#This Row],[Vertex 1]],GroupVertices[Vertex],0)),1,1,"")</f>
        <v>5</v>
      </c>
      <c r="AG145" s="93" t="str">
        <f>REPLACE(INDEX(GroupVertices[Group],MATCH(Edges[[#This Row],[Vertex 2]],GroupVertices[Vertex],0)),1,1,"")</f>
        <v>5</v>
      </c>
      <c r="AH145" s="127">
        <v>0</v>
      </c>
      <c r="AI145" s="128">
        <v>0</v>
      </c>
      <c r="AJ145" s="127">
        <v>0</v>
      </c>
      <c r="AK145" s="128">
        <v>0</v>
      </c>
      <c r="AL145" s="127">
        <v>0</v>
      </c>
      <c r="AM145" s="128">
        <v>0</v>
      </c>
      <c r="AN145" s="127">
        <v>2</v>
      </c>
      <c r="AO145" s="128">
        <v>100</v>
      </c>
      <c r="AP145" s="127">
        <v>2</v>
      </c>
    </row>
    <row r="146" spans="1:42" ht="15">
      <c r="A146" s="65" t="s">
        <v>305</v>
      </c>
      <c r="B146" s="65" t="s">
        <v>352</v>
      </c>
      <c r="C146" s="66" t="s">
        <v>1220</v>
      </c>
      <c r="D146" s="67">
        <v>3</v>
      </c>
      <c r="E146" s="68"/>
      <c r="F146" s="69">
        <v>40</v>
      </c>
      <c r="G146" s="66"/>
      <c r="H146" s="70"/>
      <c r="I146" s="71"/>
      <c r="J146" s="71"/>
      <c r="K146" s="35" t="s">
        <v>65</v>
      </c>
      <c r="L146" s="79">
        <v>146</v>
      </c>
      <c r="M146" s="79"/>
      <c r="N146" s="73"/>
      <c r="O146" s="90" t="s">
        <v>356</v>
      </c>
      <c r="P146" s="90" t="s">
        <v>212</v>
      </c>
      <c r="Q146" s="94" t="s">
        <v>490</v>
      </c>
      <c r="R146" s="90" t="s">
        <v>305</v>
      </c>
      <c r="S146" s="90" t="s">
        <v>584</v>
      </c>
      <c r="T146" s="96" t="str">
        <f>HYPERLINK("http://www.youtube.com/channel/UCXptVAEtFVNWoBYkirxhSHg")</f>
        <v>http://www.youtube.com/channel/UCXptVAEtFVNWoBYkirxhSHg</v>
      </c>
      <c r="U146" s="90"/>
      <c r="V146" s="90" t="s">
        <v>652</v>
      </c>
      <c r="W146" s="96" t="str">
        <f>HYPERLINK("https://www.youtube.com/watch?v=fK1_SH3X2ek")</f>
        <v>https://www.youtube.com/watch?v=fK1_SH3X2ek</v>
      </c>
      <c r="X146" s="90" t="s">
        <v>656</v>
      </c>
      <c r="Y146" s="90">
        <v>19</v>
      </c>
      <c r="Z146" s="99">
        <v>44221.23532407408</v>
      </c>
      <c r="AA146" s="99">
        <v>44221.23532407408</v>
      </c>
      <c r="AB146" s="90"/>
      <c r="AC146" s="90"/>
      <c r="AD146" s="94" t="s">
        <v>666</v>
      </c>
      <c r="AE146" s="92">
        <v>1</v>
      </c>
      <c r="AF146" s="93" t="str">
        <f>REPLACE(INDEX(GroupVertices[Group],MATCH(Edges[[#This Row],[Vertex 1]],GroupVertices[Vertex],0)),1,1,"")</f>
        <v>5</v>
      </c>
      <c r="AG146" s="93" t="str">
        <f>REPLACE(INDEX(GroupVertices[Group],MATCH(Edges[[#This Row],[Vertex 2]],GroupVertices[Vertex],0)),1,1,"")</f>
        <v>1</v>
      </c>
      <c r="AH146" s="127">
        <v>0</v>
      </c>
      <c r="AI146" s="128">
        <v>0</v>
      </c>
      <c r="AJ146" s="127">
        <v>0</v>
      </c>
      <c r="AK146" s="128">
        <v>0</v>
      </c>
      <c r="AL146" s="127">
        <v>0</v>
      </c>
      <c r="AM146" s="128">
        <v>0</v>
      </c>
      <c r="AN146" s="127">
        <v>8</v>
      </c>
      <c r="AO146" s="128">
        <v>100</v>
      </c>
      <c r="AP146" s="127">
        <v>8</v>
      </c>
    </row>
    <row r="147" spans="1:42" ht="15">
      <c r="A147" s="65" t="s">
        <v>306</v>
      </c>
      <c r="B147" s="65" t="s">
        <v>352</v>
      </c>
      <c r="C147" s="66" t="s">
        <v>1220</v>
      </c>
      <c r="D147" s="67">
        <v>3</v>
      </c>
      <c r="E147" s="68"/>
      <c r="F147" s="69">
        <v>40</v>
      </c>
      <c r="G147" s="66"/>
      <c r="H147" s="70"/>
      <c r="I147" s="71"/>
      <c r="J147" s="71"/>
      <c r="K147" s="35" t="s">
        <v>65</v>
      </c>
      <c r="L147" s="79">
        <v>147</v>
      </c>
      <c r="M147" s="79"/>
      <c r="N147" s="73"/>
      <c r="O147" s="90" t="s">
        <v>356</v>
      </c>
      <c r="P147" s="90" t="s">
        <v>212</v>
      </c>
      <c r="Q147" s="94" t="s">
        <v>491</v>
      </c>
      <c r="R147" s="90" t="s">
        <v>306</v>
      </c>
      <c r="S147" s="90" t="s">
        <v>585</v>
      </c>
      <c r="T147" s="96" t="str">
        <f>HYPERLINK("http://www.youtube.com/channel/UCYbcr3YlItwbRXxWJhXfPMQ")</f>
        <v>http://www.youtube.com/channel/UCYbcr3YlItwbRXxWJhXfPMQ</v>
      </c>
      <c r="U147" s="90"/>
      <c r="V147" s="90" t="s">
        <v>652</v>
      </c>
      <c r="W147" s="96" t="str">
        <f>HYPERLINK("https://www.youtube.com/watch?v=fK1_SH3X2ek")</f>
        <v>https://www.youtube.com/watch?v=fK1_SH3X2ek</v>
      </c>
      <c r="X147" s="90" t="s">
        <v>656</v>
      </c>
      <c r="Y147" s="90">
        <v>0</v>
      </c>
      <c r="Z147" s="99">
        <v>44235.783113425925</v>
      </c>
      <c r="AA147" s="99">
        <v>44235.783113425925</v>
      </c>
      <c r="AB147" s="90"/>
      <c r="AC147" s="90"/>
      <c r="AD147" s="94" t="s">
        <v>666</v>
      </c>
      <c r="AE147" s="92">
        <v>1</v>
      </c>
      <c r="AF147" s="93" t="str">
        <f>REPLACE(INDEX(GroupVertices[Group],MATCH(Edges[[#This Row],[Vertex 1]],GroupVertices[Vertex],0)),1,1,"")</f>
        <v>2</v>
      </c>
      <c r="AG147" s="93" t="str">
        <f>REPLACE(INDEX(GroupVertices[Group],MATCH(Edges[[#This Row],[Vertex 2]],GroupVertices[Vertex],0)),1,1,"")</f>
        <v>1</v>
      </c>
      <c r="AH147" s="127">
        <v>0</v>
      </c>
      <c r="AI147" s="128">
        <v>0</v>
      </c>
      <c r="AJ147" s="127">
        <v>0</v>
      </c>
      <c r="AK147" s="128">
        <v>0</v>
      </c>
      <c r="AL147" s="127">
        <v>0</v>
      </c>
      <c r="AM147" s="128">
        <v>0</v>
      </c>
      <c r="AN147" s="127">
        <v>10</v>
      </c>
      <c r="AO147" s="128">
        <v>100</v>
      </c>
      <c r="AP147" s="127">
        <v>10</v>
      </c>
    </row>
    <row r="148" spans="1:42" ht="15">
      <c r="A148" s="65" t="s">
        <v>337</v>
      </c>
      <c r="B148" s="65" t="s">
        <v>352</v>
      </c>
      <c r="C148" s="66" t="s">
        <v>1220</v>
      </c>
      <c r="D148" s="67">
        <v>3</v>
      </c>
      <c r="E148" s="68"/>
      <c r="F148" s="69">
        <v>40</v>
      </c>
      <c r="G148" s="66"/>
      <c r="H148" s="70"/>
      <c r="I148" s="71"/>
      <c r="J148" s="71"/>
      <c r="K148" s="35" t="s">
        <v>65</v>
      </c>
      <c r="L148" s="79">
        <v>148</v>
      </c>
      <c r="M148" s="79"/>
      <c r="N148" s="73"/>
      <c r="O148" s="90" t="s">
        <v>356</v>
      </c>
      <c r="P148" s="90" t="s">
        <v>212</v>
      </c>
      <c r="Q148" s="94" t="s">
        <v>492</v>
      </c>
      <c r="R148" s="90" t="s">
        <v>337</v>
      </c>
      <c r="S148" s="90" t="s">
        <v>616</v>
      </c>
      <c r="T148" s="96" t="str">
        <f>HYPERLINK("http://www.youtube.com/channel/UCHmOPF4RgEpc7Cn_fQchGLw")</f>
        <v>http://www.youtube.com/channel/UCHmOPF4RgEpc7Cn_fQchGLw</v>
      </c>
      <c r="U148" s="90"/>
      <c r="V148" s="90" t="s">
        <v>652</v>
      </c>
      <c r="W148" s="96" t="str">
        <f>HYPERLINK("https://www.youtube.com/watch?v=fK1_SH3X2ek")</f>
        <v>https://www.youtube.com/watch?v=fK1_SH3X2ek</v>
      </c>
      <c r="X148" s="90" t="s">
        <v>656</v>
      </c>
      <c r="Y148" s="90">
        <v>0</v>
      </c>
      <c r="Z148" s="99">
        <v>44240.46387731482</v>
      </c>
      <c r="AA148" s="99">
        <v>44240.46387731482</v>
      </c>
      <c r="AB148" s="90"/>
      <c r="AC148" s="90"/>
      <c r="AD148" s="94" t="s">
        <v>666</v>
      </c>
      <c r="AE148" s="92">
        <v>1</v>
      </c>
      <c r="AF148" s="93" t="str">
        <f>REPLACE(INDEX(GroupVertices[Group],MATCH(Edges[[#This Row],[Vertex 1]],GroupVertices[Vertex],0)),1,1,"")</f>
        <v>1</v>
      </c>
      <c r="AG148" s="93" t="str">
        <f>REPLACE(INDEX(GroupVertices[Group],MATCH(Edges[[#This Row],[Vertex 2]],GroupVertices[Vertex],0)),1,1,"")</f>
        <v>1</v>
      </c>
      <c r="AH148" s="127">
        <v>0</v>
      </c>
      <c r="AI148" s="128">
        <v>0</v>
      </c>
      <c r="AJ148" s="127">
        <v>0</v>
      </c>
      <c r="AK148" s="128">
        <v>0</v>
      </c>
      <c r="AL148" s="127">
        <v>0</v>
      </c>
      <c r="AM148" s="128">
        <v>0</v>
      </c>
      <c r="AN148" s="127">
        <v>7</v>
      </c>
      <c r="AO148" s="128">
        <v>100</v>
      </c>
      <c r="AP148" s="127">
        <v>7</v>
      </c>
    </row>
    <row r="149" spans="1:42" ht="15">
      <c r="A149" s="65" t="s">
        <v>338</v>
      </c>
      <c r="B149" s="65" t="s">
        <v>352</v>
      </c>
      <c r="C149" s="66" t="s">
        <v>1220</v>
      </c>
      <c r="D149" s="67">
        <v>3</v>
      </c>
      <c r="E149" s="68"/>
      <c r="F149" s="69">
        <v>40</v>
      </c>
      <c r="G149" s="66"/>
      <c r="H149" s="70"/>
      <c r="I149" s="71"/>
      <c r="J149" s="71"/>
      <c r="K149" s="35" t="s">
        <v>65</v>
      </c>
      <c r="L149" s="79">
        <v>149</v>
      </c>
      <c r="M149" s="79"/>
      <c r="N149" s="73"/>
      <c r="O149" s="90" t="s">
        <v>356</v>
      </c>
      <c r="P149" s="90" t="s">
        <v>212</v>
      </c>
      <c r="Q149" s="94" t="s">
        <v>493</v>
      </c>
      <c r="R149" s="90" t="s">
        <v>338</v>
      </c>
      <c r="S149" s="90" t="s">
        <v>617</v>
      </c>
      <c r="T149" s="96" t="str">
        <f>HYPERLINK("http://www.youtube.com/channel/UCruo99Y6FBB2DcBuWKn4lsw")</f>
        <v>http://www.youtube.com/channel/UCruo99Y6FBB2DcBuWKn4lsw</v>
      </c>
      <c r="U149" s="90"/>
      <c r="V149" s="90" t="s">
        <v>652</v>
      </c>
      <c r="W149" s="96" t="str">
        <f>HYPERLINK("https://www.youtube.com/watch?v=fK1_SH3X2ek")</f>
        <v>https://www.youtube.com/watch?v=fK1_SH3X2ek</v>
      </c>
      <c r="X149" s="90" t="s">
        <v>656</v>
      </c>
      <c r="Y149" s="90">
        <v>1</v>
      </c>
      <c r="Z149" s="99">
        <v>44248.15825231482</v>
      </c>
      <c r="AA149" s="99">
        <v>44248.15825231482</v>
      </c>
      <c r="AB149" s="90"/>
      <c r="AC149" s="90"/>
      <c r="AD149" s="94" t="s">
        <v>666</v>
      </c>
      <c r="AE149" s="92">
        <v>1</v>
      </c>
      <c r="AF149" s="93" t="str">
        <f>REPLACE(INDEX(GroupVertices[Group],MATCH(Edges[[#This Row],[Vertex 1]],GroupVertices[Vertex],0)),1,1,"")</f>
        <v>1</v>
      </c>
      <c r="AG149" s="93" t="str">
        <f>REPLACE(INDEX(GroupVertices[Group],MATCH(Edges[[#This Row],[Vertex 2]],GroupVertices[Vertex],0)),1,1,"")</f>
        <v>1</v>
      </c>
      <c r="AH149" s="127">
        <v>0</v>
      </c>
      <c r="AI149" s="128">
        <v>0</v>
      </c>
      <c r="AJ149" s="127">
        <v>0</v>
      </c>
      <c r="AK149" s="128">
        <v>0</v>
      </c>
      <c r="AL149" s="127">
        <v>0</v>
      </c>
      <c r="AM149" s="128">
        <v>0</v>
      </c>
      <c r="AN149" s="127">
        <v>5</v>
      </c>
      <c r="AO149" s="128">
        <v>100</v>
      </c>
      <c r="AP149" s="127">
        <v>5</v>
      </c>
    </row>
    <row r="150" spans="1:42" ht="15">
      <c r="A150" s="65" t="s">
        <v>339</v>
      </c>
      <c r="B150" s="65" t="s">
        <v>352</v>
      </c>
      <c r="C150" s="66" t="s">
        <v>1220</v>
      </c>
      <c r="D150" s="67">
        <v>3</v>
      </c>
      <c r="E150" s="68"/>
      <c r="F150" s="69">
        <v>40</v>
      </c>
      <c r="G150" s="66"/>
      <c r="H150" s="70"/>
      <c r="I150" s="71"/>
      <c r="J150" s="71"/>
      <c r="K150" s="35" t="s">
        <v>65</v>
      </c>
      <c r="L150" s="79">
        <v>150</v>
      </c>
      <c r="M150" s="79"/>
      <c r="N150" s="73"/>
      <c r="O150" s="90" t="s">
        <v>356</v>
      </c>
      <c r="P150" s="90" t="s">
        <v>212</v>
      </c>
      <c r="Q150" s="94" t="s">
        <v>494</v>
      </c>
      <c r="R150" s="90" t="s">
        <v>339</v>
      </c>
      <c r="S150" s="90" t="s">
        <v>618</v>
      </c>
      <c r="T150" s="96" t="str">
        <f>HYPERLINK("http://www.youtube.com/channel/UChDxGApugufXgdbkew0BHEA")</f>
        <v>http://www.youtube.com/channel/UChDxGApugufXgdbkew0BHEA</v>
      </c>
      <c r="U150" s="90"/>
      <c r="V150" s="90" t="s">
        <v>652</v>
      </c>
      <c r="W150" s="96" t="str">
        <f>HYPERLINK("https://www.youtube.com/watch?v=fK1_SH3X2ek")</f>
        <v>https://www.youtube.com/watch?v=fK1_SH3X2ek</v>
      </c>
      <c r="X150" s="90" t="s">
        <v>656</v>
      </c>
      <c r="Y150" s="90">
        <v>2</v>
      </c>
      <c r="Z150" s="99">
        <v>44266.142743055556</v>
      </c>
      <c r="AA150" s="99">
        <v>44266.142743055556</v>
      </c>
      <c r="AB150" s="90"/>
      <c r="AC150" s="90"/>
      <c r="AD150" s="94" t="s">
        <v>666</v>
      </c>
      <c r="AE150" s="92">
        <v>1</v>
      </c>
      <c r="AF150" s="93" t="str">
        <f>REPLACE(INDEX(GroupVertices[Group],MATCH(Edges[[#This Row],[Vertex 1]],GroupVertices[Vertex],0)),1,1,"")</f>
        <v>1</v>
      </c>
      <c r="AG150" s="93" t="str">
        <f>REPLACE(INDEX(GroupVertices[Group],MATCH(Edges[[#This Row],[Vertex 2]],GroupVertices[Vertex],0)),1,1,"")</f>
        <v>1</v>
      </c>
      <c r="AH150" s="127">
        <v>0</v>
      </c>
      <c r="AI150" s="128">
        <v>0</v>
      </c>
      <c r="AJ150" s="127">
        <v>0</v>
      </c>
      <c r="AK150" s="128">
        <v>0</v>
      </c>
      <c r="AL150" s="127">
        <v>0</v>
      </c>
      <c r="AM150" s="128">
        <v>0</v>
      </c>
      <c r="AN150" s="127">
        <v>10</v>
      </c>
      <c r="AO150" s="128">
        <v>100</v>
      </c>
      <c r="AP150" s="127">
        <v>10</v>
      </c>
    </row>
    <row r="151" spans="1:42" ht="15">
      <c r="A151" s="65" t="s">
        <v>340</v>
      </c>
      <c r="B151" s="65" t="s">
        <v>352</v>
      </c>
      <c r="C151" s="66" t="s">
        <v>1220</v>
      </c>
      <c r="D151" s="67">
        <v>3</v>
      </c>
      <c r="E151" s="68"/>
      <c r="F151" s="69">
        <v>40</v>
      </c>
      <c r="G151" s="66"/>
      <c r="H151" s="70"/>
      <c r="I151" s="71"/>
      <c r="J151" s="71"/>
      <c r="K151" s="35" t="s">
        <v>65</v>
      </c>
      <c r="L151" s="79">
        <v>151</v>
      </c>
      <c r="M151" s="79"/>
      <c r="N151" s="73"/>
      <c r="O151" s="90" t="s">
        <v>356</v>
      </c>
      <c r="P151" s="90" t="s">
        <v>212</v>
      </c>
      <c r="Q151" s="94" t="s">
        <v>495</v>
      </c>
      <c r="R151" s="90" t="s">
        <v>340</v>
      </c>
      <c r="S151" s="90" t="s">
        <v>619</v>
      </c>
      <c r="T151" s="96" t="str">
        <f>HYPERLINK("http://www.youtube.com/channel/UCGG7n9NThURR_CUkef32Y9Q")</f>
        <v>http://www.youtube.com/channel/UCGG7n9NThURR_CUkef32Y9Q</v>
      </c>
      <c r="U151" s="90"/>
      <c r="V151" s="90" t="s">
        <v>652</v>
      </c>
      <c r="W151" s="96" t="str">
        <f>HYPERLINK("https://www.youtube.com/watch?v=fK1_SH3X2ek")</f>
        <v>https://www.youtube.com/watch?v=fK1_SH3X2ek</v>
      </c>
      <c r="X151" s="90" t="s">
        <v>656</v>
      </c>
      <c r="Y151" s="90">
        <v>0</v>
      </c>
      <c r="Z151" s="99">
        <v>44298.281956018516</v>
      </c>
      <c r="AA151" s="99">
        <v>44298.281956018516</v>
      </c>
      <c r="AB151" s="90"/>
      <c r="AC151" s="90"/>
      <c r="AD151" s="94" t="s">
        <v>666</v>
      </c>
      <c r="AE151" s="92">
        <v>1</v>
      </c>
      <c r="AF151" s="93" t="str">
        <f>REPLACE(INDEX(GroupVertices[Group],MATCH(Edges[[#This Row],[Vertex 1]],GroupVertices[Vertex],0)),1,1,"")</f>
        <v>1</v>
      </c>
      <c r="AG151" s="93" t="str">
        <f>REPLACE(INDEX(GroupVertices[Group],MATCH(Edges[[#This Row],[Vertex 2]],GroupVertices[Vertex],0)),1,1,"")</f>
        <v>1</v>
      </c>
      <c r="AH151" s="127">
        <v>0</v>
      </c>
      <c r="AI151" s="128">
        <v>0</v>
      </c>
      <c r="AJ151" s="127">
        <v>0</v>
      </c>
      <c r="AK151" s="128">
        <v>0</v>
      </c>
      <c r="AL151" s="127">
        <v>0</v>
      </c>
      <c r="AM151" s="128">
        <v>0</v>
      </c>
      <c r="AN151" s="127">
        <v>2</v>
      </c>
      <c r="AO151" s="128">
        <v>100</v>
      </c>
      <c r="AP151" s="127">
        <v>2</v>
      </c>
    </row>
    <row r="152" spans="1:42" ht="15">
      <c r="A152" s="65" t="s">
        <v>341</v>
      </c>
      <c r="B152" s="65" t="s">
        <v>352</v>
      </c>
      <c r="C152" s="66" t="s">
        <v>1220</v>
      </c>
      <c r="D152" s="67">
        <v>3</v>
      </c>
      <c r="E152" s="68"/>
      <c r="F152" s="69">
        <v>40</v>
      </c>
      <c r="G152" s="66"/>
      <c r="H152" s="70"/>
      <c r="I152" s="71"/>
      <c r="J152" s="71"/>
      <c r="K152" s="35" t="s">
        <v>65</v>
      </c>
      <c r="L152" s="79">
        <v>152</v>
      </c>
      <c r="M152" s="79"/>
      <c r="N152" s="73"/>
      <c r="O152" s="90" t="s">
        <v>356</v>
      </c>
      <c r="P152" s="90" t="s">
        <v>212</v>
      </c>
      <c r="Q152" s="94" t="s">
        <v>496</v>
      </c>
      <c r="R152" s="90" t="s">
        <v>341</v>
      </c>
      <c r="S152" s="90" t="s">
        <v>620</v>
      </c>
      <c r="T152" s="96" t="str">
        <f>HYPERLINK("http://www.youtube.com/channel/UCQpqRbnxeGP47QFTnpEkY8Q")</f>
        <v>http://www.youtube.com/channel/UCQpqRbnxeGP47QFTnpEkY8Q</v>
      </c>
      <c r="U152" s="90"/>
      <c r="V152" s="90" t="s">
        <v>652</v>
      </c>
      <c r="W152" s="96" t="str">
        <f>HYPERLINK("https://www.youtube.com/watch?v=fK1_SH3X2ek")</f>
        <v>https://www.youtube.com/watch?v=fK1_SH3X2ek</v>
      </c>
      <c r="X152" s="90" t="s">
        <v>656</v>
      </c>
      <c r="Y152" s="90">
        <v>0</v>
      </c>
      <c r="Z152" s="99">
        <v>44299.11267361111</v>
      </c>
      <c r="AA152" s="99">
        <v>44299.11267361111</v>
      </c>
      <c r="AB152" s="90"/>
      <c r="AC152" s="90"/>
      <c r="AD152" s="94" t="s">
        <v>666</v>
      </c>
      <c r="AE152" s="92">
        <v>1</v>
      </c>
      <c r="AF152" s="93" t="str">
        <f>REPLACE(INDEX(GroupVertices[Group],MATCH(Edges[[#This Row],[Vertex 1]],GroupVertices[Vertex],0)),1,1,"")</f>
        <v>1</v>
      </c>
      <c r="AG152" s="93" t="str">
        <f>REPLACE(INDEX(GroupVertices[Group],MATCH(Edges[[#This Row],[Vertex 2]],GroupVertices[Vertex],0)),1,1,"")</f>
        <v>1</v>
      </c>
      <c r="AH152" s="127">
        <v>1</v>
      </c>
      <c r="AI152" s="128">
        <v>6.25</v>
      </c>
      <c r="AJ152" s="127">
        <v>1</v>
      </c>
      <c r="AK152" s="128">
        <v>6.25</v>
      </c>
      <c r="AL152" s="127">
        <v>0</v>
      </c>
      <c r="AM152" s="128">
        <v>0</v>
      </c>
      <c r="AN152" s="127">
        <v>14</v>
      </c>
      <c r="AO152" s="128">
        <v>87.5</v>
      </c>
      <c r="AP152" s="127">
        <v>16</v>
      </c>
    </row>
    <row r="153" spans="1:42" ht="15">
      <c r="A153" s="65" t="s">
        <v>307</v>
      </c>
      <c r="B153" s="65" t="s">
        <v>352</v>
      </c>
      <c r="C153" s="66" t="s">
        <v>1220</v>
      </c>
      <c r="D153" s="67">
        <v>3</v>
      </c>
      <c r="E153" s="68"/>
      <c r="F153" s="69">
        <v>40</v>
      </c>
      <c r="G153" s="66"/>
      <c r="H153" s="70"/>
      <c r="I153" s="71"/>
      <c r="J153" s="71"/>
      <c r="K153" s="35" t="s">
        <v>65</v>
      </c>
      <c r="L153" s="79">
        <v>153</v>
      </c>
      <c r="M153" s="79"/>
      <c r="N153" s="73"/>
      <c r="O153" s="90" t="s">
        <v>356</v>
      </c>
      <c r="P153" s="90" t="s">
        <v>212</v>
      </c>
      <c r="Q153" s="94" t="s">
        <v>497</v>
      </c>
      <c r="R153" s="90" t="s">
        <v>307</v>
      </c>
      <c r="S153" s="90" t="s">
        <v>586</v>
      </c>
      <c r="T153" s="96" t="str">
        <f>HYPERLINK("http://www.youtube.com/channel/UCF5ChGDslgBBC95Q2q_mqTA")</f>
        <v>http://www.youtube.com/channel/UCF5ChGDslgBBC95Q2q_mqTA</v>
      </c>
      <c r="U153" s="90"/>
      <c r="V153" s="90" t="s">
        <v>652</v>
      </c>
      <c r="W153" s="96" t="str">
        <f>HYPERLINK("https://www.youtube.com/watch?v=fK1_SH3X2ek")</f>
        <v>https://www.youtube.com/watch?v=fK1_SH3X2ek</v>
      </c>
      <c r="X153" s="90" t="s">
        <v>656</v>
      </c>
      <c r="Y153" s="90">
        <v>0</v>
      </c>
      <c r="Z153" s="99">
        <v>44307.91670138889</v>
      </c>
      <c r="AA153" s="99">
        <v>44307.91670138889</v>
      </c>
      <c r="AB153" s="90"/>
      <c r="AC153" s="90"/>
      <c r="AD153" s="94" t="s">
        <v>666</v>
      </c>
      <c r="AE153" s="92">
        <v>1</v>
      </c>
      <c r="AF153" s="93" t="str">
        <f>REPLACE(INDEX(GroupVertices[Group],MATCH(Edges[[#This Row],[Vertex 1]],GroupVertices[Vertex],0)),1,1,"")</f>
        <v>5</v>
      </c>
      <c r="AG153" s="93" t="str">
        <f>REPLACE(INDEX(GroupVertices[Group],MATCH(Edges[[#This Row],[Vertex 2]],GroupVertices[Vertex],0)),1,1,"")</f>
        <v>1</v>
      </c>
      <c r="AH153" s="127">
        <v>0</v>
      </c>
      <c r="AI153" s="128">
        <v>0</v>
      </c>
      <c r="AJ153" s="127">
        <v>1</v>
      </c>
      <c r="AK153" s="128">
        <v>20</v>
      </c>
      <c r="AL153" s="127">
        <v>0</v>
      </c>
      <c r="AM153" s="128">
        <v>0</v>
      </c>
      <c r="AN153" s="127">
        <v>4</v>
      </c>
      <c r="AO153" s="128">
        <v>80</v>
      </c>
      <c r="AP153" s="127">
        <v>5</v>
      </c>
    </row>
    <row r="154" spans="1:42" ht="15">
      <c r="A154" s="65" t="s">
        <v>342</v>
      </c>
      <c r="B154" s="65" t="s">
        <v>343</v>
      </c>
      <c r="C154" s="66" t="s">
        <v>1220</v>
      </c>
      <c r="D154" s="67">
        <v>3</v>
      </c>
      <c r="E154" s="68"/>
      <c r="F154" s="69">
        <v>40</v>
      </c>
      <c r="G154" s="66"/>
      <c r="H154" s="70"/>
      <c r="I154" s="71"/>
      <c r="J154" s="71"/>
      <c r="K154" s="35" t="s">
        <v>65</v>
      </c>
      <c r="L154" s="79">
        <v>154</v>
      </c>
      <c r="M154" s="79"/>
      <c r="N154" s="73"/>
      <c r="O154" s="90" t="s">
        <v>355</v>
      </c>
      <c r="P154" s="90" t="s">
        <v>358</v>
      </c>
      <c r="Q154" s="94" t="s">
        <v>498</v>
      </c>
      <c r="R154" s="90" t="s">
        <v>342</v>
      </c>
      <c r="S154" s="90" t="s">
        <v>621</v>
      </c>
      <c r="T154" s="96" t="str">
        <f>HYPERLINK("http://www.youtube.com/channel/UCxWv4IME8TBjpAxZTkah88g")</f>
        <v>http://www.youtube.com/channel/UCxWv4IME8TBjpAxZTkah88g</v>
      </c>
      <c r="U154" s="90" t="s">
        <v>648</v>
      </c>
      <c r="V154" s="90" t="s">
        <v>652</v>
      </c>
      <c r="W154" s="96" t="str">
        <f>HYPERLINK("https://www.youtube.com/watch?v=fK1_SH3X2ek")</f>
        <v>https://www.youtube.com/watch?v=fK1_SH3X2ek</v>
      </c>
      <c r="X154" s="90" t="s">
        <v>656</v>
      </c>
      <c r="Y154" s="90">
        <v>1</v>
      </c>
      <c r="Z154" s="99">
        <v>44319.69375</v>
      </c>
      <c r="AA154" s="99">
        <v>44319.69375</v>
      </c>
      <c r="AB154" s="90"/>
      <c r="AC154" s="90"/>
      <c r="AD154" s="94" t="s">
        <v>666</v>
      </c>
      <c r="AE154" s="92">
        <v>1</v>
      </c>
      <c r="AF154" s="93" t="str">
        <f>REPLACE(INDEX(GroupVertices[Group],MATCH(Edges[[#This Row],[Vertex 1]],GroupVertices[Vertex],0)),1,1,"")</f>
        <v>9</v>
      </c>
      <c r="AG154" s="93" t="str">
        <f>REPLACE(INDEX(GroupVertices[Group],MATCH(Edges[[#This Row],[Vertex 2]],GroupVertices[Vertex],0)),1,1,"")</f>
        <v>9</v>
      </c>
      <c r="AH154" s="127">
        <v>0</v>
      </c>
      <c r="AI154" s="128">
        <v>0</v>
      </c>
      <c r="AJ154" s="127">
        <v>0</v>
      </c>
      <c r="AK154" s="128">
        <v>0</v>
      </c>
      <c r="AL154" s="127">
        <v>0</v>
      </c>
      <c r="AM154" s="128">
        <v>0</v>
      </c>
      <c r="AN154" s="127">
        <v>1</v>
      </c>
      <c r="AO154" s="128">
        <v>100</v>
      </c>
      <c r="AP154" s="127">
        <v>1</v>
      </c>
    </row>
    <row r="155" spans="1:42" ht="15">
      <c r="A155" s="65" t="s">
        <v>343</v>
      </c>
      <c r="B155" s="65" t="s">
        <v>352</v>
      </c>
      <c r="C155" s="66" t="s">
        <v>1220</v>
      </c>
      <c r="D155" s="67">
        <v>3</v>
      </c>
      <c r="E155" s="68"/>
      <c r="F155" s="69">
        <v>40</v>
      </c>
      <c r="G155" s="66"/>
      <c r="H155" s="70"/>
      <c r="I155" s="71"/>
      <c r="J155" s="71"/>
      <c r="K155" s="35" t="s">
        <v>65</v>
      </c>
      <c r="L155" s="79">
        <v>155</v>
      </c>
      <c r="M155" s="79"/>
      <c r="N155" s="73"/>
      <c r="O155" s="90" t="s">
        <v>356</v>
      </c>
      <c r="P155" s="90" t="s">
        <v>212</v>
      </c>
      <c r="Q155" s="94" t="s">
        <v>499</v>
      </c>
      <c r="R155" s="90" t="s">
        <v>343</v>
      </c>
      <c r="S155" s="90" t="s">
        <v>622</v>
      </c>
      <c r="T155" s="96" t="str">
        <f>HYPERLINK("http://www.youtube.com/channel/UC_V7nOjrL1MJU2JZ-6wyrXg")</f>
        <v>http://www.youtube.com/channel/UC_V7nOjrL1MJU2JZ-6wyrXg</v>
      </c>
      <c r="U155" s="90"/>
      <c r="V155" s="90" t="s">
        <v>652</v>
      </c>
      <c r="W155" s="96" t="str">
        <f>HYPERLINK("https://www.youtube.com/watch?v=fK1_SH3X2ek")</f>
        <v>https://www.youtube.com/watch?v=fK1_SH3X2ek</v>
      </c>
      <c r="X155" s="90" t="s">
        <v>656</v>
      </c>
      <c r="Y155" s="90">
        <v>0</v>
      </c>
      <c r="Z155" s="99">
        <v>44319.6684837963</v>
      </c>
      <c r="AA155" s="99">
        <v>44319.6684837963</v>
      </c>
      <c r="AB155" s="90"/>
      <c r="AC155" s="90"/>
      <c r="AD155" s="94" t="s">
        <v>666</v>
      </c>
      <c r="AE155" s="92">
        <v>1</v>
      </c>
      <c r="AF155" s="93" t="str">
        <f>REPLACE(INDEX(GroupVertices[Group],MATCH(Edges[[#This Row],[Vertex 1]],GroupVertices[Vertex],0)),1,1,"")</f>
        <v>9</v>
      </c>
      <c r="AG155" s="93" t="str">
        <f>REPLACE(INDEX(GroupVertices[Group],MATCH(Edges[[#This Row],[Vertex 2]],GroupVertices[Vertex],0)),1,1,"")</f>
        <v>1</v>
      </c>
      <c r="AH155" s="127">
        <v>0</v>
      </c>
      <c r="AI155" s="128">
        <v>0</v>
      </c>
      <c r="AJ155" s="127">
        <v>0</v>
      </c>
      <c r="AK155" s="128">
        <v>0</v>
      </c>
      <c r="AL155" s="127">
        <v>0</v>
      </c>
      <c r="AM155" s="128">
        <v>0</v>
      </c>
      <c r="AN155" s="127">
        <v>7</v>
      </c>
      <c r="AO155" s="128">
        <v>100</v>
      </c>
      <c r="AP155" s="127">
        <v>7</v>
      </c>
    </row>
    <row r="156" spans="1:42" ht="15">
      <c r="A156" s="65" t="s">
        <v>344</v>
      </c>
      <c r="B156" s="65" t="s">
        <v>352</v>
      </c>
      <c r="C156" s="66" t="s">
        <v>1220</v>
      </c>
      <c r="D156" s="67">
        <v>3</v>
      </c>
      <c r="E156" s="68"/>
      <c r="F156" s="69">
        <v>40</v>
      </c>
      <c r="G156" s="66"/>
      <c r="H156" s="70"/>
      <c r="I156" s="71"/>
      <c r="J156" s="71"/>
      <c r="K156" s="35" t="s">
        <v>65</v>
      </c>
      <c r="L156" s="79">
        <v>156</v>
      </c>
      <c r="M156" s="79"/>
      <c r="N156" s="73"/>
      <c r="O156" s="90" t="s">
        <v>356</v>
      </c>
      <c r="P156" s="90" t="s">
        <v>212</v>
      </c>
      <c r="Q156" s="94" t="s">
        <v>500</v>
      </c>
      <c r="R156" s="90" t="s">
        <v>344</v>
      </c>
      <c r="S156" s="90" t="s">
        <v>623</v>
      </c>
      <c r="T156" s="96" t="str">
        <f>HYPERLINK("http://www.youtube.com/channel/UCbieuM_WCd6wC0enOietzdQ")</f>
        <v>http://www.youtube.com/channel/UCbieuM_WCd6wC0enOietzdQ</v>
      </c>
      <c r="U156" s="90"/>
      <c r="V156" s="90" t="s">
        <v>652</v>
      </c>
      <c r="W156" s="96" t="str">
        <f>HYPERLINK("https://www.youtube.com/watch?v=fK1_SH3X2ek")</f>
        <v>https://www.youtube.com/watch?v=fK1_SH3X2ek</v>
      </c>
      <c r="X156" s="90" t="s">
        <v>656</v>
      </c>
      <c r="Y156" s="90">
        <v>0</v>
      </c>
      <c r="Z156" s="99">
        <v>44321.39302083333</v>
      </c>
      <c r="AA156" s="99">
        <v>44321.39302083333</v>
      </c>
      <c r="AB156" s="90"/>
      <c r="AC156" s="90"/>
      <c r="AD156" s="94" t="s">
        <v>666</v>
      </c>
      <c r="AE156" s="92">
        <v>1</v>
      </c>
      <c r="AF156" s="93" t="str">
        <f>REPLACE(INDEX(GroupVertices[Group],MATCH(Edges[[#This Row],[Vertex 1]],GroupVertices[Vertex],0)),1,1,"")</f>
        <v>1</v>
      </c>
      <c r="AG156" s="93" t="str">
        <f>REPLACE(INDEX(GroupVertices[Group],MATCH(Edges[[#This Row],[Vertex 2]],GroupVertices[Vertex],0)),1,1,"")</f>
        <v>1</v>
      </c>
      <c r="AH156" s="127">
        <v>0</v>
      </c>
      <c r="AI156" s="128">
        <v>0</v>
      </c>
      <c r="AJ156" s="127">
        <v>0</v>
      </c>
      <c r="AK156" s="128">
        <v>0</v>
      </c>
      <c r="AL156" s="127">
        <v>0</v>
      </c>
      <c r="AM156" s="128">
        <v>0</v>
      </c>
      <c r="AN156" s="127">
        <v>9</v>
      </c>
      <c r="AO156" s="128">
        <v>100</v>
      </c>
      <c r="AP156" s="127">
        <v>9</v>
      </c>
    </row>
    <row r="157" spans="1:42" ht="15">
      <c r="A157" s="65" t="s">
        <v>345</v>
      </c>
      <c r="B157" s="65" t="s">
        <v>352</v>
      </c>
      <c r="C157" s="66" t="s">
        <v>1220</v>
      </c>
      <c r="D157" s="67">
        <v>3</v>
      </c>
      <c r="E157" s="68"/>
      <c r="F157" s="69">
        <v>40</v>
      </c>
      <c r="G157" s="66"/>
      <c r="H157" s="70"/>
      <c r="I157" s="71"/>
      <c r="J157" s="71"/>
      <c r="K157" s="35" t="s">
        <v>65</v>
      </c>
      <c r="L157" s="79">
        <v>157</v>
      </c>
      <c r="M157" s="79"/>
      <c r="N157" s="73"/>
      <c r="O157" s="90" t="s">
        <v>356</v>
      </c>
      <c r="P157" s="90" t="s">
        <v>212</v>
      </c>
      <c r="Q157" s="94" t="s">
        <v>501</v>
      </c>
      <c r="R157" s="90" t="s">
        <v>345</v>
      </c>
      <c r="S157" s="90" t="s">
        <v>624</v>
      </c>
      <c r="T157" s="96" t="str">
        <f>HYPERLINK("http://www.youtube.com/channel/UCchgbiZujU7ZKwdY5B2hoeA")</f>
        <v>http://www.youtube.com/channel/UCchgbiZujU7ZKwdY5B2hoeA</v>
      </c>
      <c r="U157" s="90"/>
      <c r="V157" s="90" t="s">
        <v>652</v>
      </c>
      <c r="W157" s="96" t="str">
        <f>HYPERLINK("https://www.youtube.com/watch?v=fK1_SH3X2ek")</f>
        <v>https://www.youtube.com/watch?v=fK1_SH3X2ek</v>
      </c>
      <c r="X157" s="90" t="s">
        <v>656</v>
      </c>
      <c r="Y157" s="90">
        <v>0</v>
      </c>
      <c r="Z157" s="99">
        <v>44340.60013888889</v>
      </c>
      <c r="AA157" s="99">
        <v>44340.60013888889</v>
      </c>
      <c r="AB157" s="90"/>
      <c r="AC157" s="90"/>
      <c r="AD157" s="94" t="s">
        <v>666</v>
      </c>
      <c r="AE157" s="92">
        <v>1</v>
      </c>
      <c r="AF157" s="93" t="str">
        <f>REPLACE(INDEX(GroupVertices[Group],MATCH(Edges[[#This Row],[Vertex 1]],GroupVertices[Vertex],0)),1,1,"")</f>
        <v>1</v>
      </c>
      <c r="AG157" s="93" t="str">
        <f>REPLACE(INDEX(GroupVertices[Group],MATCH(Edges[[#This Row],[Vertex 2]],GroupVertices[Vertex],0)),1,1,"")</f>
        <v>1</v>
      </c>
      <c r="AH157" s="127">
        <v>0</v>
      </c>
      <c r="AI157" s="128">
        <v>0</v>
      </c>
      <c r="AJ157" s="127">
        <v>3</v>
      </c>
      <c r="AK157" s="128">
        <v>4.477611940298507</v>
      </c>
      <c r="AL157" s="127">
        <v>0</v>
      </c>
      <c r="AM157" s="128">
        <v>0</v>
      </c>
      <c r="AN157" s="127">
        <v>64</v>
      </c>
      <c r="AO157" s="128">
        <v>95.5223880597015</v>
      </c>
      <c r="AP157" s="127">
        <v>67</v>
      </c>
    </row>
    <row r="158" spans="1:42" ht="15">
      <c r="A158" s="65" t="s">
        <v>346</v>
      </c>
      <c r="B158" s="65" t="s">
        <v>352</v>
      </c>
      <c r="C158" s="66" t="s">
        <v>1220</v>
      </c>
      <c r="D158" s="67">
        <v>3</v>
      </c>
      <c r="E158" s="68"/>
      <c r="F158" s="69">
        <v>40</v>
      </c>
      <c r="G158" s="66"/>
      <c r="H158" s="70"/>
      <c r="I158" s="71"/>
      <c r="J158" s="71"/>
      <c r="K158" s="35" t="s">
        <v>65</v>
      </c>
      <c r="L158" s="79">
        <v>158</v>
      </c>
      <c r="M158" s="79"/>
      <c r="N158" s="73"/>
      <c r="O158" s="90" t="s">
        <v>356</v>
      </c>
      <c r="P158" s="90" t="s">
        <v>212</v>
      </c>
      <c r="Q158" s="94" t="s">
        <v>502</v>
      </c>
      <c r="R158" s="90" t="s">
        <v>346</v>
      </c>
      <c r="S158" s="90" t="s">
        <v>625</v>
      </c>
      <c r="T158" s="96" t="str">
        <f>HYPERLINK("http://www.youtube.com/channel/UCoIUMLg-qptX6fVqZEBPm-w")</f>
        <v>http://www.youtube.com/channel/UCoIUMLg-qptX6fVqZEBPm-w</v>
      </c>
      <c r="U158" s="90"/>
      <c r="V158" s="90" t="s">
        <v>652</v>
      </c>
      <c r="W158" s="96" t="str">
        <f>HYPERLINK("https://www.youtube.com/watch?v=fK1_SH3X2ek")</f>
        <v>https://www.youtube.com/watch?v=fK1_SH3X2ek</v>
      </c>
      <c r="X158" s="90" t="s">
        <v>656</v>
      </c>
      <c r="Y158" s="90">
        <v>0</v>
      </c>
      <c r="Z158" s="99">
        <v>44351.85496527778</v>
      </c>
      <c r="AA158" s="99">
        <v>44351.85496527778</v>
      </c>
      <c r="AB158" s="90"/>
      <c r="AC158" s="90"/>
      <c r="AD158" s="94" t="s">
        <v>666</v>
      </c>
      <c r="AE158" s="92">
        <v>1</v>
      </c>
      <c r="AF158" s="93" t="str">
        <f>REPLACE(INDEX(GroupVertices[Group],MATCH(Edges[[#This Row],[Vertex 1]],GroupVertices[Vertex],0)),1,1,"")</f>
        <v>1</v>
      </c>
      <c r="AG158" s="93" t="str">
        <f>REPLACE(INDEX(GroupVertices[Group],MATCH(Edges[[#This Row],[Vertex 2]],GroupVertices[Vertex],0)),1,1,"")</f>
        <v>1</v>
      </c>
      <c r="AH158" s="127">
        <v>0</v>
      </c>
      <c r="AI158" s="128">
        <v>0</v>
      </c>
      <c r="AJ158" s="127">
        <v>0</v>
      </c>
      <c r="AK158" s="128">
        <v>0</v>
      </c>
      <c r="AL158" s="127">
        <v>0</v>
      </c>
      <c r="AM158" s="128">
        <v>0</v>
      </c>
      <c r="AN158" s="127">
        <v>14</v>
      </c>
      <c r="AO158" s="128">
        <v>100</v>
      </c>
      <c r="AP158" s="127">
        <v>14</v>
      </c>
    </row>
    <row r="159" spans="1:42" ht="15">
      <c r="A159" s="65" t="s">
        <v>347</v>
      </c>
      <c r="B159" s="65" t="s">
        <v>352</v>
      </c>
      <c r="C159" s="66" t="s">
        <v>1220</v>
      </c>
      <c r="D159" s="67">
        <v>3</v>
      </c>
      <c r="E159" s="68"/>
      <c r="F159" s="69">
        <v>40</v>
      </c>
      <c r="G159" s="66"/>
      <c r="H159" s="70"/>
      <c r="I159" s="71"/>
      <c r="J159" s="71"/>
      <c r="K159" s="35" t="s">
        <v>65</v>
      </c>
      <c r="L159" s="79">
        <v>159</v>
      </c>
      <c r="M159" s="79"/>
      <c r="N159" s="73"/>
      <c r="O159" s="90" t="s">
        <v>356</v>
      </c>
      <c r="P159" s="90" t="s">
        <v>212</v>
      </c>
      <c r="Q159" s="94" t="s">
        <v>503</v>
      </c>
      <c r="R159" s="90" t="s">
        <v>347</v>
      </c>
      <c r="S159" s="90" t="s">
        <v>626</v>
      </c>
      <c r="T159" s="96" t="str">
        <f>HYPERLINK("http://www.youtube.com/channel/UCZj8Z6LdulS3k7YTTxz6iUQ")</f>
        <v>http://www.youtube.com/channel/UCZj8Z6LdulS3k7YTTxz6iUQ</v>
      </c>
      <c r="U159" s="90"/>
      <c r="V159" s="90" t="s">
        <v>652</v>
      </c>
      <c r="W159" s="96" t="str">
        <f>HYPERLINK("https://www.youtube.com/watch?v=fK1_SH3X2ek")</f>
        <v>https://www.youtube.com/watch?v=fK1_SH3X2ek</v>
      </c>
      <c r="X159" s="90" t="s">
        <v>656</v>
      </c>
      <c r="Y159" s="90">
        <v>0</v>
      </c>
      <c r="Z159" s="99">
        <v>44358.83550925926</v>
      </c>
      <c r="AA159" s="99">
        <v>44358.83550925926</v>
      </c>
      <c r="AB159" s="90"/>
      <c r="AC159" s="90"/>
      <c r="AD159" s="94" t="s">
        <v>666</v>
      </c>
      <c r="AE159" s="92">
        <v>1</v>
      </c>
      <c r="AF159" s="93" t="str">
        <f>REPLACE(INDEX(GroupVertices[Group],MATCH(Edges[[#This Row],[Vertex 1]],GroupVertices[Vertex],0)),1,1,"")</f>
        <v>1</v>
      </c>
      <c r="AG159" s="93" t="str">
        <f>REPLACE(INDEX(GroupVertices[Group],MATCH(Edges[[#This Row],[Vertex 2]],GroupVertices[Vertex],0)),1,1,"")</f>
        <v>1</v>
      </c>
      <c r="AH159" s="127">
        <v>2</v>
      </c>
      <c r="AI159" s="128">
        <v>8</v>
      </c>
      <c r="AJ159" s="127">
        <v>1</v>
      </c>
      <c r="AK159" s="128">
        <v>4</v>
      </c>
      <c r="AL159" s="127">
        <v>0</v>
      </c>
      <c r="AM159" s="128">
        <v>0</v>
      </c>
      <c r="AN159" s="127">
        <v>22</v>
      </c>
      <c r="AO159" s="128">
        <v>88</v>
      </c>
      <c r="AP159" s="127">
        <v>25</v>
      </c>
    </row>
    <row r="160" spans="1:42" ht="15">
      <c r="A160" s="65" t="s">
        <v>348</v>
      </c>
      <c r="B160" s="65" t="s">
        <v>348</v>
      </c>
      <c r="C160" s="66" t="s">
        <v>1220</v>
      </c>
      <c r="D160" s="67">
        <v>3</v>
      </c>
      <c r="E160" s="68"/>
      <c r="F160" s="69">
        <v>40</v>
      </c>
      <c r="G160" s="66"/>
      <c r="H160" s="70"/>
      <c r="I160" s="71"/>
      <c r="J160" s="71"/>
      <c r="K160" s="35" t="s">
        <v>65</v>
      </c>
      <c r="L160" s="79">
        <v>160</v>
      </c>
      <c r="M160" s="79"/>
      <c r="N160" s="73"/>
      <c r="O160" s="90" t="s">
        <v>357</v>
      </c>
      <c r="P160" s="90"/>
      <c r="Q160" s="90"/>
      <c r="R160" s="90"/>
      <c r="S160" s="90"/>
      <c r="T160" s="90"/>
      <c r="U160" s="90"/>
      <c r="V160" s="90" t="s">
        <v>653</v>
      </c>
      <c r="W160" s="96" t="str">
        <f>HYPERLINK("https://www.youtube.com/watch?v=eoRbJqpWwo0")</f>
        <v>https://www.youtube.com/watch?v=eoRbJqpWwo0</v>
      </c>
      <c r="X160" s="90"/>
      <c r="Y160" s="90"/>
      <c r="Z160" s="99">
        <v>44054.416817129626</v>
      </c>
      <c r="AA160" s="90"/>
      <c r="AB160" s="90"/>
      <c r="AC160" s="90"/>
      <c r="AD160" s="90"/>
      <c r="AE160">
        <v>1</v>
      </c>
      <c r="AF160" s="89" t="str">
        <f>REPLACE(INDEX(GroupVertices[Group],MATCH(Edges[[#This Row],[Vertex 1]],GroupVertices[Vertex],0)),1,1,"")</f>
        <v>8</v>
      </c>
      <c r="AG160" s="89" t="str">
        <f>REPLACE(INDEX(GroupVertices[Group],MATCH(Edges[[#This Row],[Vertex 2]],GroupVertices[Vertex],0)),1,1,"")</f>
        <v>8</v>
      </c>
      <c r="AH160" s="49"/>
      <c r="AI160" s="50"/>
      <c r="AJ160" s="49"/>
      <c r="AK160" s="50"/>
      <c r="AL160" s="49"/>
      <c r="AM160" s="50"/>
      <c r="AN160" s="49"/>
      <c r="AO160" s="50"/>
      <c r="AP160" s="49"/>
    </row>
    <row r="161" spans="1:42" ht="15">
      <c r="A161" s="65" t="s">
        <v>349</v>
      </c>
      <c r="B161" s="65" t="s">
        <v>349</v>
      </c>
      <c r="C161" s="66" t="s">
        <v>1220</v>
      </c>
      <c r="D161" s="67">
        <v>3</v>
      </c>
      <c r="E161" s="68"/>
      <c r="F161" s="69">
        <v>40</v>
      </c>
      <c r="G161" s="66"/>
      <c r="H161" s="70"/>
      <c r="I161" s="71"/>
      <c r="J161" s="71"/>
      <c r="K161" s="35" t="s">
        <v>65</v>
      </c>
      <c r="L161" s="79">
        <v>161</v>
      </c>
      <c r="M161" s="79"/>
      <c r="N161" s="73"/>
      <c r="O161" s="90" t="s">
        <v>357</v>
      </c>
      <c r="P161" s="90"/>
      <c r="Q161" s="90"/>
      <c r="R161" s="90"/>
      <c r="S161" s="90"/>
      <c r="T161" s="90"/>
      <c r="U161" s="90"/>
      <c r="V161" s="90" t="s">
        <v>649</v>
      </c>
      <c r="W161" s="96" t="str">
        <f>HYPERLINK("https://www.youtube.com/watch?v=MWk8XJWEiO4")</f>
        <v>https://www.youtube.com/watch?v=MWk8XJWEiO4</v>
      </c>
      <c r="X161" s="90"/>
      <c r="Y161" s="90"/>
      <c r="Z161" s="99">
        <v>43026.661087962966</v>
      </c>
      <c r="AA161" s="90"/>
      <c r="AB161" s="90"/>
      <c r="AC161" s="90"/>
      <c r="AD161" s="90"/>
      <c r="AE161">
        <v>1</v>
      </c>
      <c r="AF161" s="89" t="str">
        <f>REPLACE(INDEX(GroupVertices[Group],MATCH(Edges[[#This Row],[Vertex 1]],GroupVertices[Vertex],0)),1,1,"")</f>
        <v>4</v>
      </c>
      <c r="AG161" s="89" t="str">
        <f>REPLACE(INDEX(GroupVertices[Group],MATCH(Edges[[#This Row],[Vertex 2]],GroupVertices[Vertex],0)),1,1,"")</f>
        <v>4</v>
      </c>
      <c r="AH161" s="49"/>
      <c r="AI161" s="50"/>
      <c r="AJ161" s="49"/>
      <c r="AK161" s="50"/>
      <c r="AL161" s="49"/>
      <c r="AM161" s="50"/>
      <c r="AN161" s="49"/>
      <c r="AO161" s="50"/>
      <c r="AP161" s="49"/>
    </row>
    <row r="162" spans="1:42" ht="15">
      <c r="A162" s="65" t="s">
        <v>350</v>
      </c>
      <c r="B162" s="65" t="s">
        <v>350</v>
      </c>
      <c r="C162" s="66" t="s">
        <v>1221</v>
      </c>
      <c r="D162" s="67">
        <v>3</v>
      </c>
      <c r="E162" s="68"/>
      <c r="F162" s="69">
        <v>40</v>
      </c>
      <c r="G162" s="66"/>
      <c r="H162" s="70"/>
      <c r="I162" s="71"/>
      <c r="J162" s="71"/>
      <c r="K162" s="35" t="s">
        <v>65</v>
      </c>
      <c r="L162" s="79">
        <v>162</v>
      </c>
      <c r="M162" s="79"/>
      <c r="N162" s="73"/>
      <c r="O162" s="90" t="s">
        <v>357</v>
      </c>
      <c r="P162" s="90"/>
      <c r="Q162" s="90"/>
      <c r="R162" s="90"/>
      <c r="S162" s="90"/>
      <c r="T162" s="90"/>
      <c r="U162" s="90"/>
      <c r="V162" s="90" t="s">
        <v>650</v>
      </c>
      <c r="W162" s="96" t="str">
        <f>HYPERLINK("https://www.youtube.com/watch?v=uGHwpg-fJvc")</f>
        <v>https://www.youtube.com/watch?v=uGHwpg-fJvc</v>
      </c>
      <c r="X162" s="90"/>
      <c r="Y162" s="90"/>
      <c r="Z162" s="99">
        <v>42747.91793981481</v>
      </c>
      <c r="AA162" s="90"/>
      <c r="AB162" s="90"/>
      <c r="AC162" s="90"/>
      <c r="AD162" s="90"/>
      <c r="AE162">
        <v>2</v>
      </c>
      <c r="AF162" s="89" t="str">
        <f>REPLACE(INDEX(GroupVertices[Group],MATCH(Edges[[#This Row],[Vertex 1]],GroupVertices[Vertex],0)),1,1,"")</f>
        <v>3</v>
      </c>
      <c r="AG162" s="89" t="str">
        <f>REPLACE(INDEX(GroupVertices[Group],MATCH(Edges[[#This Row],[Vertex 2]],GroupVertices[Vertex],0)),1,1,"")</f>
        <v>3</v>
      </c>
      <c r="AH162" s="49"/>
      <c r="AI162" s="50"/>
      <c r="AJ162" s="49"/>
      <c r="AK162" s="50"/>
      <c r="AL162" s="49"/>
      <c r="AM162" s="50"/>
      <c r="AN162" s="49"/>
      <c r="AO162" s="50"/>
      <c r="AP162" s="49"/>
    </row>
    <row r="163" spans="1:42" ht="15">
      <c r="A163" s="65" t="s">
        <v>350</v>
      </c>
      <c r="B163" s="65" t="s">
        <v>350</v>
      </c>
      <c r="C163" s="66" t="s">
        <v>1221</v>
      </c>
      <c r="D163" s="67">
        <v>3</v>
      </c>
      <c r="E163" s="68"/>
      <c r="F163" s="69">
        <v>40</v>
      </c>
      <c r="G163" s="66"/>
      <c r="H163" s="70"/>
      <c r="I163" s="71"/>
      <c r="J163" s="71"/>
      <c r="K163" s="35" t="s">
        <v>65</v>
      </c>
      <c r="L163" s="79">
        <v>163</v>
      </c>
      <c r="M163" s="79"/>
      <c r="N163" s="73"/>
      <c r="O163" s="90" t="s">
        <v>357</v>
      </c>
      <c r="P163" s="90"/>
      <c r="Q163" s="90"/>
      <c r="R163" s="90"/>
      <c r="S163" s="90"/>
      <c r="T163" s="90"/>
      <c r="U163" s="90"/>
      <c r="V163" s="90" t="s">
        <v>651</v>
      </c>
      <c r="W163" s="96" t="str">
        <f>HYPERLINK("https://www.youtube.com/watch?v=lruYVSGcxHs")</f>
        <v>https://www.youtube.com/watch?v=lruYVSGcxHs</v>
      </c>
      <c r="X163" s="90"/>
      <c r="Y163" s="90"/>
      <c r="Z163" s="99">
        <v>42710.99108796296</v>
      </c>
      <c r="AA163" s="90"/>
      <c r="AB163" s="90"/>
      <c r="AC163" s="90"/>
      <c r="AD163" s="90"/>
      <c r="AE163">
        <v>2</v>
      </c>
      <c r="AF163" s="89" t="str">
        <f>REPLACE(INDEX(GroupVertices[Group],MATCH(Edges[[#This Row],[Vertex 1]],GroupVertices[Vertex],0)),1,1,"")</f>
        <v>3</v>
      </c>
      <c r="AG163" s="89" t="str">
        <f>REPLACE(INDEX(GroupVertices[Group],MATCH(Edges[[#This Row],[Vertex 2]],GroupVertices[Vertex],0)),1,1,"")</f>
        <v>3</v>
      </c>
      <c r="AH163" s="49"/>
      <c r="AI163" s="50"/>
      <c r="AJ163" s="49"/>
      <c r="AK163" s="50"/>
      <c r="AL163" s="49"/>
      <c r="AM163" s="50"/>
      <c r="AN163" s="49"/>
      <c r="AO163" s="50"/>
      <c r="AP163" s="49"/>
    </row>
    <row r="164" spans="1:42" ht="15">
      <c r="A164" s="65" t="s">
        <v>351</v>
      </c>
      <c r="B164" s="65" t="s">
        <v>351</v>
      </c>
      <c r="C164" s="66" t="s">
        <v>1220</v>
      </c>
      <c r="D164" s="67">
        <v>3</v>
      </c>
      <c r="E164" s="68"/>
      <c r="F164" s="69">
        <v>40</v>
      </c>
      <c r="G164" s="66"/>
      <c r="H164" s="70"/>
      <c r="I164" s="71"/>
      <c r="J164" s="71"/>
      <c r="K164" s="35" t="s">
        <v>65</v>
      </c>
      <c r="L164" s="79">
        <v>164</v>
      </c>
      <c r="M164" s="79"/>
      <c r="N164" s="73"/>
      <c r="O164" s="90" t="s">
        <v>357</v>
      </c>
      <c r="P164" s="90"/>
      <c r="Q164" s="90"/>
      <c r="R164" s="90"/>
      <c r="S164" s="90"/>
      <c r="T164" s="90"/>
      <c r="U164" s="90"/>
      <c r="V164" s="90" t="s">
        <v>654</v>
      </c>
      <c r="W164" s="96" t="str">
        <f>HYPERLINK("https://www.youtube.com/watch?v=voM51OT9XVs")</f>
        <v>https://www.youtube.com/watch?v=voM51OT9XVs</v>
      </c>
      <c r="X164" s="90"/>
      <c r="Y164" s="90"/>
      <c r="Z164" s="99">
        <v>43775.84512731482</v>
      </c>
      <c r="AA164" s="90"/>
      <c r="AB164" s="90"/>
      <c r="AC164" s="90"/>
      <c r="AD164" s="90"/>
      <c r="AE164">
        <v>1</v>
      </c>
      <c r="AF164" s="89" t="str">
        <f>REPLACE(INDEX(GroupVertices[Group],MATCH(Edges[[#This Row],[Vertex 1]],GroupVertices[Vertex],0)),1,1,"")</f>
        <v>8</v>
      </c>
      <c r="AG164" s="89" t="str">
        <f>REPLACE(INDEX(GroupVertices[Group],MATCH(Edges[[#This Row],[Vertex 2]],GroupVertices[Vertex],0)),1,1,"")</f>
        <v>8</v>
      </c>
      <c r="AH164" s="49"/>
      <c r="AI164" s="50"/>
      <c r="AJ164" s="49"/>
      <c r="AK164" s="50"/>
      <c r="AL164" s="49"/>
      <c r="AM164" s="50"/>
      <c r="AN164" s="49"/>
      <c r="AO164" s="50"/>
      <c r="AP164" s="49"/>
    </row>
    <row r="165" spans="1:42" ht="15">
      <c r="A165" s="65" t="s">
        <v>352</v>
      </c>
      <c r="B165" s="65" t="s">
        <v>352</v>
      </c>
      <c r="C165" s="66" t="s">
        <v>1220</v>
      </c>
      <c r="D165" s="67">
        <v>3</v>
      </c>
      <c r="E165" s="68"/>
      <c r="F165" s="69">
        <v>40</v>
      </c>
      <c r="G165" s="66"/>
      <c r="H165" s="70"/>
      <c r="I165" s="71"/>
      <c r="J165" s="71"/>
      <c r="K165" s="35" t="s">
        <v>65</v>
      </c>
      <c r="L165" s="79">
        <v>165</v>
      </c>
      <c r="M165" s="79"/>
      <c r="N165" s="73"/>
      <c r="O165" s="90" t="s">
        <v>357</v>
      </c>
      <c r="P165" s="90"/>
      <c r="Q165" s="90"/>
      <c r="R165" s="90"/>
      <c r="S165" s="90"/>
      <c r="T165" s="90"/>
      <c r="U165" s="90"/>
      <c r="V165" s="90" t="s">
        <v>652</v>
      </c>
      <c r="W165" s="96" t="str">
        <f>HYPERLINK("https://www.youtube.com/watch?v=fK1_SH3X2ek")</f>
        <v>https://www.youtube.com/watch?v=fK1_SH3X2ek</v>
      </c>
      <c r="X165" s="90"/>
      <c r="Y165" s="90"/>
      <c r="Z165" s="99">
        <v>42836.823287037034</v>
      </c>
      <c r="AA165" s="90"/>
      <c r="AB165" s="90"/>
      <c r="AC165" s="90"/>
      <c r="AD165" s="90"/>
      <c r="AE165">
        <v>1</v>
      </c>
      <c r="AF165" s="89" t="str">
        <f>REPLACE(INDEX(GroupVertices[Group],MATCH(Edges[[#This Row],[Vertex 1]],GroupVertices[Vertex],0)),1,1,"")</f>
        <v>1</v>
      </c>
      <c r="AG165" s="89" t="str">
        <f>REPLACE(INDEX(GroupVertices[Group],MATCH(Edges[[#This Row],[Vertex 2]],GroupVertices[Vertex],0)),1,1,"")</f>
        <v>1</v>
      </c>
      <c r="AH165" s="49"/>
      <c r="AI165" s="50"/>
      <c r="AJ165" s="49"/>
      <c r="AK165" s="50"/>
      <c r="AL165" s="49"/>
      <c r="AM165" s="50"/>
      <c r="AN165" s="49"/>
      <c r="AO165" s="50"/>
      <c r="AP165" s="49"/>
    </row>
    <row r="166" spans="1:42" ht="15">
      <c r="A166" s="80" t="s">
        <v>353</v>
      </c>
      <c r="B166" s="80" t="s">
        <v>353</v>
      </c>
      <c r="C166" s="81" t="s">
        <v>1220</v>
      </c>
      <c r="D166" s="82">
        <v>3</v>
      </c>
      <c r="E166" s="83"/>
      <c r="F166" s="84">
        <v>40</v>
      </c>
      <c r="G166" s="81"/>
      <c r="H166" s="85"/>
      <c r="I166" s="86"/>
      <c r="J166" s="86"/>
      <c r="K166" s="35" t="s">
        <v>65</v>
      </c>
      <c r="L166" s="87">
        <v>166</v>
      </c>
      <c r="M166" s="87"/>
      <c r="N166" s="88"/>
      <c r="O166" s="91" t="s">
        <v>357</v>
      </c>
      <c r="P166" s="91"/>
      <c r="Q166" s="91"/>
      <c r="R166" s="91"/>
      <c r="S166" s="91"/>
      <c r="T166" s="91"/>
      <c r="U166" s="91"/>
      <c r="V166" s="91" t="s">
        <v>655</v>
      </c>
      <c r="W166" s="97" t="str">
        <f>HYPERLINK("https://www.youtube.com/watch?v=X2WiIHZZfTU")</f>
        <v>https://www.youtube.com/watch?v=X2WiIHZZfTU</v>
      </c>
      <c r="X166" s="91"/>
      <c r="Y166" s="91"/>
      <c r="Z166" s="100">
        <v>42557.956979166665</v>
      </c>
      <c r="AA166" s="91"/>
      <c r="AB166" s="91"/>
      <c r="AC166" s="91"/>
      <c r="AD166" s="91"/>
      <c r="AE166">
        <v>1</v>
      </c>
      <c r="AF166" s="89" t="str">
        <f>REPLACE(INDEX(GroupVertices[Group],MATCH(Edges[[#This Row],[Vertex 1]],GroupVertices[Vertex],0)),1,1,"")</f>
        <v>8</v>
      </c>
      <c r="AG166" s="89" t="str">
        <f>REPLACE(INDEX(GroupVertices[Group],MATCH(Edges[[#This Row],[Vertex 2]],GroupVertices[Vertex],0)),1,1,"")</f>
        <v>8</v>
      </c>
      <c r="AH166" s="49"/>
      <c r="AI166" s="50"/>
      <c r="AJ166" s="49"/>
      <c r="AK166" s="50"/>
      <c r="AL166" s="49"/>
      <c r="AM166" s="50"/>
      <c r="AN166" s="49"/>
      <c r="AO166" s="50"/>
      <c r="AP1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1175-4D7D-46E9-98DE-358533FE73B6}">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v>
      </c>
      <c r="B2" s="131" t="s">
        <v>900</v>
      </c>
      <c r="C2" s="54" t="s">
        <v>901</v>
      </c>
    </row>
    <row r="3" spans="1:3" ht="15">
      <c r="A3" s="130" t="s">
        <v>739</v>
      </c>
      <c r="B3" s="130" t="s">
        <v>739</v>
      </c>
      <c r="C3" s="35">
        <v>64</v>
      </c>
    </row>
    <row r="4" spans="1:3" ht="15">
      <c r="A4" s="130" t="s">
        <v>740</v>
      </c>
      <c r="B4" s="130" t="s">
        <v>739</v>
      </c>
      <c r="C4" s="35">
        <v>4</v>
      </c>
    </row>
    <row r="5" spans="1:3" ht="15">
      <c r="A5" s="130" t="s">
        <v>740</v>
      </c>
      <c r="B5" s="130" t="s">
        <v>740</v>
      </c>
      <c r="C5" s="35">
        <v>30</v>
      </c>
    </row>
    <row r="6" spans="1:3" ht="15">
      <c r="A6" s="130" t="s">
        <v>741</v>
      </c>
      <c r="B6" s="130" t="s">
        <v>741</v>
      </c>
      <c r="C6" s="35">
        <v>24</v>
      </c>
    </row>
    <row r="7" spans="1:3" ht="15">
      <c r="A7" s="130" t="s">
        <v>742</v>
      </c>
      <c r="B7" s="130" t="s">
        <v>742</v>
      </c>
      <c r="C7" s="35">
        <v>12</v>
      </c>
    </row>
    <row r="8" spans="1:3" ht="15">
      <c r="A8" s="130" t="s">
        <v>743</v>
      </c>
      <c r="B8" s="130" t="s">
        <v>739</v>
      </c>
      <c r="C8" s="35">
        <v>4</v>
      </c>
    </row>
    <row r="9" spans="1:3" ht="15">
      <c r="A9" s="130" t="s">
        <v>743</v>
      </c>
      <c r="B9" s="130" t="s">
        <v>740</v>
      </c>
      <c r="C9" s="35">
        <v>3</v>
      </c>
    </row>
    <row r="10" spans="1:3" ht="15">
      <c r="A10" s="130" t="s">
        <v>743</v>
      </c>
      <c r="B10" s="130" t="s">
        <v>743</v>
      </c>
      <c r="C10" s="35">
        <v>7</v>
      </c>
    </row>
    <row r="11" spans="1:3" ht="15">
      <c r="A11" s="130" t="s">
        <v>744</v>
      </c>
      <c r="B11" s="130" t="s">
        <v>739</v>
      </c>
      <c r="C11" s="35">
        <v>2</v>
      </c>
    </row>
    <row r="12" spans="1:3" ht="15">
      <c r="A12" s="130" t="s">
        <v>744</v>
      </c>
      <c r="B12" s="130" t="s">
        <v>744</v>
      </c>
      <c r="C12" s="35">
        <v>2</v>
      </c>
    </row>
    <row r="13" spans="1:3" ht="15">
      <c r="A13" s="130" t="s">
        <v>745</v>
      </c>
      <c r="B13" s="130" t="s">
        <v>739</v>
      </c>
      <c r="C13" s="35">
        <v>1</v>
      </c>
    </row>
    <row r="14" spans="1:3" ht="15">
      <c r="A14" s="130" t="s">
        <v>745</v>
      </c>
      <c r="B14" s="130" t="s">
        <v>745</v>
      </c>
      <c r="C14" s="35">
        <v>2</v>
      </c>
    </row>
    <row r="15" spans="1:3" ht="15">
      <c r="A15" s="130" t="s">
        <v>746</v>
      </c>
      <c r="B15" s="130" t="s">
        <v>746</v>
      </c>
      <c r="C15" s="35">
        <v>3</v>
      </c>
    </row>
    <row r="16" spans="1:3" ht="15">
      <c r="A16" s="130" t="s">
        <v>747</v>
      </c>
      <c r="B16" s="130" t="s">
        <v>739</v>
      </c>
      <c r="C16" s="35">
        <v>1</v>
      </c>
    </row>
    <row r="17" spans="1:3" ht="15">
      <c r="A17" s="130" t="s">
        <v>747</v>
      </c>
      <c r="B17" s="130" t="s">
        <v>747</v>
      </c>
      <c r="C17" s="35">
        <v>1</v>
      </c>
    </row>
    <row r="18" spans="1:3" ht="15">
      <c r="A18" s="130" t="s">
        <v>748</v>
      </c>
      <c r="B18" s="130" t="s">
        <v>739</v>
      </c>
      <c r="C18" s="35">
        <v>1</v>
      </c>
    </row>
    <row r="19" spans="1:3" ht="15">
      <c r="A19" s="130" t="s">
        <v>748</v>
      </c>
      <c r="B19" s="130" t="s">
        <v>748</v>
      </c>
      <c r="C19" s="35">
        <v>1</v>
      </c>
    </row>
    <row r="20" spans="1:3" ht="15">
      <c r="A20" s="130" t="s">
        <v>749</v>
      </c>
      <c r="B20" s="130" t="s">
        <v>739</v>
      </c>
      <c r="C20" s="35">
        <v>1</v>
      </c>
    </row>
    <row r="21" spans="1:3" ht="15">
      <c r="A21" s="130" t="s">
        <v>749</v>
      </c>
      <c r="B21" s="130" t="s">
        <v>749</v>
      </c>
      <c r="C21"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3D35F-0D7E-4CBA-B7D1-F9A3DBEF94B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920</v>
      </c>
      <c r="B1" s="13" t="s">
        <v>17</v>
      </c>
    </row>
    <row r="2" spans="1:2" ht="15">
      <c r="A2" s="89" t="s">
        <v>921</v>
      </c>
      <c r="B2" s="89" t="s">
        <v>927</v>
      </c>
    </row>
    <row r="3" spans="1:2" ht="15">
      <c r="A3" s="90" t="s">
        <v>922</v>
      </c>
      <c r="B3" s="89" t="s">
        <v>928</v>
      </c>
    </row>
    <row r="4" spans="1:2" ht="15">
      <c r="A4" s="90" t="s">
        <v>923</v>
      </c>
      <c r="B4" s="89" t="s">
        <v>929</v>
      </c>
    </row>
    <row r="5" spans="1:2" ht="15">
      <c r="A5" s="90" t="s">
        <v>924</v>
      </c>
      <c r="B5" s="89" t="s">
        <v>930</v>
      </c>
    </row>
    <row r="6" spans="1:2" ht="15">
      <c r="A6" s="90" t="s">
        <v>925</v>
      </c>
      <c r="B6" s="89" t="s">
        <v>931</v>
      </c>
    </row>
    <row r="7" spans="1:2" ht="15">
      <c r="A7" s="90" t="s">
        <v>926</v>
      </c>
      <c r="B7" s="8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5680-8E2E-4157-BBA8-7367695AF4A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v>
      </c>
      <c r="B1" s="13" t="s">
        <v>34</v>
      </c>
    </row>
    <row r="2" spans="1:2" ht="15">
      <c r="A2" s="121" t="s">
        <v>352</v>
      </c>
      <c r="B2" s="89">
        <v>7260.2</v>
      </c>
    </row>
    <row r="3" spans="1:2" ht="15">
      <c r="A3" s="124" t="s">
        <v>280</v>
      </c>
      <c r="B3" s="89">
        <v>3376.666667</v>
      </c>
    </row>
    <row r="4" spans="1:2" ht="15">
      <c r="A4" s="124" t="s">
        <v>350</v>
      </c>
      <c r="B4" s="89">
        <v>460</v>
      </c>
    </row>
    <row r="5" spans="1:2" ht="15">
      <c r="A5" s="124" t="s">
        <v>270</v>
      </c>
      <c r="B5" s="89">
        <v>358</v>
      </c>
    </row>
    <row r="6" spans="1:2" ht="15">
      <c r="A6" s="124" t="s">
        <v>314</v>
      </c>
      <c r="B6" s="89">
        <v>247.666667</v>
      </c>
    </row>
    <row r="7" spans="1:2" ht="15">
      <c r="A7" s="124" t="s">
        <v>260</v>
      </c>
      <c r="B7" s="89">
        <v>223.8</v>
      </c>
    </row>
    <row r="8" spans="1:2" ht="15">
      <c r="A8" s="124" t="s">
        <v>334</v>
      </c>
      <c r="B8" s="89">
        <v>180</v>
      </c>
    </row>
    <row r="9" spans="1:2" ht="15">
      <c r="A9" s="124" t="s">
        <v>343</v>
      </c>
      <c r="B9" s="89">
        <v>180</v>
      </c>
    </row>
    <row r="10" spans="1:2" ht="15">
      <c r="A10" s="124" t="s">
        <v>277</v>
      </c>
      <c r="B10" s="89">
        <v>180</v>
      </c>
    </row>
    <row r="11" spans="1:2" ht="15">
      <c r="A11" s="124" t="s">
        <v>305</v>
      </c>
      <c r="B11" s="89">
        <v>109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7608A-ADDA-48AC-810B-4417112EC415}">
  <dimension ref="A1:V42"/>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933</v>
      </c>
      <c r="B1" s="13" t="s">
        <v>939</v>
      </c>
      <c r="C1" s="13" t="s">
        <v>940</v>
      </c>
      <c r="D1" s="13" t="s">
        <v>942</v>
      </c>
      <c r="E1" s="89" t="s">
        <v>941</v>
      </c>
      <c r="F1" s="89" t="s">
        <v>944</v>
      </c>
      <c r="G1" s="89" t="s">
        <v>943</v>
      </c>
      <c r="H1" s="89" t="s">
        <v>946</v>
      </c>
      <c r="I1" s="89" t="s">
        <v>945</v>
      </c>
      <c r="J1" s="89" t="s">
        <v>948</v>
      </c>
      <c r="K1" s="13" t="s">
        <v>947</v>
      </c>
      <c r="L1" s="13" t="s">
        <v>950</v>
      </c>
      <c r="M1" s="13" t="s">
        <v>949</v>
      </c>
      <c r="N1" s="13" t="s">
        <v>952</v>
      </c>
      <c r="O1" s="89" t="s">
        <v>951</v>
      </c>
      <c r="P1" s="89" t="s">
        <v>954</v>
      </c>
      <c r="Q1" s="89" t="s">
        <v>953</v>
      </c>
      <c r="R1" s="89" t="s">
        <v>956</v>
      </c>
      <c r="S1" s="89" t="s">
        <v>955</v>
      </c>
      <c r="T1" s="89" t="s">
        <v>958</v>
      </c>
      <c r="U1" s="89" t="s">
        <v>957</v>
      </c>
      <c r="V1" s="89" t="s">
        <v>959</v>
      </c>
    </row>
    <row r="2" spans="1:22" ht="15">
      <c r="A2" s="95" t="s">
        <v>934</v>
      </c>
      <c r="B2" s="89">
        <v>8</v>
      </c>
      <c r="C2" s="95" t="s">
        <v>934</v>
      </c>
      <c r="D2" s="89">
        <v>4</v>
      </c>
      <c r="E2" s="89"/>
      <c r="F2" s="89"/>
      <c r="G2" s="89"/>
      <c r="H2" s="89"/>
      <c r="I2" s="89"/>
      <c r="J2" s="89"/>
      <c r="K2" s="95" t="s">
        <v>936</v>
      </c>
      <c r="L2" s="89">
        <v>1</v>
      </c>
      <c r="M2" s="95" t="s">
        <v>934</v>
      </c>
      <c r="N2" s="89">
        <v>4</v>
      </c>
      <c r="O2" s="89"/>
      <c r="P2" s="89"/>
      <c r="Q2" s="89"/>
      <c r="R2" s="89"/>
      <c r="S2" s="89"/>
      <c r="T2" s="89"/>
      <c r="U2" s="89"/>
      <c r="V2" s="89"/>
    </row>
    <row r="3" spans="1:22" ht="15">
      <c r="A3" s="96" t="s">
        <v>935</v>
      </c>
      <c r="B3" s="89">
        <v>1</v>
      </c>
      <c r="C3" s="95" t="s">
        <v>935</v>
      </c>
      <c r="D3" s="89">
        <v>1</v>
      </c>
      <c r="E3" s="89"/>
      <c r="F3" s="89"/>
      <c r="G3" s="89"/>
      <c r="H3" s="89"/>
      <c r="I3" s="89"/>
      <c r="J3" s="89"/>
      <c r="K3" s="89"/>
      <c r="L3" s="89"/>
      <c r="M3" s="89"/>
      <c r="N3" s="89"/>
      <c r="O3" s="89"/>
      <c r="P3" s="89"/>
      <c r="Q3" s="89"/>
      <c r="R3" s="89"/>
      <c r="S3" s="89"/>
      <c r="T3" s="89"/>
      <c r="U3" s="89"/>
      <c r="V3" s="89"/>
    </row>
    <row r="4" spans="1:22" ht="15">
      <c r="A4" s="96" t="s">
        <v>936</v>
      </c>
      <c r="B4" s="89">
        <v>1</v>
      </c>
      <c r="C4" s="95" t="s">
        <v>938</v>
      </c>
      <c r="D4" s="89">
        <v>1</v>
      </c>
      <c r="E4" s="89"/>
      <c r="F4" s="89"/>
      <c r="G4" s="89"/>
      <c r="H4" s="89"/>
      <c r="I4" s="89"/>
      <c r="J4" s="89"/>
      <c r="K4" s="89"/>
      <c r="L4" s="89"/>
      <c r="M4" s="89"/>
      <c r="N4" s="89"/>
      <c r="O4" s="89"/>
      <c r="P4" s="89"/>
      <c r="Q4" s="89"/>
      <c r="R4" s="89"/>
      <c r="S4" s="89"/>
      <c r="T4" s="89"/>
      <c r="U4" s="89"/>
      <c r="V4" s="89"/>
    </row>
    <row r="5" spans="1:22" ht="15">
      <c r="A5" s="96" t="s">
        <v>937</v>
      </c>
      <c r="B5" s="89">
        <v>1</v>
      </c>
      <c r="C5" s="95" t="s">
        <v>937</v>
      </c>
      <c r="D5" s="89">
        <v>1</v>
      </c>
      <c r="E5" s="89"/>
      <c r="F5" s="89"/>
      <c r="G5" s="89"/>
      <c r="H5" s="89"/>
      <c r="I5" s="89"/>
      <c r="J5" s="89"/>
      <c r="K5" s="89"/>
      <c r="L5" s="89"/>
      <c r="M5" s="89"/>
      <c r="N5" s="89"/>
      <c r="O5" s="89"/>
      <c r="P5" s="89"/>
      <c r="Q5" s="89"/>
      <c r="R5" s="89"/>
      <c r="S5" s="89"/>
      <c r="T5" s="89"/>
      <c r="U5" s="89"/>
      <c r="V5" s="89"/>
    </row>
    <row r="6" spans="1:22" ht="15">
      <c r="A6" s="96" t="s">
        <v>938</v>
      </c>
      <c r="B6" s="89">
        <v>1</v>
      </c>
      <c r="C6" s="89"/>
      <c r="D6" s="89"/>
      <c r="E6" s="89"/>
      <c r="F6" s="89"/>
      <c r="G6" s="89"/>
      <c r="H6" s="89"/>
      <c r="I6" s="89"/>
      <c r="J6" s="89"/>
      <c r="K6" s="89"/>
      <c r="L6" s="89"/>
      <c r="M6" s="89"/>
      <c r="N6" s="89"/>
      <c r="O6" s="89"/>
      <c r="P6" s="89"/>
      <c r="Q6" s="89"/>
      <c r="R6" s="89"/>
      <c r="S6" s="89"/>
      <c r="T6" s="89"/>
      <c r="U6" s="89"/>
      <c r="V6" s="89"/>
    </row>
    <row r="9" spans="1:22" ht="15" customHeight="1">
      <c r="A9" s="13" t="s">
        <v>962</v>
      </c>
      <c r="B9" s="13" t="s">
        <v>939</v>
      </c>
      <c r="C9" s="13" t="s">
        <v>964</v>
      </c>
      <c r="D9" s="13" t="s">
        <v>942</v>
      </c>
      <c r="E9" s="89" t="s">
        <v>965</v>
      </c>
      <c r="F9" s="89" t="s">
        <v>944</v>
      </c>
      <c r="G9" s="89" t="s">
        <v>966</v>
      </c>
      <c r="H9" s="89" t="s">
        <v>946</v>
      </c>
      <c r="I9" s="89" t="s">
        <v>967</v>
      </c>
      <c r="J9" s="89" t="s">
        <v>948</v>
      </c>
      <c r="K9" s="13" t="s">
        <v>968</v>
      </c>
      <c r="L9" s="13" t="s">
        <v>950</v>
      </c>
      <c r="M9" s="13" t="s">
        <v>969</v>
      </c>
      <c r="N9" s="13" t="s">
        <v>952</v>
      </c>
      <c r="O9" s="89" t="s">
        <v>970</v>
      </c>
      <c r="P9" s="89" t="s">
        <v>954</v>
      </c>
      <c r="Q9" s="89" t="s">
        <v>971</v>
      </c>
      <c r="R9" s="89" t="s">
        <v>956</v>
      </c>
      <c r="S9" s="89" t="s">
        <v>972</v>
      </c>
      <c r="T9" s="89" t="s">
        <v>958</v>
      </c>
      <c r="U9" s="89" t="s">
        <v>973</v>
      </c>
      <c r="V9" s="89" t="s">
        <v>959</v>
      </c>
    </row>
    <row r="10" spans="1:22" ht="15">
      <c r="A10" s="89" t="s">
        <v>963</v>
      </c>
      <c r="B10" s="89">
        <v>8</v>
      </c>
      <c r="C10" s="89" t="s">
        <v>963</v>
      </c>
      <c r="D10" s="89">
        <v>4</v>
      </c>
      <c r="E10" s="89"/>
      <c r="F10" s="89"/>
      <c r="G10" s="89"/>
      <c r="H10" s="89"/>
      <c r="I10" s="89"/>
      <c r="J10" s="89"/>
      <c r="K10" s="89" t="s">
        <v>665</v>
      </c>
      <c r="L10" s="89">
        <v>1</v>
      </c>
      <c r="M10" s="89" t="s">
        <v>963</v>
      </c>
      <c r="N10" s="89">
        <v>4</v>
      </c>
      <c r="O10" s="89"/>
      <c r="P10" s="89"/>
      <c r="Q10" s="89"/>
      <c r="R10" s="89"/>
      <c r="S10" s="89"/>
      <c r="T10" s="89"/>
      <c r="U10" s="89"/>
      <c r="V10" s="89"/>
    </row>
    <row r="11" spans="1:22" ht="15">
      <c r="A11" s="90" t="s">
        <v>663</v>
      </c>
      <c r="B11" s="89">
        <v>2</v>
      </c>
      <c r="C11" s="89" t="s">
        <v>663</v>
      </c>
      <c r="D11" s="89">
        <v>2</v>
      </c>
      <c r="E11" s="89"/>
      <c r="F11" s="89"/>
      <c r="G11" s="89"/>
      <c r="H11" s="89"/>
      <c r="I11" s="89"/>
      <c r="J11" s="89"/>
      <c r="K11" s="89"/>
      <c r="L11" s="89"/>
      <c r="M11" s="89"/>
      <c r="N11" s="89"/>
      <c r="O11" s="89"/>
      <c r="P11" s="89"/>
      <c r="Q11" s="89"/>
      <c r="R11" s="89"/>
      <c r="S11" s="89"/>
      <c r="T11" s="89"/>
      <c r="U11" s="89"/>
      <c r="V11" s="89"/>
    </row>
    <row r="12" spans="1:22" ht="15">
      <c r="A12" s="90" t="s">
        <v>664</v>
      </c>
      <c r="B12" s="89">
        <v>1</v>
      </c>
      <c r="C12" s="89" t="s">
        <v>664</v>
      </c>
      <c r="D12" s="89">
        <v>1</v>
      </c>
      <c r="E12" s="89"/>
      <c r="F12" s="89"/>
      <c r="G12" s="89"/>
      <c r="H12" s="89"/>
      <c r="I12" s="89"/>
      <c r="J12" s="89"/>
      <c r="K12" s="89"/>
      <c r="L12" s="89"/>
      <c r="M12" s="89"/>
      <c r="N12" s="89"/>
      <c r="O12" s="89"/>
      <c r="P12" s="89"/>
      <c r="Q12" s="89"/>
      <c r="R12" s="89"/>
      <c r="S12" s="89"/>
      <c r="T12" s="89"/>
      <c r="U12" s="89"/>
      <c r="V12" s="89"/>
    </row>
    <row r="13" spans="1:22" ht="15">
      <c r="A13" s="90" t="s">
        <v>665</v>
      </c>
      <c r="B13" s="89">
        <v>1</v>
      </c>
      <c r="C13" s="89"/>
      <c r="D13" s="89"/>
      <c r="E13" s="89"/>
      <c r="F13" s="89"/>
      <c r="G13" s="89"/>
      <c r="H13" s="89"/>
      <c r="I13" s="89"/>
      <c r="J13" s="89"/>
      <c r="K13" s="89"/>
      <c r="L13" s="89"/>
      <c r="M13" s="89"/>
      <c r="N13" s="89"/>
      <c r="O13" s="89"/>
      <c r="P13" s="89"/>
      <c r="Q13" s="89"/>
      <c r="R13" s="89"/>
      <c r="S13" s="89"/>
      <c r="T13" s="89"/>
      <c r="U13" s="89"/>
      <c r="V13" s="89"/>
    </row>
    <row r="16" spans="1:22" ht="15" customHeight="1">
      <c r="A16" s="89" t="s">
        <v>976</v>
      </c>
      <c r="B16" s="89" t="s">
        <v>939</v>
      </c>
      <c r="C16" s="89" t="s">
        <v>977</v>
      </c>
      <c r="D16" s="89" t="s">
        <v>942</v>
      </c>
      <c r="E16" s="89" t="s">
        <v>978</v>
      </c>
      <c r="F16" s="89" t="s">
        <v>944</v>
      </c>
      <c r="G16" s="89" t="s">
        <v>979</v>
      </c>
      <c r="H16" s="89" t="s">
        <v>946</v>
      </c>
      <c r="I16" s="89" t="s">
        <v>980</v>
      </c>
      <c r="J16" s="89" t="s">
        <v>948</v>
      </c>
      <c r="K16" s="89" t="s">
        <v>981</v>
      </c>
      <c r="L16" s="89" t="s">
        <v>950</v>
      </c>
      <c r="M16" s="89" t="s">
        <v>982</v>
      </c>
      <c r="N16" s="89" t="s">
        <v>952</v>
      </c>
      <c r="O16" s="89" t="s">
        <v>983</v>
      </c>
      <c r="P16" s="89" t="s">
        <v>954</v>
      </c>
      <c r="Q16" s="89" t="s">
        <v>984</v>
      </c>
      <c r="R16" s="89" t="s">
        <v>956</v>
      </c>
      <c r="S16" s="89" t="s">
        <v>985</v>
      </c>
      <c r="T16" s="89" t="s">
        <v>958</v>
      </c>
      <c r="U16" s="89" t="s">
        <v>986</v>
      </c>
      <c r="V16" s="89" t="s">
        <v>959</v>
      </c>
    </row>
    <row r="17" spans="1:22" ht="15">
      <c r="A17" s="89"/>
      <c r="B17" s="89"/>
      <c r="C17" s="89"/>
      <c r="D17" s="89"/>
      <c r="E17" s="89"/>
      <c r="F17" s="89"/>
      <c r="G17" s="89"/>
      <c r="H17" s="89"/>
      <c r="I17" s="89"/>
      <c r="J17" s="89"/>
      <c r="K17" s="89"/>
      <c r="L17" s="89"/>
      <c r="M17" s="89"/>
      <c r="N17" s="89"/>
      <c r="O17" s="89"/>
      <c r="P17" s="89"/>
      <c r="Q17" s="89"/>
      <c r="R17" s="89"/>
      <c r="S17" s="89"/>
      <c r="T17" s="89"/>
      <c r="U17" s="89"/>
      <c r="V17" s="89"/>
    </row>
    <row r="19" spans="1:22" ht="15" customHeight="1">
      <c r="A19" s="13" t="s">
        <v>988</v>
      </c>
      <c r="B19" s="13" t="s">
        <v>939</v>
      </c>
      <c r="C19" s="13" t="s">
        <v>989</v>
      </c>
      <c r="D19" s="13" t="s">
        <v>942</v>
      </c>
      <c r="E19" s="13" t="s">
        <v>990</v>
      </c>
      <c r="F19" s="13" t="s">
        <v>944</v>
      </c>
      <c r="G19" s="13" t="s">
        <v>991</v>
      </c>
      <c r="H19" s="13" t="s">
        <v>946</v>
      </c>
      <c r="I19" s="13" t="s">
        <v>992</v>
      </c>
      <c r="J19" s="13" t="s">
        <v>948</v>
      </c>
      <c r="K19" s="13" t="s">
        <v>993</v>
      </c>
      <c r="L19" s="13" t="s">
        <v>950</v>
      </c>
      <c r="M19" s="13" t="s">
        <v>994</v>
      </c>
      <c r="N19" s="13" t="s">
        <v>952</v>
      </c>
      <c r="O19" s="89" t="s">
        <v>995</v>
      </c>
      <c r="P19" s="89" t="s">
        <v>954</v>
      </c>
      <c r="Q19" s="89" t="s">
        <v>996</v>
      </c>
      <c r="R19" s="89" t="s">
        <v>956</v>
      </c>
      <c r="S19" s="89" t="s">
        <v>997</v>
      </c>
      <c r="T19" s="89" t="s">
        <v>958</v>
      </c>
      <c r="U19" s="13" t="s">
        <v>998</v>
      </c>
      <c r="V19" s="13" t="s">
        <v>959</v>
      </c>
    </row>
    <row r="20" spans="1:22" ht="15">
      <c r="A20" s="93" t="s">
        <v>774</v>
      </c>
      <c r="B20" s="93">
        <v>15</v>
      </c>
      <c r="C20" s="93" t="s">
        <v>776</v>
      </c>
      <c r="D20" s="93">
        <v>12</v>
      </c>
      <c r="E20" s="93" t="s">
        <v>811</v>
      </c>
      <c r="F20" s="93">
        <v>3</v>
      </c>
      <c r="G20" s="93" t="s">
        <v>774</v>
      </c>
      <c r="H20" s="93">
        <v>3</v>
      </c>
      <c r="I20" s="93" t="s">
        <v>867</v>
      </c>
      <c r="J20" s="93">
        <v>2</v>
      </c>
      <c r="K20" s="93" t="s">
        <v>775</v>
      </c>
      <c r="L20" s="93">
        <v>4</v>
      </c>
      <c r="M20" s="93" t="s">
        <v>778</v>
      </c>
      <c r="N20" s="93">
        <v>6</v>
      </c>
      <c r="O20" s="93"/>
      <c r="P20" s="93"/>
      <c r="Q20" s="93"/>
      <c r="R20" s="93"/>
      <c r="S20" s="93"/>
      <c r="T20" s="93"/>
      <c r="U20" s="93" t="s">
        <v>784</v>
      </c>
      <c r="V20" s="93">
        <v>2</v>
      </c>
    </row>
    <row r="21" spans="1:22" ht="15">
      <c r="A21" s="94" t="s">
        <v>775</v>
      </c>
      <c r="B21" s="93">
        <v>13</v>
      </c>
      <c r="C21" s="93" t="s">
        <v>774</v>
      </c>
      <c r="D21" s="93">
        <v>8</v>
      </c>
      <c r="E21" s="93" t="s">
        <v>812</v>
      </c>
      <c r="F21" s="93">
        <v>3</v>
      </c>
      <c r="G21" s="93" t="s">
        <v>791</v>
      </c>
      <c r="H21" s="93">
        <v>2</v>
      </c>
      <c r="I21" s="93" t="s">
        <v>868</v>
      </c>
      <c r="J21" s="93">
        <v>2</v>
      </c>
      <c r="K21" s="93" t="s">
        <v>783</v>
      </c>
      <c r="L21" s="93">
        <v>2</v>
      </c>
      <c r="M21" s="93" t="s">
        <v>780</v>
      </c>
      <c r="N21" s="93">
        <v>4</v>
      </c>
      <c r="O21" s="93"/>
      <c r="P21" s="93"/>
      <c r="Q21" s="93"/>
      <c r="R21" s="93"/>
      <c r="S21" s="93"/>
      <c r="T21" s="93"/>
      <c r="U21" s="93"/>
      <c r="V21" s="93"/>
    </row>
    <row r="22" spans="1:22" ht="15">
      <c r="A22" s="94" t="s">
        <v>776</v>
      </c>
      <c r="B22" s="93">
        <v>13</v>
      </c>
      <c r="C22" s="93" t="s">
        <v>777</v>
      </c>
      <c r="D22" s="93">
        <v>8</v>
      </c>
      <c r="E22" s="93" t="s">
        <v>775</v>
      </c>
      <c r="F22" s="93">
        <v>2</v>
      </c>
      <c r="G22" s="93" t="s">
        <v>865</v>
      </c>
      <c r="H22" s="93">
        <v>2</v>
      </c>
      <c r="I22" s="93" t="s">
        <v>869</v>
      </c>
      <c r="J22" s="93">
        <v>2</v>
      </c>
      <c r="K22" s="93" t="s">
        <v>833</v>
      </c>
      <c r="L22" s="93">
        <v>2</v>
      </c>
      <c r="M22" s="93" t="s">
        <v>777</v>
      </c>
      <c r="N22" s="93">
        <v>4</v>
      </c>
      <c r="O22" s="93"/>
      <c r="P22" s="93"/>
      <c r="Q22" s="93"/>
      <c r="R22" s="93"/>
      <c r="S22" s="93"/>
      <c r="T22" s="93"/>
      <c r="U22" s="93"/>
      <c r="V22" s="93"/>
    </row>
    <row r="23" spans="1:22" ht="15">
      <c r="A23" s="94" t="s">
        <v>777</v>
      </c>
      <c r="B23" s="93">
        <v>12</v>
      </c>
      <c r="C23" s="93" t="s">
        <v>779</v>
      </c>
      <c r="D23" s="93">
        <v>7</v>
      </c>
      <c r="E23" s="93" t="s">
        <v>809</v>
      </c>
      <c r="F23" s="93">
        <v>2</v>
      </c>
      <c r="G23" s="93" t="s">
        <v>782</v>
      </c>
      <c r="H23" s="93">
        <v>2</v>
      </c>
      <c r="I23" s="93"/>
      <c r="J23" s="93"/>
      <c r="K23" s="93"/>
      <c r="L23" s="93"/>
      <c r="M23" s="93" t="s">
        <v>774</v>
      </c>
      <c r="N23" s="93">
        <v>4</v>
      </c>
      <c r="O23" s="93"/>
      <c r="P23" s="93"/>
      <c r="Q23" s="93"/>
      <c r="R23" s="93"/>
      <c r="S23" s="93"/>
      <c r="T23" s="93"/>
      <c r="U23" s="93"/>
      <c r="V23" s="93"/>
    </row>
    <row r="24" spans="1:22" ht="15">
      <c r="A24" s="94" t="s">
        <v>778</v>
      </c>
      <c r="B24" s="93">
        <v>10</v>
      </c>
      <c r="C24" s="93" t="s">
        <v>775</v>
      </c>
      <c r="D24" s="93">
        <v>5</v>
      </c>
      <c r="E24" s="93" t="s">
        <v>795</v>
      </c>
      <c r="F24" s="93">
        <v>2</v>
      </c>
      <c r="G24" s="93" t="s">
        <v>866</v>
      </c>
      <c r="H24" s="93">
        <v>2</v>
      </c>
      <c r="I24" s="93"/>
      <c r="J24" s="93"/>
      <c r="K24" s="93"/>
      <c r="L24" s="93"/>
      <c r="M24" s="93" t="s">
        <v>806</v>
      </c>
      <c r="N24" s="93">
        <v>2</v>
      </c>
      <c r="O24" s="93"/>
      <c r="P24" s="93"/>
      <c r="Q24" s="93"/>
      <c r="R24" s="93"/>
      <c r="S24" s="93"/>
      <c r="T24" s="93"/>
      <c r="U24" s="93"/>
      <c r="V24" s="93"/>
    </row>
    <row r="25" spans="1:22" ht="15">
      <c r="A25" s="94" t="s">
        <v>779</v>
      </c>
      <c r="B25" s="93">
        <v>9</v>
      </c>
      <c r="C25" s="93" t="s">
        <v>781</v>
      </c>
      <c r="D25" s="93">
        <v>4</v>
      </c>
      <c r="E25" s="93"/>
      <c r="F25" s="93"/>
      <c r="G25" s="93"/>
      <c r="H25" s="93"/>
      <c r="I25" s="93"/>
      <c r="J25" s="93"/>
      <c r="K25" s="93"/>
      <c r="L25" s="93"/>
      <c r="M25" s="93" t="s">
        <v>853</v>
      </c>
      <c r="N25" s="93">
        <v>2</v>
      </c>
      <c r="O25" s="93"/>
      <c r="P25" s="93"/>
      <c r="Q25" s="93"/>
      <c r="R25" s="93"/>
      <c r="S25" s="93"/>
      <c r="T25" s="93"/>
      <c r="U25" s="93"/>
      <c r="V25" s="93"/>
    </row>
    <row r="26" spans="1:22" ht="15">
      <c r="A26" s="94" t="s">
        <v>780</v>
      </c>
      <c r="B26" s="93">
        <v>8</v>
      </c>
      <c r="C26" s="93" t="s">
        <v>786</v>
      </c>
      <c r="D26" s="93">
        <v>4</v>
      </c>
      <c r="E26" s="93"/>
      <c r="F26" s="93"/>
      <c r="G26" s="93"/>
      <c r="H26" s="93"/>
      <c r="I26" s="93"/>
      <c r="J26" s="93"/>
      <c r="K26" s="93"/>
      <c r="L26" s="93"/>
      <c r="M26" s="93"/>
      <c r="N26" s="93"/>
      <c r="O26" s="93"/>
      <c r="P26" s="93"/>
      <c r="Q26" s="93"/>
      <c r="R26" s="93"/>
      <c r="S26" s="93"/>
      <c r="T26" s="93"/>
      <c r="U26" s="93"/>
      <c r="V26" s="93"/>
    </row>
    <row r="27" spans="1:22" ht="15">
      <c r="A27" s="94" t="s">
        <v>781</v>
      </c>
      <c r="B27" s="93">
        <v>7</v>
      </c>
      <c r="C27" s="93" t="s">
        <v>787</v>
      </c>
      <c r="D27" s="93">
        <v>4</v>
      </c>
      <c r="E27" s="93"/>
      <c r="F27" s="93"/>
      <c r="G27" s="93"/>
      <c r="H27" s="93"/>
      <c r="I27" s="93"/>
      <c r="J27" s="93"/>
      <c r="K27" s="93"/>
      <c r="L27" s="93"/>
      <c r="M27" s="93"/>
      <c r="N27" s="93"/>
      <c r="O27" s="93"/>
      <c r="P27" s="93"/>
      <c r="Q27" s="93"/>
      <c r="R27" s="93"/>
      <c r="S27" s="93"/>
      <c r="T27" s="93"/>
      <c r="U27" s="93"/>
      <c r="V27" s="93"/>
    </row>
    <row r="28" spans="1:22" ht="15">
      <c r="A28" s="94" t="s">
        <v>782</v>
      </c>
      <c r="B28" s="93">
        <v>7</v>
      </c>
      <c r="C28" s="93" t="s">
        <v>797</v>
      </c>
      <c r="D28" s="93">
        <v>4</v>
      </c>
      <c r="E28" s="93"/>
      <c r="F28" s="93"/>
      <c r="G28" s="93"/>
      <c r="H28" s="93"/>
      <c r="I28" s="93"/>
      <c r="J28" s="93"/>
      <c r="K28" s="93"/>
      <c r="L28" s="93"/>
      <c r="M28" s="93"/>
      <c r="N28" s="93"/>
      <c r="O28" s="93"/>
      <c r="P28" s="93"/>
      <c r="Q28" s="93"/>
      <c r="R28" s="93"/>
      <c r="S28" s="93"/>
      <c r="T28" s="93"/>
      <c r="U28" s="93"/>
      <c r="V28" s="93"/>
    </row>
    <row r="29" spans="1:22" ht="15">
      <c r="A29" s="94" t="s">
        <v>783</v>
      </c>
      <c r="B29" s="93">
        <v>5</v>
      </c>
      <c r="C29" s="93" t="s">
        <v>798</v>
      </c>
      <c r="D29" s="93">
        <v>4</v>
      </c>
      <c r="E29" s="93"/>
      <c r="F29" s="93"/>
      <c r="G29" s="93"/>
      <c r="H29" s="93"/>
      <c r="I29" s="93"/>
      <c r="J29" s="93"/>
      <c r="K29" s="93"/>
      <c r="L29" s="93"/>
      <c r="M29" s="93"/>
      <c r="N29" s="93"/>
      <c r="O29" s="93"/>
      <c r="P29" s="93"/>
      <c r="Q29" s="93"/>
      <c r="R29" s="93"/>
      <c r="S29" s="93"/>
      <c r="T29" s="93"/>
      <c r="U29" s="93"/>
      <c r="V29" s="93"/>
    </row>
    <row r="32" spans="1:22" ht="15" customHeight="1">
      <c r="A32" s="13" t="s">
        <v>1006</v>
      </c>
      <c r="B32" s="13" t="s">
        <v>939</v>
      </c>
      <c r="C32" s="13" t="s">
        <v>1017</v>
      </c>
      <c r="D32" s="13" t="s">
        <v>942</v>
      </c>
      <c r="E32" s="13" t="s">
        <v>1021</v>
      </c>
      <c r="F32" s="13" t="s">
        <v>944</v>
      </c>
      <c r="G32" s="13" t="s">
        <v>1023</v>
      </c>
      <c r="H32" s="13" t="s">
        <v>946</v>
      </c>
      <c r="I32" s="13" t="s">
        <v>1025</v>
      </c>
      <c r="J32" s="13" t="s">
        <v>948</v>
      </c>
      <c r="K32" s="13" t="s">
        <v>1027</v>
      </c>
      <c r="L32" s="13" t="s">
        <v>950</v>
      </c>
      <c r="M32" s="13" t="s">
        <v>1029</v>
      </c>
      <c r="N32" s="13" t="s">
        <v>952</v>
      </c>
      <c r="O32" s="89" t="s">
        <v>1030</v>
      </c>
      <c r="P32" s="89" t="s">
        <v>954</v>
      </c>
      <c r="Q32" s="89" t="s">
        <v>1031</v>
      </c>
      <c r="R32" s="89" t="s">
        <v>956</v>
      </c>
      <c r="S32" s="89" t="s">
        <v>1032</v>
      </c>
      <c r="T32" s="89" t="s">
        <v>958</v>
      </c>
      <c r="U32" s="89" t="s">
        <v>1033</v>
      </c>
      <c r="V32" s="89" t="s">
        <v>959</v>
      </c>
    </row>
    <row r="33" spans="1:22" ht="15">
      <c r="A33" s="93" t="s">
        <v>1007</v>
      </c>
      <c r="B33" s="93">
        <v>8</v>
      </c>
      <c r="C33" s="93" t="s">
        <v>1012</v>
      </c>
      <c r="D33" s="93">
        <v>4</v>
      </c>
      <c r="E33" s="93" t="s">
        <v>1022</v>
      </c>
      <c r="F33" s="93">
        <v>3</v>
      </c>
      <c r="G33" s="93" t="s">
        <v>1024</v>
      </c>
      <c r="H33" s="93">
        <v>2</v>
      </c>
      <c r="I33" s="93" t="s">
        <v>1026</v>
      </c>
      <c r="J33" s="93">
        <v>2</v>
      </c>
      <c r="K33" s="93" t="s">
        <v>1016</v>
      </c>
      <c r="L33" s="93">
        <v>2</v>
      </c>
      <c r="M33" s="93" t="s">
        <v>1007</v>
      </c>
      <c r="N33" s="93">
        <v>4</v>
      </c>
      <c r="O33" s="93"/>
      <c r="P33" s="93"/>
      <c r="Q33" s="93"/>
      <c r="R33" s="93"/>
      <c r="S33" s="93"/>
      <c r="T33" s="93"/>
      <c r="U33" s="93"/>
      <c r="V33" s="93"/>
    </row>
    <row r="34" spans="1:22" ht="15">
      <c r="A34" s="94" t="s">
        <v>1008</v>
      </c>
      <c r="B34" s="93">
        <v>8</v>
      </c>
      <c r="C34" s="93" t="s">
        <v>1007</v>
      </c>
      <c r="D34" s="93">
        <v>4</v>
      </c>
      <c r="E34" s="93"/>
      <c r="F34" s="93"/>
      <c r="G34" s="93"/>
      <c r="H34" s="93"/>
      <c r="I34" s="93"/>
      <c r="J34" s="93"/>
      <c r="K34" s="93" t="s">
        <v>1028</v>
      </c>
      <c r="L34" s="93">
        <v>2</v>
      </c>
      <c r="M34" s="93" t="s">
        <v>1008</v>
      </c>
      <c r="N34" s="93">
        <v>4</v>
      </c>
      <c r="O34" s="93"/>
      <c r="P34" s="93"/>
      <c r="Q34" s="93"/>
      <c r="R34" s="93"/>
      <c r="S34" s="93"/>
      <c r="T34" s="93"/>
      <c r="U34" s="93"/>
      <c r="V34" s="93"/>
    </row>
    <row r="35" spans="1:22" ht="15">
      <c r="A35" s="94" t="s">
        <v>1009</v>
      </c>
      <c r="B35" s="93">
        <v>8</v>
      </c>
      <c r="C35" s="93" t="s">
        <v>1008</v>
      </c>
      <c r="D35" s="93">
        <v>4</v>
      </c>
      <c r="E35" s="93"/>
      <c r="F35" s="93"/>
      <c r="G35" s="93"/>
      <c r="H35" s="93"/>
      <c r="I35" s="93"/>
      <c r="J35" s="93"/>
      <c r="K35" s="93"/>
      <c r="L35" s="93"/>
      <c r="M35" s="93" t="s">
        <v>1009</v>
      </c>
      <c r="N35" s="93">
        <v>4</v>
      </c>
      <c r="O35" s="93"/>
      <c r="P35" s="93"/>
      <c r="Q35" s="93"/>
      <c r="R35" s="93"/>
      <c r="S35" s="93"/>
      <c r="T35" s="93"/>
      <c r="U35" s="93"/>
      <c r="V35" s="93"/>
    </row>
    <row r="36" spans="1:22" ht="15">
      <c r="A36" s="94" t="s">
        <v>1010</v>
      </c>
      <c r="B36" s="93">
        <v>4</v>
      </c>
      <c r="C36" s="93" t="s">
        <v>1009</v>
      </c>
      <c r="D36" s="93">
        <v>4</v>
      </c>
      <c r="E36" s="93"/>
      <c r="F36" s="93"/>
      <c r="G36" s="93"/>
      <c r="H36" s="93"/>
      <c r="I36" s="93"/>
      <c r="J36" s="93"/>
      <c r="K36" s="93"/>
      <c r="L36" s="93"/>
      <c r="M36" s="93" t="s">
        <v>1011</v>
      </c>
      <c r="N36" s="93">
        <v>2</v>
      </c>
      <c r="O36" s="93"/>
      <c r="P36" s="93"/>
      <c r="Q36" s="93"/>
      <c r="R36" s="93"/>
      <c r="S36" s="93"/>
      <c r="T36" s="93"/>
      <c r="U36" s="93"/>
      <c r="V36" s="93"/>
    </row>
    <row r="37" spans="1:22" ht="15">
      <c r="A37" s="94" t="s">
        <v>1011</v>
      </c>
      <c r="B37" s="93">
        <v>4</v>
      </c>
      <c r="C37" s="93" t="s">
        <v>1013</v>
      </c>
      <c r="D37" s="93">
        <v>3</v>
      </c>
      <c r="E37" s="93"/>
      <c r="F37" s="93"/>
      <c r="G37" s="93"/>
      <c r="H37" s="93"/>
      <c r="I37" s="93"/>
      <c r="J37" s="93"/>
      <c r="K37" s="93"/>
      <c r="L37" s="93"/>
      <c r="M37" s="93"/>
      <c r="N37" s="93"/>
      <c r="O37" s="93"/>
      <c r="P37" s="93"/>
      <c r="Q37" s="93"/>
      <c r="R37" s="93"/>
      <c r="S37" s="93"/>
      <c r="T37" s="93"/>
      <c r="U37" s="93"/>
      <c r="V37" s="93"/>
    </row>
    <row r="38" spans="1:22" ht="15">
      <c r="A38" s="94" t="s">
        <v>1012</v>
      </c>
      <c r="B38" s="93">
        <v>4</v>
      </c>
      <c r="C38" s="93" t="s">
        <v>1015</v>
      </c>
      <c r="D38" s="93">
        <v>3</v>
      </c>
      <c r="E38" s="93"/>
      <c r="F38" s="93"/>
      <c r="G38" s="93"/>
      <c r="H38" s="93"/>
      <c r="I38" s="93"/>
      <c r="J38" s="93"/>
      <c r="K38" s="93"/>
      <c r="L38" s="93"/>
      <c r="M38" s="93"/>
      <c r="N38" s="93"/>
      <c r="O38" s="93"/>
      <c r="P38" s="93"/>
      <c r="Q38" s="93"/>
      <c r="R38" s="93"/>
      <c r="S38" s="93"/>
      <c r="T38" s="93"/>
      <c r="U38" s="93"/>
      <c r="V38" s="93"/>
    </row>
    <row r="39" spans="1:22" ht="15">
      <c r="A39" s="94" t="s">
        <v>1013</v>
      </c>
      <c r="B39" s="93">
        <v>3</v>
      </c>
      <c r="C39" s="93" t="s">
        <v>1010</v>
      </c>
      <c r="D39" s="93">
        <v>2</v>
      </c>
      <c r="E39" s="93"/>
      <c r="F39" s="93"/>
      <c r="G39" s="93"/>
      <c r="H39" s="93"/>
      <c r="I39" s="93"/>
      <c r="J39" s="93"/>
      <c r="K39" s="93"/>
      <c r="L39" s="93"/>
      <c r="M39" s="93"/>
      <c r="N39" s="93"/>
      <c r="O39" s="93"/>
      <c r="P39" s="93"/>
      <c r="Q39" s="93"/>
      <c r="R39" s="93"/>
      <c r="S39" s="93"/>
      <c r="T39" s="93"/>
      <c r="U39" s="93"/>
      <c r="V39" s="93"/>
    </row>
    <row r="40" spans="1:22" ht="15">
      <c r="A40" s="94" t="s">
        <v>1014</v>
      </c>
      <c r="B40" s="93">
        <v>3</v>
      </c>
      <c r="C40" s="93" t="s">
        <v>1018</v>
      </c>
      <c r="D40" s="93">
        <v>2</v>
      </c>
      <c r="E40" s="93"/>
      <c r="F40" s="93"/>
      <c r="G40" s="93"/>
      <c r="H40" s="93"/>
      <c r="I40" s="93"/>
      <c r="J40" s="93"/>
      <c r="K40" s="93"/>
      <c r="L40" s="93"/>
      <c r="M40" s="93"/>
      <c r="N40" s="93"/>
      <c r="O40" s="93"/>
      <c r="P40" s="93"/>
      <c r="Q40" s="93"/>
      <c r="R40" s="93"/>
      <c r="S40" s="93"/>
      <c r="T40" s="93"/>
      <c r="U40" s="93"/>
      <c r="V40" s="93"/>
    </row>
    <row r="41" spans="1:22" ht="15">
      <c r="A41" s="94" t="s">
        <v>1015</v>
      </c>
      <c r="B41" s="93">
        <v>3</v>
      </c>
      <c r="C41" s="93" t="s">
        <v>1019</v>
      </c>
      <c r="D41" s="93">
        <v>2</v>
      </c>
      <c r="E41" s="93"/>
      <c r="F41" s="93"/>
      <c r="G41" s="93"/>
      <c r="H41" s="93"/>
      <c r="I41" s="93"/>
      <c r="J41" s="93"/>
      <c r="K41" s="93"/>
      <c r="L41" s="93"/>
      <c r="M41" s="93"/>
      <c r="N41" s="93"/>
      <c r="O41" s="93"/>
      <c r="P41" s="93"/>
      <c r="Q41" s="93"/>
      <c r="R41" s="93"/>
      <c r="S41" s="93"/>
      <c r="T41" s="93"/>
      <c r="U41" s="93"/>
      <c r="V41" s="93"/>
    </row>
    <row r="42" spans="1:22" ht="15">
      <c r="A42" s="94" t="s">
        <v>1016</v>
      </c>
      <c r="B42" s="93">
        <v>3</v>
      </c>
      <c r="C42" s="93" t="s">
        <v>1020</v>
      </c>
      <c r="D42" s="93">
        <v>2</v>
      </c>
      <c r="E42" s="93"/>
      <c r="F42" s="93"/>
      <c r="G42" s="93"/>
      <c r="H42" s="93"/>
      <c r="I42" s="93"/>
      <c r="J42" s="93"/>
      <c r="K42" s="93"/>
      <c r="L42" s="93"/>
      <c r="M42" s="93"/>
      <c r="N42" s="93"/>
      <c r="O42" s="93"/>
      <c r="P42" s="93"/>
      <c r="Q42" s="93"/>
      <c r="R42" s="93"/>
      <c r="S42" s="93"/>
      <c r="T42" s="93"/>
      <c r="U42" s="93"/>
      <c r="V42" s="93"/>
    </row>
  </sheetData>
  <hyperlinks>
    <hyperlink ref="A2" r:id="rId1" display="https://gurudeseyesubai.org/hidden-causes-of-disease-3/"/>
    <hyperlink ref="A3" r:id="rId2" display="http://gmail.com/"/>
    <hyperlink ref="A4" r:id="rId3" display="https://www.youtube.com/watch?v=fK1_SH3X2ek&amp;amp;t=2m13s"/>
    <hyperlink ref="A5" r:id="rId4" display="http://www.paho.org/nmh"/>
    <hyperlink ref="A6" r:id="rId5" display="http://paho.org/"/>
    <hyperlink ref="C2" r:id="rId6" display="https://gurudeseyesubai.org/hidden-causes-of-disease-3/"/>
    <hyperlink ref="C3" r:id="rId7" display="http://gmail.com/"/>
    <hyperlink ref="C4" r:id="rId8" display="http://paho.org/"/>
    <hyperlink ref="C5" r:id="rId9" display="http://www.paho.org/nmh"/>
    <hyperlink ref="K2" r:id="rId10" display="https://www.youtube.com/watch?v=fK1_SH3X2ek&amp;amp;t=2m13s"/>
    <hyperlink ref="M2" r:id="rId11" display="https://gurudeseyesubai.org/hidden-causes-of-disease-3/"/>
  </hyperlinks>
  <printOptions/>
  <pageMargins left="0.7" right="0.7" top="0.75" bottom="0.75" header="0.3" footer="0.3"/>
  <pageSetup orientation="portrait" paperSize="9"/>
  <tableParts>
    <tablePart r:id="rId16"/>
    <tablePart r:id="rId12"/>
    <tablePart r:id="rId13"/>
    <tablePart r:id="rId14"/>
    <tablePart r:id="rId1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87FC-FA10-497B-9078-AE763A0B8FAE}">
  <dimension ref="A25:B73"/>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33" t="s">
        <v>1200</v>
      </c>
      <c r="B25" t="s">
        <v>1199</v>
      </c>
    </row>
    <row r="26" spans="1:2" ht="15">
      <c r="A26" s="134" t="s">
        <v>1202</v>
      </c>
      <c r="B26" s="3">
        <v>2</v>
      </c>
    </row>
    <row r="27" spans="1:2" ht="15">
      <c r="A27" s="135" t="s">
        <v>1203</v>
      </c>
      <c r="B27" s="3">
        <v>1</v>
      </c>
    </row>
    <row r="28" spans="1:2" ht="15">
      <c r="A28" s="135" t="s">
        <v>1204</v>
      </c>
      <c r="B28" s="3">
        <v>1</v>
      </c>
    </row>
    <row r="29" spans="1:2" ht="15">
      <c r="A29" s="134" t="s">
        <v>1205</v>
      </c>
      <c r="B29" s="3">
        <v>10</v>
      </c>
    </row>
    <row r="30" spans="1:2" ht="15">
      <c r="A30" s="135" t="s">
        <v>1206</v>
      </c>
      <c r="B30" s="3">
        <v>1</v>
      </c>
    </row>
    <row r="31" spans="1:2" ht="15">
      <c r="A31" s="135" t="s">
        <v>1207</v>
      </c>
      <c r="B31" s="3">
        <v>3</v>
      </c>
    </row>
    <row r="32" spans="1:2" ht="15">
      <c r="A32" s="135" t="s">
        <v>1208</v>
      </c>
      <c r="B32" s="3">
        <v>1</v>
      </c>
    </row>
    <row r="33" spans="1:2" ht="15">
      <c r="A33" s="135" t="s">
        <v>1209</v>
      </c>
      <c r="B33" s="3">
        <v>2</v>
      </c>
    </row>
    <row r="34" spans="1:2" ht="15">
      <c r="A34" s="135" t="s">
        <v>1210</v>
      </c>
      <c r="B34" s="3">
        <v>2</v>
      </c>
    </row>
    <row r="35" spans="1:2" ht="15">
      <c r="A35" s="135" t="s">
        <v>1204</v>
      </c>
      <c r="B35" s="3">
        <v>1</v>
      </c>
    </row>
    <row r="36" spans="1:2" ht="15">
      <c r="A36" s="134" t="s">
        <v>1211</v>
      </c>
      <c r="B36" s="3">
        <v>9</v>
      </c>
    </row>
    <row r="37" spans="1:2" ht="15">
      <c r="A37" s="135" t="s">
        <v>1206</v>
      </c>
      <c r="B37" s="3">
        <v>2</v>
      </c>
    </row>
    <row r="38" spans="1:2" ht="15">
      <c r="A38" s="135" t="s">
        <v>1212</v>
      </c>
      <c r="B38" s="3">
        <v>2</v>
      </c>
    </row>
    <row r="39" spans="1:2" ht="15">
      <c r="A39" s="135" t="s">
        <v>1203</v>
      </c>
      <c r="B39" s="3">
        <v>1</v>
      </c>
    </row>
    <row r="40" spans="1:2" ht="15">
      <c r="A40" s="135" t="s">
        <v>1213</v>
      </c>
      <c r="B40" s="3">
        <v>1</v>
      </c>
    </row>
    <row r="41" spans="1:2" ht="15">
      <c r="A41" s="135" t="s">
        <v>1210</v>
      </c>
      <c r="B41" s="3">
        <v>1</v>
      </c>
    </row>
    <row r="42" spans="1:2" ht="15">
      <c r="A42" s="135" t="s">
        <v>1204</v>
      </c>
      <c r="B42" s="3">
        <v>2</v>
      </c>
    </row>
    <row r="43" spans="1:2" ht="15">
      <c r="A43" s="134" t="s">
        <v>1214</v>
      </c>
      <c r="B43" s="3">
        <v>16</v>
      </c>
    </row>
    <row r="44" spans="1:2" ht="15">
      <c r="A44" s="135" t="s">
        <v>1206</v>
      </c>
      <c r="B44" s="3">
        <v>1</v>
      </c>
    </row>
    <row r="45" spans="1:2" ht="15">
      <c r="A45" s="135" t="s">
        <v>1212</v>
      </c>
      <c r="B45" s="3">
        <v>3</v>
      </c>
    </row>
    <row r="46" spans="1:2" ht="15">
      <c r="A46" s="135" t="s">
        <v>1215</v>
      </c>
      <c r="B46" s="3">
        <v>3</v>
      </c>
    </row>
    <row r="47" spans="1:2" ht="15">
      <c r="A47" s="135" t="s">
        <v>1207</v>
      </c>
      <c r="B47" s="3">
        <v>4</v>
      </c>
    </row>
    <row r="48" spans="1:2" ht="15">
      <c r="A48" s="135" t="s">
        <v>1216</v>
      </c>
      <c r="B48" s="3">
        <v>1</v>
      </c>
    </row>
    <row r="49" spans="1:2" ht="15">
      <c r="A49" s="135" t="s">
        <v>1213</v>
      </c>
      <c r="B49" s="3">
        <v>1</v>
      </c>
    </row>
    <row r="50" spans="1:2" ht="15">
      <c r="A50" s="135" t="s">
        <v>1209</v>
      </c>
      <c r="B50" s="3">
        <v>1</v>
      </c>
    </row>
    <row r="51" spans="1:2" ht="15">
      <c r="A51" s="135" t="s">
        <v>1210</v>
      </c>
      <c r="B51" s="3">
        <v>1</v>
      </c>
    </row>
    <row r="52" spans="1:2" ht="15">
      <c r="A52" s="135" t="s">
        <v>1204</v>
      </c>
      <c r="B52" s="3">
        <v>1</v>
      </c>
    </row>
    <row r="53" spans="1:2" ht="15">
      <c r="A53" s="134" t="s">
        <v>1217</v>
      </c>
      <c r="B53" s="3">
        <v>80</v>
      </c>
    </row>
    <row r="54" spans="1:2" ht="15">
      <c r="A54" s="135" t="s">
        <v>1206</v>
      </c>
      <c r="B54" s="3">
        <v>2</v>
      </c>
    </row>
    <row r="55" spans="1:2" ht="15">
      <c r="A55" s="135" t="s">
        <v>1212</v>
      </c>
      <c r="B55" s="3">
        <v>1</v>
      </c>
    </row>
    <row r="56" spans="1:2" ht="15">
      <c r="A56" s="135" t="s">
        <v>1215</v>
      </c>
      <c r="B56" s="3">
        <v>3</v>
      </c>
    </row>
    <row r="57" spans="1:2" ht="15">
      <c r="A57" s="135" t="s">
        <v>1207</v>
      </c>
      <c r="B57" s="3">
        <v>18</v>
      </c>
    </row>
    <row r="58" spans="1:2" ht="15">
      <c r="A58" s="135" t="s">
        <v>1208</v>
      </c>
      <c r="B58" s="3">
        <v>10</v>
      </c>
    </row>
    <row r="59" spans="1:2" ht="15">
      <c r="A59" s="135" t="s">
        <v>1216</v>
      </c>
      <c r="B59" s="3">
        <v>5</v>
      </c>
    </row>
    <row r="60" spans="1:2" ht="15">
      <c r="A60" s="135" t="s">
        <v>1203</v>
      </c>
      <c r="B60" s="3">
        <v>2</v>
      </c>
    </row>
    <row r="61" spans="1:2" ht="15">
      <c r="A61" s="135" t="s">
        <v>1218</v>
      </c>
      <c r="B61" s="3">
        <v>8</v>
      </c>
    </row>
    <row r="62" spans="1:2" ht="15">
      <c r="A62" s="135" t="s">
        <v>1213</v>
      </c>
      <c r="B62" s="3">
        <v>3</v>
      </c>
    </row>
    <row r="63" spans="1:2" ht="15">
      <c r="A63" s="135" t="s">
        <v>1209</v>
      </c>
      <c r="B63" s="3">
        <v>16</v>
      </c>
    </row>
    <row r="64" spans="1:2" ht="15">
      <c r="A64" s="135" t="s">
        <v>1210</v>
      </c>
      <c r="B64" s="3">
        <v>7</v>
      </c>
    </row>
    <row r="65" spans="1:2" ht="15">
      <c r="A65" s="135" t="s">
        <v>1204</v>
      </c>
      <c r="B65" s="3">
        <v>5</v>
      </c>
    </row>
    <row r="66" spans="1:2" ht="15">
      <c r="A66" s="134" t="s">
        <v>1219</v>
      </c>
      <c r="B66" s="3">
        <v>47</v>
      </c>
    </row>
    <row r="67" spans="1:2" ht="15">
      <c r="A67" s="135" t="s">
        <v>1206</v>
      </c>
      <c r="B67" s="3">
        <v>4</v>
      </c>
    </row>
    <row r="68" spans="1:2" ht="15">
      <c r="A68" s="135" t="s">
        <v>1212</v>
      </c>
      <c r="B68" s="3">
        <v>13</v>
      </c>
    </row>
    <row r="69" spans="1:2" ht="15">
      <c r="A69" s="135" t="s">
        <v>1215</v>
      </c>
      <c r="B69" s="3">
        <v>6</v>
      </c>
    </row>
    <row r="70" spans="1:2" ht="15">
      <c r="A70" s="135" t="s">
        <v>1207</v>
      </c>
      <c r="B70" s="3">
        <v>9</v>
      </c>
    </row>
    <row r="71" spans="1:2" ht="15">
      <c r="A71" s="135" t="s">
        <v>1208</v>
      </c>
      <c r="B71" s="3">
        <v>10</v>
      </c>
    </row>
    <row r="72" spans="1:2" ht="15">
      <c r="A72" s="135" t="s">
        <v>1216</v>
      </c>
      <c r="B72" s="3">
        <v>5</v>
      </c>
    </row>
    <row r="73" spans="1:2" ht="15">
      <c r="A73" s="134" t="s">
        <v>1201</v>
      </c>
      <c r="B73" s="3">
        <v>164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31"/>
  <sheetViews>
    <sheetView workbookViewId="0" topLeftCell="A1">
      <pane xSplit="1" ySplit="2" topLeftCell="AA102" activePane="bottomRight" state="frozen"/>
      <selection pane="topRight" activeCell="B1" sqref="B1"/>
      <selection pane="bottomLeft" activeCell="A3" sqref="A3"/>
      <selection pane="bottomRight" activeCell="A81" sqref="A81:BN8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2.00390625" style="2"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667</v>
      </c>
      <c r="AE2" s="13" t="s">
        <v>668</v>
      </c>
      <c r="AF2" s="13" t="s">
        <v>213</v>
      </c>
      <c r="AG2" s="13" t="s">
        <v>214</v>
      </c>
      <c r="AH2" s="13" t="s">
        <v>215</v>
      </c>
      <c r="AI2" s="13" t="s">
        <v>669</v>
      </c>
      <c r="AJ2" s="13" t="s">
        <v>221</v>
      </c>
      <c r="AK2" s="13" t="s">
        <v>670</v>
      </c>
      <c r="AL2" s="13" t="s">
        <v>671</v>
      </c>
      <c r="AM2" s="13" t="s">
        <v>672</v>
      </c>
      <c r="AN2" s="13" t="s">
        <v>673</v>
      </c>
      <c r="AO2" s="13" t="s">
        <v>674</v>
      </c>
      <c r="AP2" s="13" t="s">
        <v>675</v>
      </c>
      <c r="AQ2" s="13" t="s">
        <v>676</v>
      </c>
      <c r="AR2" s="13" t="s">
        <v>677</v>
      </c>
      <c r="AS2" s="13" t="s">
        <v>678</v>
      </c>
      <c r="AT2" s="13" t="s">
        <v>679</v>
      </c>
      <c r="AU2" s="13" t="s">
        <v>761</v>
      </c>
      <c r="AV2" s="129" t="s">
        <v>888</v>
      </c>
      <c r="AW2" s="129" t="s">
        <v>889</v>
      </c>
      <c r="AX2" s="129" t="s">
        <v>890</v>
      </c>
      <c r="AY2" s="129" t="s">
        <v>891</v>
      </c>
      <c r="AZ2" s="129" t="s">
        <v>892</v>
      </c>
      <c r="BA2" s="129" t="s">
        <v>893</v>
      </c>
      <c r="BB2" s="129" t="s">
        <v>894</v>
      </c>
      <c r="BC2" s="129" t="s">
        <v>895</v>
      </c>
      <c r="BD2" s="129" t="s">
        <v>897</v>
      </c>
      <c r="BE2" s="129" t="s">
        <v>1038</v>
      </c>
      <c r="BF2" s="129" t="s">
        <v>1040</v>
      </c>
      <c r="BG2" s="129" t="s">
        <v>1041</v>
      </c>
      <c r="BH2" s="129" t="s">
        <v>1042</v>
      </c>
      <c r="BI2" s="129" t="s">
        <v>1043</v>
      </c>
      <c r="BJ2" s="129" t="s">
        <v>1044</v>
      </c>
      <c r="BK2" s="129" t="s">
        <v>1045</v>
      </c>
      <c r="BL2" s="129" t="s">
        <v>1120</v>
      </c>
      <c r="BM2" s="129" t="s">
        <v>1129</v>
      </c>
      <c r="BN2" s="129" t="s">
        <v>1193</v>
      </c>
      <c r="BO2" s="3"/>
      <c r="BP2" s="3"/>
    </row>
    <row r="3" spans="1:68" ht="15" customHeight="1">
      <c r="A3" s="65" t="s">
        <v>299</v>
      </c>
      <c r="B3" s="66"/>
      <c r="C3" s="66"/>
      <c r="D3" s="67">
        <v>150</v>
      </c>
      <c r="E3" s="69"/>
      <c r="F3" s="108" t="str">
        <f>HYPERLINK("https://yt3.ggpht.com/ytc/AAUvwnj-xn1im_GQYmCCqilSmEbs9L9QJQFCRaLVGA=s88-c-k-c0x00ffffff-no-rj")</f>
        <v>https://yt3.ggpht.com/ytc/AAUvwnj-xn1im_GQYmCCqilSmEbs9L9QJQFCRaLVGA=s88-c-k-c0x00ffffff-no-rj</v>
      </c>
      <c r="G3" s="66"/>
      <c r="H3" s="70" t="s">
        <v>578</v>
      </c>
      <c r="I3" s="71"/>
      <c r="J3" s="71" t="s">
        <v>159</v>
      </c>
      <c r="K3" s="70" t="s">
        <v>578</v>
      </c>
      <c r="L3" s="74">
        <v>1</v>
      </c>
      <c r="M3" s="75">
        <v>6038.6953125</v>
      </c>
      <c r="N3" s="75">
        <v>9658.0625</v>
      </c>
      <c r="O3" s="76"/>
      <c r="P3" s="77"/>
      <c r="Q3" s="77"/>
      <c r="R3" s="101"/>
      <c r="S3" s="49">
        <v>0</v>
      </c>
      <c r="T3" s="49">
        <v>1</v>
      </c>
      <c r="U3" s="50">
        <v>0</v>
      </c>
      <c r="V3" s="50">
        <v>0.003937</v>
      </c>
      <c r="W3" s="50">
        <v>0.004527</v>
      </c>
      <c r="X3" s="50">
        <v>0.486308</v>
      </c>
      <c r="Y3" s="50">
        <v>0</v>
      </c>
      <c r="Z3" s="50">
        <v>0</v>
      </c>
      <c r="AA3" s="72">
        <v>3</v>
      </c>
      <c r="AB3" s="72"/>
      <c r="AC3" s="73"/>
      <c r="AD3" s="89" t="s">
        <v>578</v>
      </c>
      <c r="AE3" s="89" t="s">
        <v>712</v>
      </c>
      <c r="AF3" s="89"/>
      <c r="AG3" s="89"/>
      <c r="AH3" s="89"/>
      <c r="AI3" s="89"/>
      <c r="AJ3" s="98">
        <v>44098.81517361111</v>
      </c>
      <c r="AK3" s="95" t="str">
        <f>HYPERLINK("https://yt3.ggpht.com/ytc/AAUvwnj-xn1im_GQYmCCqilSmEbs9L9QJQFCRaLVGA=s88-c-k-c0x00ffffff-no-rj")</f>
        <v>https://yt3.ggpht.com/ytc/AAUvwnj-xn1im_GQYmCCqilSmEbs9L9QJQFCRaLVGA=s88-c-k-c0x00ffffff-no-rj</v>
      </c>
      <c r="AL3" s="89">
        <v>110</v>
      </c>
      <c r="AM3" s="89">
        <v>0</v>
      </c>
      <c r="AN3" s="89">
        <v>7</v>
      </c>
      <c r="AO3" s="89" t="b">
        <v>0</v>
      </c>
      <c r="AP3" s="89">
        <v>5</v>
      </c>
      <c r="AQ3" s="89"/>
      <c r="AR3" s="89"/>
      <c r="AS3" s="89" t="s">
        <v>736</v>
      </c>
      <c r="AT3" s="95" t="str">
        <f>HYPERLINK("https://www.youtube.com/channel/UCN7DbIpJ94hcULRngZR-qRA")</f>
        <v>https://www.youtube.com/channel/UCN7DbIpJ94hcULRngZR-qRA</v>
      </c>
      <c r="AU3" s="89" t="str">
        <f>REPLACE(INDEX(GroupVertices[Group],MATCH(Vertices[[#This Row],[Vertex]],GroupVertices[Vertex],0)),1,1,"")</f>
        <v>2</v>
      </c>
      <c r="AV3" s="49">
        <v>0</v>
      </c>
      <c r="AW3" s="50">
        <v>0</v>
      </c>
      <c r="AX3" s="49">
        <v>0</v>
      </c>
      <c r="AY3" s="50">
        <v>0</v>
      </c>
      <c r="AZ3" s="49">
        <v>0</v>
      </c>
      <c r="BA3" s="50">
        <v>0</v>
      </c>
      <c r="BB3" s="49">
        <v>1</v>
      </c>
      <c r="BC3" s="50">
        <v>100</v>
      </c>
      <c r="BD3" s="49">
        <v>1</v>
      </c>
      <c r="BE3" s="49"/>
      <c r="BF3" s="49"/>
      <c r="BG3" s="49"/>
      <c r="BH3" s="49"/>
      <c r="BI3" s="49"/>
      <c r="BJ3" s="49"/>
      <c r="BK3" s="127" t="s">
        <v>666</v>
      </c>
      <c r="BL3" s="127" t="s">
        <v>666</v>
      </c>
      <c r="BM3" s="127" t="s">
        <v>666</v>
      </c>
      <c r="BN3" s="127" t="s">
        <v>666</v>
      </c>
      <c r="BO3" s="3"/>
      <c r="BP3" s="3"/>
    </row>
    <row r="4" spans="1:71" ht="15">
      <c r="A4" s="65" t="s">
        <v>261</v>
      </c>
      <c r="B4" s="66"/>
      <c r="C4" s="66"/>
      <c r="D4" s="67">
        <v>271.42857142857144</v>
      </c>
      <c r="E4" s="69"/>
      <c r="F4" s="108" t="str">
        <f>HYPERLINK("https://yt3.ggpht.com/ytc/AAUvwng9zgN41K-ptpjkGLn3uCQ9qHQs09j2LCjnDtDirQ=s88-c-k-c0x00ffffff-no-rj")</f>
        <v>https://yt3.ggpht.com/ytc/AAUvwng9zgN41K-ptpjkGLn3uCQ9qHQs09j2LCjnDtDirQ=s88-c-k-c0x00ffffff-no-rj</v>
      </c>
      <c r="G4" s="66"/>
      <c r="H4" s="70" t="s">
        <v>540</v>
      </c>
      <c r="I4" s="71"/>
      <c r="J4" s="71" t="s">
        <v>159</v>
      </c>
      <c r="K4" s="70" t="s">
        <v>540</v>
      </c>
      <c r="L4" s="74">
        <v>167.63333333333333</v>
      </c>
      <c r="M4" s="75">
        <v>3267.18994140625</v>
      </c>
      <c r="N4" s="75">
        <v>5712.95068359375</v>
      </c>
      <c r="O4" s="76"/>
      <c r="P4" s="77"/>
      <c r="Q4" s="77"/>
      <c r="R4" s="101"/>
      <c r="S4" s="49">
        <v>1</v>
      </c>
      <c r="T4" s="49">
        <v>1</v>
      </c>
      <c r="U4" s="50">
        <v>41.8</v>
      </c>
      <c r="V4" s="50">
        <v>0.004739</v>
      </c>
      <c r="W4" s="50">
        <v>0.012434</v>
      </c>
      <c r="X4" s="50">
        <v>0.780976</v>
      </c>
      <c r="Y4" s="50">
        <v>0</v>
      </c>
      <c r="Z4" s="50">
        <v>0</v>
      </c>
      <c r="AA4" s="72">
        <v>4</v>
      </c>
      <c r="AB4" s="72"/>
      <c r="AC4" s="73"/>
      <c r="AD4" s="89" t="s">
        <v>540</v>
      </c>
      <c r="AE4" s="89"/>
      <c r="AF4" s="89"/>
      <c r="AG4" s="89"/>
      <c r="AH4" s="89"/>
      <c r="AI4" s="89" t="s">
        <v>734</v>
      </c>
      <c r="AJ4" s="98">
        <v>40822.54053240741</v>
      </c>
      <c r="AK4" s="95" t="str">
        <f>HYPERLINK("https://yt3.ggpht.com/ytc/AAUvwng9zgN41K-ptpjkGLn3uCQ9qHQs09j2LCjnDtDirQ=s88-c-k-c0x00ffffff-no-rj")</f>
        <v>https://yt3.ggpht.com/ytc/AAUvwng9zgN41K-ptpjkGLn3uCQ9qHQs09j2LCjnDtDirQ=s88-c-k-c0x00ffffff-no-rj</v>
      </c>
      <c r="AL4" s="89">
        <v>0</v>
      </c>
      <c r="AM4" s="89">
        <v>0</v>
      </c>
      <c r="AN4" s="89">
        <v>1</v>
      </c>
      <c r="AO4" s="89" t="b">
        <v>0</v>
      </c>
      <c r="AP4" s="89">
        <v>0</v>
      </c>
      <c r="AQ4" s="89"/>
      <c r="AR4" s="89"/>
      <c r="AS4" s="89" t="s">
        <v>736</v>
      </c>
      <c r="AT4" s="95" t="str">
        <f>HYPERLINK("https://www.youtube.com/channel/UCAW8PZ9dS-LxMtpgSGl6srg")</f>
        <v>https://www.youtube.com/channel/UCAW8PZ9dS-LxMtpgSGl6srg</v>
      </c>
      <c r="AU4" s="89" t="str">
        <f>REPLACE(INDEX(GroupVertices[Group],MATCH(Vertices[[#This Row],[Vertex]],GroupVertices[Vertex],0)),1,1,"")</f>
        <v>1</v>
      </c>
      <c r="AV4" s="49">
        <v>1</v>
      </c>
      <c r="AW4" s="50">
        <v>5.555555555555555</v>
      </c>
      <c r="AX4" s="49">
        <v>0</v>
      </c>
      <c r="AY4" s="50">
        <v>0</v>
      </c>
      <c r="AZ4" s="49">
        <v>0</v>
      </c>
      <c r="BA4" s="50">
        <v>0</v>
      </c>
      <c r="BB4" s="49">
        <v>17</v>
      </c>
      <c r="BC4" s="50">
        <v>94.44444444444444</v>
      </c>
      <c r="BD4" s="49">
        <v>18</v>
      </c>
      <c r="BE4" s="49"/>
      <c r="BF4" s="49"/>
      <c r="BG4" s="49"/>
      <c r="BH4" s="49"/>
      <c r="BI4" s="49"/>
      <c r="BJ4" s="49"/>
      <c r="BK4" s="127" t="s">
        <v>1046</v>
      </c>
      <c r="BL4" s="127" t="s">
        <v>1046</v>
      </c>
      <c r="BM4" s="127" t="s">
        <v>1130</v>
      </c>
      <c r="BN4" s="127" t="s">
        <v>1130</v>
      </c>
      <c r="BO4" s="2"/>
      <c r="BP4" s="3"/>
      <c r="BQ4" s="3"/>
      <c r="BR4" s="3"/>
      <c r="BS4" s="3"/>
    </row>
    <row r="5" spans="1:71" ht="15">
      <c r="A5" s="65" t="s">
        <v>348</v>
      </c>
      <c r="B5" s="66"/>
      <c r="C5" s="66"/>
      <c r="D5" s="67">
        <v>271.42857142857144</v>
      </c>
      <c r="E5" s="69"/>
      <c r="F5" s="108" t="str">
        <f>HYPERLINK("https://yt3.ggpht.com/ytc/AAUvwnh-IAXSREZoHttHOAdbCUZrJYsgevHUpscAPIcY=s88-c-k-c0x00ffffff-no-rj")</f>
        <v>https://yt3.ggpht.com/ytc/AAUvwnh-IAXSREZoHttHOAdbCUZrJYsgevHUpscAPIcY=s88-c-k-c0x00ffffff-no-rj</v>
      </c>
      <c r="G5" s="66"/>
      <c r="H5" s="70" t="s">
        <v>683</v>
      </c>
      <c r="I5" s="71"/>
      <c r="J5" s="71" t="s">
        <v>159</v>
      </c>
      <c r="K5" s="70" t="s">
        <v>683</v>
      </c>
      <c r="L5" s="74">
        <v>167.63333333333333</v>
      </c>
      <c r="M5" s="75">
        <v>6379.404296875</v>
      </c>
      <c r="N5" s="75">
        <v>437.0950012207031</v>
      </c>
      <c r="O5" s="76"/>
      <c r="P5" s="77"/>
      <c r="Q5" s="77"/>
      <c r="R5" s="101"/>
      <c r="S5" s="49">
        <v>1</v>
      </c>
      <c r="T5" s="49">
        <v>1</v>
      </c>
      <c r="U5" s="50">
        <v>0</v>
      </c>
      <c r="V5" s="50">
        <v>0</v>
      </c>
      <c r="W5" s="50">
        <v>0</v>
      </c>
      <c r="X5" s="50">
        <v>0.999996</v>
      </c>
      <c r="Y5" s="50">
        <v>0</v>
      </c>
      <c r="Z5" s="50">
        <v>0</v>
      </c>
      <c r="AA5" s="72">
        <v>5</v>
      </c>
      <c r="AB5" s="72"/>
      <c r="AC5" s="73"/>
      <c r="AD5" s="89" t="s">
        <v>683</v>
      </c>
      <c r="AE5" s="89" t="s">
        <v>725</v>
      </c>
      <c r="AF5" s="89"/>
      <c r="AG5" s="89"/>
      <c r="AH5" s="89"/>
      <c r="AI5" s="89" t="s">
        <v>683</v>
      </c>
      <c r="AJ5" s="98">
        <v>40815.68178240741</v>
      </c>
      <c r="AK5" s="95" t="str">
        <f>HYPERLINK("https://yt3.ggpht.com/ytc/AAUvwnh-IAXSREZoHttHOAdbCUZrJYsgevHUpscAPIcY=s88-c-k-c0x00ffffff-no-rj")</f>
        <v>https://yt3.ggpht.com/ytc/AAUvwnh-IAXSREZoHttHOAdbCUZrJYsgevHUpscAPIcY=s88-c-k-c0x00ffffff-no-rj</v>
      </c>
      <c r="AL5" s="89">
        <v>528237</v>
      </c>
      <c r="AM5" s="89">
        <v>0</v>
      </c>
      <c r="AN5" s="89">
        <v>3350</v>
      </c>
      <c r="AO5" s="89" t="b">
        <v>0</v>
      </c>
      <c r="AP5" s="89">
        <v>306</v>
      </c>
      <c r="AQ5" s="89"/>
      <c r="AR5" s="89"/>
      <c r="AS5" s="89" t="s">
        <v>736</v>
      </c>
      <c r="AT5" s="95" t="str">
        <f>HYPERLINK("https://www.youtube.com/channel/UCM1pkppQ37_C-W8vXINMqaA")</f>
        <v>https://www.youtube.com/channel/UCM1pkppQ37_C-W8vXINMqaA</v>
      </c>
      <c r="AU5" s="89" t="str">
        <f>REPLACE(INDEX(GroupVertices[Group],MATCH(Vertices[[#This Row],[Vertex]],GroupVertices[Vertex],0)),1,1,"")</f>
        <v>8</v>
      </c>
      <c r="AV5" s="49"/>
      <c r="AW5" s="50"/>
      <c r="AX5" s="49"/>
      <c r="AY5" s="50"/>
      <c r="AZ5" s="49"/>
      <c r="BA5" s="50"/>
      <c r="BB5" s="49"/>
      <c r="BC5" s="50"/>
      <c r="BD5" s="49"/>
      <c r="BE5" s="49"/>
      <c r="BF5" s="49"/>
      <c r="BG5" s="49"/>
      <c r="BH5" s="49"/>
      <c r="BI5" s="49"/>
      <c r="BJ5" s="49"/>
      <c r="BK5" s="127" t="s">
        <v>666</v>
      </c>
      <c r="BL5" s="127" t="s">
        <v>666</v>
      </c>
      <c r="BM5" s="127" t="s">
        <v>666</v>
      </c>
      <c r="BN5" s="127" t="s">
        <v>666</v>
      </c>
      <c r="BO5" s="2"/>
      <c r="BP5" s="3"/>
      <c r="BQ5" s="3"/>
      <c r="BR5" s="3"/>
      <c r="BS5" s="3"/>
    </row>
    <row r="6" spans="1:71" ht="15">
      <c r="A6" s="65" t="s">
        <v>291</v>
      </c>
      <c r="B6" s="66"/>
      <c r="C6" s="66"/>
      <c r="D6" s="67">
        <v>150</v>
      </c>
      <c r="E6" s="69"/>
      <c r="F6" s="108" t="str">
        <f>HYPERLINK("https://yt3.ggpht.com/ytc/AAUvwniJK6Jx0KNJobS2SfnUr0W92cGpj8zzak5dKQ=s88-c-k-c0x00ffffff-no-rj")</f>
        <v>https://yt3.ggpht.com/ytc/AAUvwniJK6Jx0KNJobS2SfnUr0W92cGpj8zzak5dKQ=s88-c-k-c0x00ffffff-no-rj</v>
      </c>
      <c r="G6" s="66"/>
      <c r="H6" s="70" t="s">
        <v>570</v>
      </c>
      <c r="I6" s="71"/>
      <c r="J6" s="71" t="s">
        <v>159</v>
      </c>
      <c r="K6" s="70" t="s">
        <v>570</v>
      </c>
      <c r="L6" s="74">
        <v>1</v>
      </c>
      <c r="M6" s="75">
        <v>3863.732421875</v>
      </c>
      <c r="N6" s="75">
        <v>7473.9296875</v>
      </c>
      <c r="O6" s="76"/>
      <c r="P6" s="77"/>
      <c r="Q6" s="77"/>
      <c r="R6" s="101"/>
      <c r="S6" s="49">
        <v>0</v>
      </c>
      <c r="T6" s="49">
        <v>1</v>
      </c>
      <c r="U6" s="50">
        <v>0</v>
      </c>
      <c r="V6" s="50">
        <v>0.003937</v>
      </c>
      <c r="W6" s="50">
        <v>0.004527</v>
      </c>
      <c r="X6" s="50">
        <v>0.486308</v>
      </c>
      <c r="Y6" s="50">
        <v>0</v>
      </c>
      <c r="Z6" s="50">
        <v>0</v>
      </c>
      <c r="AA6" s="72">
        <v>6</v>
      </c>
      <c r="AB6" s="72"/>
      <c r="AC6" s="73"/>
      <c r="AD6" s="89" t="s">
        <v>570</v>
      </c>
      <c r="AE6" s="89"/>
      <c r="AF6" s="89"/>
      <c r="AG6" s="89"/>
      <c r="AH6" s="89"/>
      <c r="AI6" s="89"/>
      <c r="AJ6" s="98">
        <v>43956.85774305555</v>
      </c>
      <c r="AK6" s="95" t="str">
        <f>HYPERLINK("https://yt3.ggpht.com/ytc/AAUvwniJK6Jx0KNJobS2SfnUr0W92cGpj8zzak5dKQ=s88-c-k-c0x00ffffff-no-rj")</f>
        <v>https://yt3.ggpht.com/ytc/AAUvwniJK6Jx0KNJobS2SfnUr0W92cGpj8zzak5dKQ=s88-c-k-c0x00ffffff-no-rj</v>
      </c>
      <c r="AL6" s="89">
        <v>0</v>
      </c>
      <c r="AM6" s="89">
        <v>0</v>
      </c>
      <c r="AN6" s="89">
        <v>0</v>
      </c>
      <c r="AO6" s="89" t="b">
        <v>0</v>
      </c>
      <c r="AP6" s="89">
        <v>0</v>
      </c>
      <c r="AQ6" s="89"/>
      <c r="AR6" s="89"/>
      <c r="AS6" s="89" t="s">
        <v>736</v>
      </c>
      <c r="AT6" s="95" t="str">
        <f>HYPERLINK("https://www.youtube.com/channel/UCn6p8O-NWPYAAvZ5MUzK9zw")</f>
        <v>https://www.youtube.com/channel/UCn6p8O-NWPYAAvZ5MUzK9zw</v>
      </c>
      <c r="AU6" s="89" t="str">
        <f>REPLACE(INDEX(GroupVertices[Group],MATCH(Vertices[[#This Row],[Vertex]],GroupVertices[Vertex],0)),1,1,"")</f>
        <v>2</v>
      </c>
      <c r="AV6" s="49">
        <v>0</v>
      </c>
      <c r="AW6" s="50">
        <v>0</v>
      </c>
      <c r="AX6" s="49">
        <v>0</v>
      </c>
      <c r="AY6" s="50">
        <v>0</v>
      </c>
      <c r="AZ6" s="49">
        <v>0</v>
      </c>
      <c r="BA6" s="50">
        <v>0</v>
      </c>
      <c r="BB6" s="49">
        <v>1</v>
      </c>
      <c r="BC6" s="50">
        <v>100</v>
      </c>
      <c r="BD6" s="49">
        <v>1</v>
      </c>
      <c r="BE6" s="49"/>
      <c r="BF6" s="49"/>
      <c r="BG6" s="49"/>
      <c r="BH6" s="49"/>
      <c r="BI6" s="49"/>
      <c r="BJ6" s="49"/>
      <c r="BK6" s="127" t="s">
        <v>666</v>
      </c>
      <c r="BL6" s="127" t="s">
        <v>666</v>
      </c>
      <c r="BM6" s="127" t="s">
        <v>666</v>
      </c>
      <c r="BN6" s="127" t="s">
        <v>666</v>
      </c>
      <c r="BO6" s="2"/>
      <c r="BP6" s="3"/>
      <c r="BQ6" s="3"/>
      <c r="BR6" s="3"/>
      <c r="BS6" s="3"/>
    </row>
    <row r="7" spans="1:71" ht="15">
      <c r="A7" s="65" t="s">
        <v>337</v>
      </c>
      <c r="B7" s="66"/>
      <c r="C7" s="66"/>
      <c r="D7" s="67">
        <v>150</v>
      </c>
      <c r="E7" s="69"/>
      <c r="F7" s="108" t="str">
        <f>HYPERLINK("https://yt3.ggpht.com/ytc/AAUvwnjbNMGIhW5rcNOXwbVzK92GOn7oYClNggQSLis8=s88-c-k-c0x00ffffff-no-rj")</f>
        <v>https://yt3.ggpht.com/ytc/AAUvwnjbNMGIhW5rcNOXwbVzK92GOn7oYClNggQSLis8=s88-c-k-c0x00ffffff-no-rj</v>
      </c>
      <c r="G7" s="66"/>
      <c r="H7" s="70" t="s">
        <v>616</v>
      </c>
      <c r="I7" s="71"/>
      <c r="J7" s="71" t="s">
        <v>159</v>
      </c>
      <c r="K7" s="70" t="s">
        <v>616</v>
      </c>
      <c r="L7" s="74">
        <v>1</v>
      </c>
      <c r="M7" s="75">
        <v>3623.403564453125</v>
      </c>
      <c r="N7" s="75">
        <v>3170.44677734375</v>
      </c>
      <c r="O7" s="76"/>
      <c r="P7" s="77"/>
      <c r="Q7" s="77"/>
      <c r="R7" s="101"/>
      <c r="S7" s="49">
        <v>0</v>
      </c>
      <c r="T7" s="49">
        <v>1</v>
      </c>
      <c r="U7" s="50">
        <v>0</v>
      </c>
      <c r="V7" s="50">
        <v>0.004695</v>
      </c>
      <c r="W7" s="50">
        <v>0.011737</v>
      </c>
      <c r="X7" s="50">
        <v>0.473657</v>
      </c>
      <c r="Y7" s="50">
        <v>0</v>
      </c>
      <c r="Z7" s="50">
        <v>0</v>
      </c>
      <c r="AA7" s="72">
        <v>7</v>
      </c>
      <c r="AB7" s="72"/>
      <c r="AC7" s="73"/>
      <c r="AD7" s="89" t="s">
        <v>616</v>
      </c>
      <c r="AE7" s="89"/>
      <c r="AF7" s="89"/>
      <c r="AG7" s="89"/>
      <c r="AH7" s="89"/>
      <c r="AI7" s="89"/>
      <c r="AJ7" s="98">
        <v>44113.391331018516</v>
      </c>
      <c r="AK7" s="95" t="str">
        <f>HYPERLINK("https://yt3.ggpht.com/ytc/AAUvwnjbNMGIhW5rcNOXwbVzK92GOn7oYClNggQSLis8=s88-c-k-c0x00ffffff-no-rj")</f>
        <v>https://yt3.ggpht.com/ytc/AAUvwnjbNMGIhW5rcNOXwbVzK92GOn7oYClNggQSLis8=s88-c-k-c0x00ffffff-no-rj</v>
      </c>
      <c r="AL7" s="89">
        <v>12</v>
      </c>
      <c r="AM7" s="89">
        <v>0</v>
      </c>
      <c r="AN7" s="89">
        <v>4</v>
      </c>
      <c r="AO7" s="89" t="b">
        <v>0</v>
      </c>
      <c r="AP7" s="89">
        <v>1</v>
      </c>
      <c r="AQ7" s="89"/>
      <c r="AR7" s="89"/>
      <c r="AS7" s="89" t="s">
        <v>736</v>
      </c>
      <c r="AT7" s="95" t="str">
        <f>HYPERLINK("https://www.youtube.com/channel/UCHmOPF4RgEpc7Cn_fQchGLw")</f>
        <v>https://www.youtube.com/channel/UCHmOPF4RgEpc7Cn_fQchGLw</v>
      </c>
      <c r="AU7" s="89" t="str">
        <f>REPLACE(INDEX(GroupVertices[Group],MATCH(Vertices[[#This Row],[Vertex]],GroupVertices[Vertex],0)),1,1,"")</f>
        <v>1</v>
      </c>
      <c r="AV7" s="49">
        <v>0</v>
      </c>
      <c r="AW7" s="50">
        <v>0</v>
      </c>
      <c r="AX7" s="49">
        <v>0</v>
      </c>
      <c r="AY7" s="50">
        <v>0</v>
      </c>
      <c r="AZ7" s="49">
        <v>0</v>
      </c>
      <c r="BA7" s="50">
        <v>0</v>
      </c>
      <c r="BB7" s="49">
        <v>7</v>
      </c>
      <c r="BC7" s="50">
        <v>100</v>
      </c>
      <c r="BD7" s="49">
        <v>7</v>
      </c>
      <c r="BE7" s="49"/>
      <c r="BF7" s="49"/>
      <c r="BG7" s="49"/>
      <c r="BH7" s="49"/>
      <c r="BI7" s="49"/>
      <c r="BJ7" s="49"/>
      <c r="BK7" s="127" t="s">
        <v>823</v>
      </c>
      <c r="BL7" s="127" t="s">
        <v>823</v>
      </c>
      <c r="BM7" s="127" t="s">
        <v>666</v>
      </c>
      <c r="BN7" s="127" t="s">
        <v>666</v>
      </c>
      <c r="BO7" s="2"/>
      <c r="BP7" s="3"/>
      <c r="BQ7" s="3"/>
      <c r="BR7" s="3"/>
      <c r="BS7" s="3"/>
    </row>
    <row r="8" spans="1:71" ht="15">
      <c r="A8" s="65" t="s">
        <v>330</v>
      </c>
      <c r="B8" s="66"/>
      <c r="C8" s="66"/>
      <c r="D8" s="67">
        <v>150</v>
      </c>
      <c r="E8" s="69"/>
      <c r="F8" s="108" t="str">
        <f>HYPERLINK("https://yt3.ggpht.com/ytc/AAUvwnjrnw4z81ECxs-pijRA1El23txBY_hc807Q=s88-c-k-c0x00ffffff-no-rj")</f>
        <v>https://yt3.ggpht.com/ytc/AAUvwnjrnw4z81ECxs-pijRA1El23txBY_hc807Q=s88-c-k-c0x00ffffff-no-rj</v>
      </c>
      <c r="G8" s="66"/>
      <c r="H8" s="70" t="s">
        <v>609</v>
      </c>
      <c r="I8" s="71"/>
      <c r="J8" s="71" t="s">
        <v>159</v>
      </c>
      <c r="K8" s="70" t="s">
        <v>609</v>
      </c>
      <c r="L8" s="74">
        <v>1</v>
      </c>
      <c r="M8" s="75">
        <v>2499.6708984375</v>
      </c>
      <c r="N8" s="75">
        <v>3988.84130859375</v>
      </c>
      <c r="O8" s="76"/>
      <c r="P8" s="77"/>
      <c r="Q8" s="77"/>
      <c r="R8" s="101"/>
      <c r="S8" s="49">
        <v>0</v>
      </c>
      <c r="T8" s="49">
        <v>1</v>
      </c>
      <c r="U8" s="50">
        <v>0</v>
      </c>
      <c r="V8" s="50">
        <v>0.004695</v>
      </c>
      <c r="W8" s="50">
        <v>0.011737</v>
      </c>
      <c r="X8" s="50">
        <v>0.473657</v>
      </c>
      <c r="Y8" s="50">
        <v>0</v>
      </c>
      <c r="Z8" s="50">
        <v>0</v>
      </c>
      <c r="AA8" s="72">
        <v>8</v>
      </c>
      <c r="AB8" s="72"/>
      <c r="AC8" s="73"/>
      <c r="AD8" s="89" t="s">
        <v>609</v>
      </c>
      <c r="AE8" s="89"/>
      <c r="AF8" s="89"/>
      <c r="AG8" s="89"/>
      <c r="AH8" s="89"/>
      <c r="AI8" s="89"/>
      <c r="AJ8" s="98">
        <v>43177.93071759259</v>
      </c>
      <c r="AK8" s="95" t="str">
        <f>HYPERLINK("https://yt3.ggpht.com/ytc/AAUvwnjrnw4z81ECxs-pijRA1El23txBY_hc807Q=s88-c-k-c0x00ffffff-no-rj")</f>
        <v>https://yt3.ggpht.com/ytc/AAUvwnjrnw4z81ECxs-pijRA1El23txBY_hc807Q=s88-c-k-c0x00ffffff-no-rj</v>
      </c>
      <c r="AL8" s="89">
        <v>0</v>
      </c>
      <c r="AM8" s="89">
        <v>0</v>
      </c>
      <c r="AN8" s="89">
        <v>0</v>
      </c>
      <c r="AO8" s="89" t="b">
        <v>0</v>
      </c>
      <c r="AP8" s="89">
        <v>0</v>
      </c>
      <c r="AQ8" s="89"/>
      <c r="AR8" s="89"/>
      <c r="AS8" s="89" t="s">
        <v>736</v>
      </c>
      <c r="AT8" s="95" t="str">
        <f>HYPERLINK("https://www.youtube.com/channel/UCkoGhJVmkMOztmnzPa30EWA")</f>
        <v>https://www.youtube.com/channel/UCkoGhJVmkMOztmnzPa30EWA</v>
      </c>
      <c r="AU8" s="89" t="str">
        <f>REPLACE(INDEX(GroupVertices[Group],MATCH(Vertices[[#This Row],[Vertex]],GroupVertices[Vertex],0)),1,1,"")</f>
        <v>1</v>
      </c>
      <c r="AV8" s="49">
        <v>1</v>
      </c>
      <c r="AW8" s="50">
        <v>20</v>
      </c>
      <c r="AX8" s="49">
        <v>0</v>
      </c>
      <c r="AY8" s="50">
        <v>0</v>
      </c>
      <c r="AZ8" s="49">
        <v>0</v>
      </c>
      <c r="BA8" s="50">
        <v>0</v>
      </c>
      <c r="BB8" s="49">
        <v>4</v>
      </c>
      <c r="BC8" s="50">
        <v>80</v>
      </c>
      <c r="BD8" s="49">
        <v>5</v>
      </c>
      <c r="BE8" s="49"/>
      <c r="BF8" s="49"/>
      <c r="BG8" s="49"/>
      <c r="BH8" s="49"/>
      <c r="BI8" s="49"/>
      <c r="BJ8" s="49"/>
      <c r="BK8" s="127" t="s">
        <v>1047</v>
      </c>
      <c r="BL8" s="127" t="s">
        <v>1047</v>
      </c>
      <c r="BM8" s="127" t="s">
        <v>1131</v>
      </c>
      <c r="BN8" s="127" t="s">
        <v>1131</v>
      </c>
      <c r="BO8" s="2"/>
      <c r="BP8" s="3"/>
      <c r="BQ8" s="3"/>
      <c r="BR8" s="3"/>
      <c r="BS8" s="3"/>
    </row>
    <row r="9" spans="1:71" ht="15">
      <c r="A9" s="65" t="s">
        <v>279</v>
      </c>
      <c r="B9" s="66"/>
      <c r="C9" s="66"/>
      <c r="D9" s="67">
        <v>150</v>
      </c>
      <c r="E9" s="69"/>
      <c r="F9" s="108" t="str">
        <f>HYPERLINK("https://yt3.ggpht.com/ytc/AAUvwngXQz_FtUkH0QuYzJhRxggyHhH6Em-VmR9RM9XQdA=s88-c-k-c0x00ffffff-no-rj")</f>
        <v>https://yt3.ggpht.com/ytc/AAUvwngXQz_FtUkH0QuYzJhRxggyHhH6Em-VmR9RM9XQdA=s88-c-k-c0x00ffffff-no-rj</v>
      </c>
      <c r="G9" s="66"/>
      <c r="H9" s="70" t="s">
        <v>558</v>
      </c>
      <c r="I9" s="71"/>
      <c r="J9" s="71" t="s">
        <v>159</v>
      </c>
      <c r="K9" s="70" t="s">
        <v>558</v>
      </c>
      <c r="L9" s="74">
        <v>1</v>
      </c>
      <c r="M9" s="75">
        <v>676.2843017578125</v>
      </c>
      <c r="N9" s="75">
        <v>2059.005615234375</v>
      </c>
      <c r="O9" s="76"/>
      <c r="P9" s="77"/>
      <c r="Q9" s="77"/>
      <c r="R9" s="101"/>
      <c r="S9" s="49">
        <v>0</v>
      </c>
      <c r="T9" s="49">
        <v>1</v>
      </c>
      <c r="U9" s="50">
        <v>0</v>
      </c>
      <c r="V9" s="50">
        <v>0.004695</v>
      </c>
      <c r="W9" s="50">
        <v>0.011737</v>
      </c>
      <c r="X9" s="50">
        <v>0.473657</v>
      </c>
      <c r="Y9" s="50">
        <v>0</v>
      </c>
      <c r="Z9" s="50">
        <v>0</v>
      </c>
      <c r="AA9" s="72">
        <v>9</v>
      </c>
      <c r="AB9" s="72"/>
      <c r="AC9" s="73"/>
      <c r="AD9" s="89" t="s">
        <v>558</v>
      </c>
      <c r="AE9" s="89"/>
      <c r="AF9" s="89"/>
      <c r="AG9" s="89"/>
      <c r="AH9" s="89"/>
      <c r="AI9" s="89"/>
      <c r="AJ9" s="98">
        <v>43895.64221064815</v>
      </c>
      <c r="AK9" s="95" t="str">
        <f>HYPERLINK("https://yt3.ggpht.com/ytc/AAUvwngXQz_FtUkH0QuYzJhRxggyHhH6Em-VmR9RM9XQdA=s88-c-k-c0x00ffffff-no-rj")</f>
        <v>https://yt3.ggpht.com/ytc/AAUvwngXQz_FtUkH0QuYzJhRxggyHhH6Em-VmR9RM9XQdA=s88-c-k-c0x00ffffff-no-rj</v>
      </c>
      <c r="AL9" s="89">
        <v>0</v>
      </c>
      <c r="AM9" s="89">
        <v>0</v>
      </c>
      <c r="AN9" s="89">
        <v>0</v>
      </c>
      <c r="AO9" s="89" t="b">
        <v>0</v>
      </c>
      <c r="AP9" s="89">
        <v>0</v>
      </c>
      <c r="AQ9" s="89"/>
      <c r="AR9" s="89"/>
      <c r="AS9" s="89" t="s">
        <v>736</v>
      </c>
      <c r="AT9" s="95" t="str">
        <f>HYPERLINK("https://www.youtube.com/channel/UCy7nI1ISKSL4DabMq45Yzgg")</f>
        <v>https://www.youtube.com/channel/UCy7nI1ISKSL4DabMq45Yzgg</v>
      </c>
      <c r="AU9" s="89" t="str">
        <f>REPLACE(INDEX(GroupVertices[Group],MATCH(Vertices[[#This Row],[Vertex]],GroupVertices[Vertex],0)),1,1,"")</f>
        <v>1</v>
      </c>
      <c r="AV9" s="49">
        <v>2</v>
      </c>
      <c r="AW9" s="50">
        <v>20</v>
      </c>
      <c r="AX9" s="49">
        <v>0</v>
      </c>
      <c r="AY9" s="50">
        <v>0</v>
      </c>
      <c r="AZ9" s="49">
        <v>0</v>
      </c>
      <c r="BA9" s="50">
        <v>0</v>
      </c>
      <c r="BB9" s="49">
        <v>8</v>
      </c>
      <c r="BC9" s="50">
        <v>80</v>
      </c>
      <c r="BD9" s="49">
        <v>10</v>
      </c>
      <c r="BE9" s="49"/>
      <c r="BF9" s="49"/>
      <c r="BG9" s="49"/>
      <c r="BH9" s="49"/>
      <c r="BI9" s="49"/>
      <c r="BJ9" s="49"/>
      <c r="BK9" s="127" t="s">
        <v>794</v>
      </c>
      <c r="BL9" s="127" t="s">
        <v>794</v>
      </c>
      <c r="BM9" s="127" t="s">
        <v>666</v>
      </c>
      <c r="BN9" s="127" t="s">
        <v>666</v>
      </c>
      <c r="BO9" s="2"/>
      <c r="BP9" s="3"/>
      <c r="BQ9" s="3"/>
      <c r="BR9" s="3"/>
      <c r="BS9" s="3"/>
    </row>
    <row r="10" spans="1:71" ht="15">
      <c r="A10" s="65" t="s">
        <v>324</v>
      </c>
      <c r="B10" s="66"/>
      <c r="C10" s="66"/>
      <c r="D10" s="67">
        <v>150</v>
      </c>
      <c r="E10" s="69"/>
      <c r="F10" s="108" t="str">
        <f>HYPERLINK("https://yt3.ggpht.com/ytc/AAUvwng7v_JL2Ofq5wWNE6xzPih9iXBv_sMiyXW3rK1d1w=s88-c-k-c0x00ffffff-no-rj")</f>
        <v>https://yt3.ggpht.com/ytc/AAUvwng7v_JL2Ofq5wWNE6xzPih9iXBv_sMiyXW3rK1d1w=s88-c-k-c0x00ffffff-no-rj</v>
      </c>
      <c r="G10" s="66"/>
      <c r="H10" s="70" t="s">
        <v>603</v>
      </c>
      <c r="I10" s="71"/>
      <c r="J10" s="71" t="s">
        <v>159</v>
      </c>
      <c r="K10" s="70" t="s">
        <v>603</v>
      </c>
      <c r="L10" s="74">
        <v>1</v>
      </c>
      <c r="M10" s="75">
        <v>1874.0322265625</v>
      </c>
      <c r="N10" s="75">
        <v>2499.94580078125</v>
      </c>
      <c r="O10" s="76"/>
      <c r="P10" s="77"/>
      <c r="Q10" s="77"/>
      <c r="R10" s="101"/>
      <c r="S10" s="49">
        <v>0</v>
      </c>
      <c r="T10" s="49">
        <v>1</v>
      </c>
      <c r="U10" s="50">
        <v>0</v>
      </c>
      <c r="V10" s="50">
        <v>0.004695</v>
      </c>
      <c r="W10" s="50">
        <v>0.011737</v>
      </c>
      <c r="X10" s="50">
        <v>0.473657</v>
      </c>
      <c r="Y10" s="50">
        <v>0</v>
      </c>
      <c r="Z10" s="50">
        <v>0</v>
      </c>
      <c r="AA10" s="72">
        <v>10</v>
      </c>
      <c r="AB10" s="72"/>
      <c r="AC10" s="73"/>
      <c r="AD10" s="89" t="s">
        <v>603</v>
      </c>
      <c r="AE10" s="89"/>
      <c r="AF10" s="89"/>
      <c r="AG10" s="89"/>
      <c r="AH10" s="89"/>
      <c r="AI10" s="89"/>
      <c r="AJ10" s="98">
        <v>43995.53770833334</v>
      </c>
      <c r="AK10" s="95" t="str">
        <f>HYPERLINK("https://yt3.ggpht.com/ytc/AAUvwng7v_JL2Ofq5wWNE6xzPih9iXBv_sMiyXW3rK1d1w=s88-c-k-c0x00ffffff-no-rj")</f>
        <v>https://yt3.ggpht.com/ytc/AAUvwng7v_JL2Ofq5wWNE6xzPih9iXBv_sMiyXW3rK1d1w=s88-c-k-c0x00ffffff-no-rj</v>
      </c>
      <c r="AL10" s="89">
        <v>245</v>
      </c>
      <c r="AM10" s="89">
        <v>0</v>
      </c>
      <c r="AN10" s="89">
        <v>6</v>
      </c>
      <c r="AO10" s="89" t="b">
        <v>0</v>
      </c>
      <c r="AP10" s="89">
        <v>10</v>
      </c>
      <c r="AQ10" s="89"/>
      <c r="AR10" s="89"/>
      <c r="AS10" s="89" t="s">
        <v>736</v>
      </c>
      <c r="AT10" s="95" t="str">
        <f>HYPERLINK("https://www.youtube.com/channel/UCLj0oRJSMJlFtBvj2MqARiQ")</f>
        <v>https://www.youtube.com/channel/UCLj0oRJSMJlFtBvj2MqARiQ</v>
      </c>
      <c r="AU10" s="89" t="str">
        <f>REPLACE(INDEX(GroupVertices[Group],MATCH(Vertices[[#This Row],[Vertex]],GroupVertices[Vertex],0)),1,1,"")</f>
        <v>1</v>
      </c>
      <c r="AV10" s="49">
        <v>1</v>
      </c>
      <c r="AW10" s="50">
        <v>50</v>
      </c>
      <c r="AX10" s="49">
        <v>0</v>
      </c>
      <c r="AY10" s="50">
        <v>0</v>
      </c>
      <c r="AZ10" s="49">
        <v>0</v>
      </c>
      <c r="BA10" s="50">
        <v>0</v>
      </c>
      <c r="BB10" s="49">
        <v>1</v>
      </c>
      <c r="BC10" s="50">
        <v>50</v>
      </c>
      <c r="BD10" s="49">
        <v>2</v>
      </c>
      <c r="BE10" s="49"/>
      <c r="BF10" s="49"/>
      <c r="BG10" s="49"/>
      <c r="BH10" s="49"/>
      <c r="BI10" s="49"/>
      <c r="BJ10" s="49"/>
      <c r="BK10" s="127" t="s">
        <v>473</v>
      </c>
      <c r="BL10" s="127" t="s">
        <v>473</v>
      </c>
      <c r="BM10" s="127" t="s">
        <v>1132</v>
      </c>
      <c r="BN10" s="127" t="s">
        <v>1132</v>
      </c>
      <c r="BO10" s="2"/>
      <c r="BP10" s="3"/>
      <c r="BQ10" s="3"/>
      <c r="BR10" s="3"/>
      <c r="BS10" s="3"/>
    </row>
    <row r="11" spans="1:71" ht="15">
      <c r="A11" s="65" t="s">
        <v>301</v>
      </c>
      <c r="B11" s="66"/>
      <c r="C11" s="66"/>
      <c r="D11" s="67">
        <v>150</v>
      </c>
      <c r="E11" s="69"/>
      <c r="F11" s="108" t="str">
        <f>HYPERLINK("https://yt3.ggpht.com/ytc/AAUvwnhnnGR6uo8B3kKSh1CxvrtzZKjfqV8duZUzhXPJ1g=s88-c-k-c0x00ffffff-no-rj")</f>
        <v>https://yt3.ggpht.com/ytc/AAUvwnhnnGR6uo8B3kKSh1CxvrtzZKjfqV8duZUzhXPJ1g=s88-c-k-c0x00ffffff-no-rj</v>
      </c>
      <c r="G11" s="66"/>
      <c r="H11" s="70" t="s">
        <v>580</v>
      </c>
      <c r="I11" s="71"/>
      <c r="J11" s="71" t="s">
        <v>159</v>
      </c>
      <c r="K11" s="70" t="s">
        <v>580</v>
      </c>
      <c r="L11" s="74">
        <v>1</v>
      </c>
      <c r="M11" s="75">
        <v>4951.35986328125</v>
      </c>
      <c r="N11" s="75">
        <v>9746.4443359375</v>
      </c>
      <c r="O11" s="76"/>
      <c r="P11" s="77"/>
      <c r="Q11" s="77"/>
      <c r="R11" s="101"/>
      <c r="S11" s="49">
        <v>0</v>
      </c>
      <c r="T11" s="49">
        <v>1</v>
      </c>
      <c r="U11" s="50">
        <v>0</v>
      </c>
      <c r="V11" s="50">
        <v>0.003937</v>
      </c>
      <c r="W11" s="50">
        <v>0.004527</v>
      </c>
      <c r="X11" s="50">
        <v>0.486308</v>
      </c>
      <c r="Y11" s="50">
        <v>0</v>
      </c>
      <c r="Z11" s="50">
        <v>0</v>
      </c>
      <c r="AA11" s="72">
        <v>11</v>
      </c>
      <c r="AB11" s="72"/>
      <c r="AC11" s="73"/>
      <c r="AD11" s="89" t="s">
        <v>580</v>
      </c>
      <c r="AE11" s="89" t="s">
        <v>713</v>
      </c>
      <c r="AF11" s="89"/>
      <c r="AG11" s="89"/>
      <c r="AH11" s="89"/>
      <c r="AI11" s="89"/>
      <c r="AJ11" s="98">
        <v>43837.105</v>
      </c>
      <c r="AK11" s="95" t="str">
        <f>HYPERLINK("https://yt3.ggpht.com/ytc/AAUvwnhnnGR6uo8B3kKSh1CxvrtzZKjfqV8duZUzhXPJ1g=s88-c-k-c0x00ffffff-no-rj")</f>
        <v>https://yt3.ggpht.com/ytc/AAUvwnhnnGR6uo8B3kKSh1CxvrtzZKjfqV8duZUzhXPJ1g=s88-c-k-c0x00ffffff-no-rj</v>
      </c>
      <c r="AL11" s="89">
        <v>2117</v>
      </c>
      <c r="AM11" s="89">
        <v>0</v>
      </c>
      <c r="AN11" s="89">
        <v>102</v>
      </c>
      <c r="AO11" s="89" t="b">
        <v>0</v>
      </c>
      <c r="AP11" s="89">
        <v>128</v>
      </c>
      <c r="AQ11" s="89"/>
      <c r="AR11" s="89"/>
      <c r="AS11" s="89" t="s">
        <v>736</v>
      </c>
      <c r="AT11" s="95" t="str">
        <f>HYPERLINK("https://www.youtube.com/channel/UCUZeBEoKiTTz0pPp5pii-aw")</f>
        <v>https://www.youtube.com/channel/UCUZeBEoKiTTz0pPp5pii-aw</v>
      </c>
      <c r="AU11" s="89" t="str">
        <f>REPLACE(INDEX(GroupVertices[Group],MATCH(Vertices[[#This Row],[Vertex]],GroupVertices[Vertex],0)),1,1,"")</f>
        <v>2</v>
      </c>
      <c r="AV11" s="49">
        <v>0</v>
      </c>
      <c r="AW11" s="50">
        <v>0</v>
      </c>
      <c r="AX11" s="49">
        <v>0</v>
      </c>
      <c r="AY11" s="50">
        <v>0</v>
      </c>
      <c r="AZ11" s="49">
        <v>0</v>
      </c>
      <c r="BA11" s="50">
        <v>0</v>
      </c>
      <c r="BB11" s="49">
        <v>8</v>
      </c>
      <c r="BC11" s="50">
        <v>100</v>
      </c>
      <c r="BD11" s="49">
        <v>8</v>
      </c>
      <c r="BE11" s="49"/>
      <c r="BF11" s="49"/>
      <c r="BG11" s="49"/>
      <c r="BH11" s="49"/>
      <c r="BI11" s="49"/>
      <c r="BJ11" s="49"/>
      <c r="BK11" s="127" t="s">
        <v>1048</v>
      </c>
      <c r="BL11" s="127" t="s">
        <v>1048</v>
      </c>
      <c r="BM11" s="127" t="s">
        <v>1133</v>
      </c>
      <c r="BN11" s="127" t="s">
        <v>1133</v>
      </c>
      <c r="BO11" s="2"/>
      <c r="BP11" s="3"/>
      <c r="BQ11" s="3"/>
      <c r="BR11" s="3"/>
      <c r="BS11" s="3"/>
    </row>
    <row r="12" spans="1:71" ht="15">
      <c r="A12" s="65" t="s">
        <v>286</v>
      </c>
      <c r="B12" s="66"/>
      <c r="C12" s="66"/>
      <c r="D12" s="67">
        <v>150</v>
      </c>
      <c r="E12" s="69"/>
      <c r="F12" s="108" t="str">
        <f>HYPERLINK("https://yt3.ggpht.com/ytc/AAUvwnhVk-dxsZO2VXWk-kT66wOSFLjn1tasSB8beUMjZC4=s88-c-k-c0x00ffffff-no-rj")</f>
        <v>https://yt3.ggpht.com/ytc/AAUvwnhVk-dxsZO2VXWk-kT66wOSFLjn1tasSB8beUMjZC4=s88-c-k-c0x00ffffff-no-rj</v>
      </c>
      <c r="G12" s="66"/>
      <c r="H12" s="70" t="s">
        <v>565</v>
      </c>
      <c r="I12" s="71"/>
      <c r="J12" s="71" t="s">
        <v>159</v>
      </c>
      <c r="K12" s="70" t="s">
        <v>565</v>
      </c>
      <c r="L12" s="74">
        <v>1</v>
      </c>
      <c r="M12" s="75">
        <v>6952.595703125</v>
      </c>
      <c r="N12" s="75">
        <v>7282.21875</v>
      </c>
      <c r="O12" s="76"/>
      <c r="P12" s="77"/>
      <c r="Q12" s="77"/>
      <c r="R12" s="101"/>
      <c r="S12" s="49">
        <v>0</v>
      </c>
      <c r="T12" s="49">
        <v>1</v>
      </c>
      <c r="U12" s="50">
        <v>0</v>
      </c>
      <c r="V12" s="50">
        <v>0.003937</v>
      </c>
      <c r="W12" s="50">
        <v>0.004527</v>
      </c>
      <c r="X12" s="50">
        <v>0.486308</v>
      </c>
      <c r="Y12" s="50">
        <v>0</v>
      </c>
      <c r="Z12" s="50">
        <v>0</v>
      </c>
      <c r="AA12" s="72">
        <v>12</v>
      </c>
      <c r="AB12" s="72"/>
      <c r="AC12" s="73"/>
      <c r="AD12" s="89" t="s">
        <v>565</v>
      </c>
      <c r="AE12" s="89"/>
      <c r="AF12" s="89"/>
      <c r="AG12" s="89"/>
      <c r="AH12" s="89"/>
      <c r="AI12" s="89"/>
      <c r="AJ12" s="98">
        <v>42260.203784722224</v>
      </c>
      <c r="AK12" s="95" t="str">
        <f>HYPERLINK("https://yt3.ggpht.com/ytc/AAUvwnhVk-dxsZO2VXWk-kT66wOSFLjn1tasSB8beUMjZC4=s88-c-k-c0x00ffffff-no-rj")</f>
        <v>https://yt3.ggpht.com/ytc/AAUvwnhVk-dxsZO2VXWk-kT66wOSFLjn1tasSB8beUMjZC4=s88-c-k-c0x00ffffff-no-rj</v>
      </c>
      <c r="AL12" s="89">
        <v>0</v>
      </c>
      <c r="AM12" s="89">
        <v>0</v>
      </c>
      <c r="AN12" s="89">
        <v>1</v>
      </c>
      <c r="AO12" s="89" t="b">
        <v>0</v>
      </c>
      <c r="AP12" s="89">
        <v>0</v>
      </c>
      <c r="AQ12" s="89"/>
      <c r="AR12" s="89"/>
      <c r="AS12" s="89" t="s">
        <v>736</v>
      </c>
      <c r="AT12" s="95" t="str">
        <f>HYPERLINK("https://www.youtube.com/channel/UCtojG0-YFF6E_STBkGB9GlA")</f>
        <v>https://www.youtube.com/channel/UCtojG0-YFF6E_STBkGB9GlA</v>
      </c>
      <c r="AU12" s="89" t="str">
        <f>REPLACE(INDEX(GroupVertices[Group],MATCH(Vertices[[#This Row],[Vertex]],GroupVertices[Vertex],0)),1,1,"")</f>
        <v>2</v>
      </c>
      <c r="AV12" s="49">
        <v>0</v>
      </c>
      <c r="AW12" s="50">
        <v>0</v>
      </c>
      <c r="AX12" s="49">
        <v>0</v>
      </c>
      <c r="AY12" s="50">
        <v>0</v>
      </c>
      <c r="AZ12" s="49">
        <v>0</v>
      </c>
      <c r="BA12" s="50">
        <v>0</v>
      </c>
      <c r="BB12" s="49">
        <v>1</v>
      </c>
      <c r="BC12" s="50">
        <v>100</v>
      </c>
      <c r="BD12" s="49">
        <v>1</v>
      </c>
      <c r="BE12" s="49"/>
      <c r="BF12" s="49"/>
      <c r="BG12" s="49"/>
      <c r="BH12" s="49"/>
      <c r="BI12" s="49"/>
      <c r="BJ12" s="49"/>
      <c r="BK12" s="127" t="s">
        <v>666</v>
      </c>
      <c r="BL12" s="127" t="s">
        <v>666</v>
      </c>
      <c r="BM12" s="127" t="s">
        <v>666</v>
      </c>
      <c r="BN12" s="127" t="s">
        <v>666</v>
      </c>
      <c r="BO12" s="2"/>
      <c r="BP12" s="3"/>
      <c r="BQ12" s="3"/>
      <c r="BR12" s="3"/>
      <c r="BS12" s="3"/>
    </row>
    <row r="13" spans="1:71" ht="15">
      <c r="A13" s="65" t="s">
        <v>311</v>
      </c>
      <c r="B13" s="66"/>
      <c r="C13" s="66"/>
      <c r="D13" s="67">
        <v>150</v>
      </c>
      <c r="E13" s="69"/>
      <c r="F13" s="108" t="str">
        <f>HYPERLINK("https://yt3.ggpht.com/ytc/AAUvwni07556i4e6rH6yH-15cpXQVL9IjUGS-HMsC17b=s88-c-k-c0x00ffffff-no-rj")</f>
        <v>https://yt3.ggpht.com/ytc/AAUvwni07556i4e6rH6yH-15cpXQVL9IjUGS-HMsC17b=s88-c-k-c0x00ffffff-no-rj</v>
      </c>
      <c r="G13" s="66"/>
      <c r="H13" s="70" t="s">
        <v>590</v>
      </c>
      <c r="I13" s="71"/>
      <c r="J13" s="71" t="s">
        <v>159</v>
      </c>
      <c r="K13" s="70" t="s">
        <v>590</v>
      </c>
      <c r="L13" s="74">
        <v>1</v>
      </c>
      <c r="M13" s="75">
        <v>1788.0067138671875</v>
      </c>
      <c r="N13" s="75">
        <v>160.3882293701172</v>
      </c>
      <c r="O13" s="76"/>
      <c r="P13" s="77"/>
      <c r="Q13" s="77"/>
      <c r="R13" s="101"/>
      <c r="S13" s="49">
        <v>0</v>
      </c>
      <c r="T13" s="49">
        <v>1</v>
      </c>
      <c r="U13" s="50">
        <v>0</v>
      </c>
      <c r="V13" s="50">
        <v>0.004695</v>
      </c>
      <c r="W13" s="50">
        <v>0.011737</v>
      </c>
      <c r="X13" s="50">
        <v>0.473657</v>
      </c>
      <c r="Y13" s="50">
        <v>0</v>
      </c>
      <c r="Z13" s="50">
        <v>0</v>
      </c>
      <c r="AA13" s="72">
        <v>13</v>
      </c>
      <c r="AB13" s="72"/>
      <c r="AC13" s="73"/>
      <c r="AD13" s="89" t="s">
        <v>590</v>
      </c>
      <c r="AE13" s="89"/>
      <c r="AF13" s="89"/>
      <c r="AG13" s="89"/>
      <c r="AH13" s="89"/>
      <c r="AI13" s="89"/>
      <c r="AJ13" s="98">
        <v>43826.70799768518</v>
      </c>
      <c r="AK13" s="95" t="str">
        <f>HYPERLINK("https://yt3.ggpht.com/ytc/AAUvwni07556i4e6rH6yH-15cpXQVL9IjUGS-HMsC17b=s88-c-k-c0x00ffffff-no-rj")</f>
        <v>https://yt3.ggpht.com/ytc/AAUvwni07556i4e6rH6yH-15cpXQVL9IjUGS-HMsC17b=s88-c-k-c0x00ffffff-no-rj</v>
      </c>
      <c r="AL13" s="89">
        <v>19</v>
      </c>
      <c r="AM13" s="89">
        <v>0</v>
      </c>
      <c r="AN13" s="89">
        <v>3</v>
      </c>
      <c r="AO13" s="89" t="b">
        <v>0</v>
      </c>
      <c r="AP13" s="89">
        <v>2</v>
      </c>
      <c r="AQ13" s="89"/>
      <c r="AR13" s="89"/>
      <c r="AS13" s="89" t="s">
        <v>736</v>
      </c>
      <c r="AT13" s="95" t="str">
        <f>HYPERLINK("https://www.youtube.com/channel/UCsllZ-JGcQe1GqrWliTwIaQ")</f>
        <v>https://www.youtube.com/channel/UCsllZ-JGcQe1GqrWliTwIaQ</v>
      </c>
      <c r="AU13" s="89" t="str">
        <f>REPLACE(INDEX(GroupVertices[Group],MATCH(Vertices[[#This Row],[Vertex]],GroupVertices[Vertex],0)),1,1,"")</f>
        <v>1</v>
      </c>
      <c r="AV13" s="49">
        <v>1</v>
      </c>
      <c r="AW13" s="50">
        <v>5.882352941176471</v>
      </c>
      <c r="AX13" s="49">
        <v>4</v>
      </c>
      <c r="AY13" s="50">
        <v>23.529411764705884</v>
      </c>
      <c r="AZ13" s="49">
        <v>0</v>
      </c>
      <c r="BA13" s="50">
        <v>0</v>
      </c>
      <c r="BB13" s="49">
        <v>12</v>
      </c>
      <c r="BC13" s="50">
        <v>70.58823529411765</v>
      </c>
      <c r="BD13" s="49">
        <v>17</v>
      </c>
      <c r="BE13" s="49"/>
      <c r="BF13" s="49"/>
      <c r="BG13" s="49"/>
      <c r="BH13" s="49"/>
      <c r="BI13" s="49"/>
      <c r="BJ13" s="49"/>
      <c r="BK13" s="127" t="s">
        <v>1049</v>
      </c>
      <c r="BL13" s="127" t="s">
        <v>1121</v>
      </c>
      <c r="BM13" s="127" t="s">
        <v>1134</v>
      </c>
      <c r="BN13" s="127" t="s">
        <v>1134</v>
      </c>
      <c r="BO13" s="2"/>
      <c r="BP13" s="3"/>
      <c r="BQ13" s="3"/>
      <c r="BR13" s="3"/>
      <c r="BS13" s="3"/>
    </row>
    <row r="14" spans="1:71" ht="15">
      <c r="A14" s="65" t="s">
        <v>230</v>
      </c>
      <c r="B14" s="66"/>
      <c r="C14" s="66"/>
      <c r="D14" s="67">
        <v>150</v>
      </c>
      <c r="E14" s="69"/>
      <c r="F14" s="108" t="str">
        <f>HYPERLINK("https://yt3.ggpht.com/ytc/AAUvwnhhI_cELBraA18Ab7LQEfTisXKXRLUaZxBCIQ=s88-c-k-c0x00ffffff-no-rj")</f>
        <v>https://yt3.ggpht.com/ytc/AAUvwnhhI_cELBraA18Ab7LQEfTisXKXRLUaZxBCIQ=s88-c-k-c0x00ffffff-no-rj</v>
      </c>
      <c r="G14" s="66"/>
      <c r="H14" s="70" t="s">
        <v>509</v>
      </c>
      <c r="I14" s="71"/>
      <c r="J14" s="71" t="s">
        <v>159</v>
      </c>
      <c r="K14" s="70" t="s">
        <v>509</v>
      </c>
      <c r="L14" s="74">
        <v>1</v>
      </c>
      <c r="M14" s="75">
        <v>3863.732421875</v>
      </c>
      <c r="N14" s="75">
        <v>1865.208251953125</v>
      </c>
      <c r="O14" s="76"/>
      <c r="P14" s="77"/>
      <c r="Q14" s="77"/>
      <c r="R14" s="101"/>
      <c r="S14" s="49">
        <v>0</v>
      </c>
      <c r="T14" s="49">
        <v>1</v>
      </c>
      <c r="U14" s="50">
        <v>0</v>
      </c>
      <c r="V14" s="50">
        <v>0.033333</v>
      </c>
      <c r="W14" s="50">
        <v>0</v>
      </c>
      <c r="X14" s="50">
        <v>0.600776</v>
      </c>
      <c r="Y14" s="50">
        <v>0</v>
      </c>
      <c r="Z14" s="50">
        <v>0</v>
      </c>
      <c r="AA14" s="72">
        <v>14</v>
      </c>
      <c r="AB14" s="72"/>
      <c r="AC14" s="73"/>
      <c r="AD14" s="89" t="s">
        <v>509</v>
      </c>
      <c r="AE14" s="89"/>
      <c r="AF14" s="89"/>
      <c r="AG14" s="89"/>
      <c r="AH14" s="89"/>
      <c r="AI14" s="89"/>
      <c r="AJ14" s="98">
        <v>43944.36087962963</v>
      </c>
      <c r="AK14" s="95" t="str">
        <f>HYPERLINK("https://yt3.ggpht.com/ytc/AAUvwnhhI_cELBraA18Ab7LQEfTisXKXRLUaZxBCIQ=s88-c-k-c0x00ffffff-no-rj")</f>
        <v>https://yt3.ggpht.com/ytc/AAUvwnhhI_cELBraA18Ab7LQEfTisXKXRLUaZxBCIQ=s88-c-k-c0x00ffffff-no-rj</v>
      </c>
      <c r="AL14" s="89">
        <v>0</v>
      </c>
      <c r="AM14" s="89">
        <v>0</v>
      </c>
      <c r="AN14" s="89">
        <v>0</v>
      </c>
      <c r="AO14" s="89" t="b">
        <v>0</v>
      </c>
      <c r="AP14" s="89">
        <v>0</v>
      </c>
      <c r="AQ14" s="89"/>
      <c r="AR14" s="89"/>
      <c r="AS14" s="89" t="s">
        <v>736</v>
      </c>
      <c r="AT14" s="95" t="str">
        <f>HYPERLINK("https://www.youtube.com/channel/UCqCZk9JftPi0q4Ihsz27kDQ")</f>
        <v>https://www.youtube.com/channel/UCqCZk9JftPi0q4Ihsz27kDQ</v>
      </c>
      <c r="AU14" s="89" t="str">
        <f>REPLACE(INDEX(GroupVertices[Group],MATCH(Vertices[[#This Row],[Vertex]],GroupVertices[Vertex],0)),1,1,"")</f>
        <v>4</v>
      </c>
      <c r="AV14" s="49">
        <v>0</v>
      </c>
      <c r="AW14" s="50">
        <v>0</v>
      </c>
      <c r="AX14" s="49">
        <v>0</v>
      </c>
      <c r="AY14" s="50">
        <v>0</v>
      </c>
      <c r="AZ14" s="49">
        <v>0</v>
      </c>
      <c r="BA14" s="50">
        <v>0</v>
      </c>
      <c r="BB14" s="49">
        <v>12</v>
      </c>
      <c r="BC14" s="50">
        <v>100</v>
      </c>
      <c r="BD14" s="49">
        <v>12</v>
      </c>
      <c r="BE14" s="49"/>
      <c r="BF14" s="49"/>
      <c r="BG14" s="49"/>
      <c r="BH14" s="49"/>
      <c r="BI14" s="49"/>
      <c r="BJ14" s="49"/>
      <c r="BK14" s="127" t="s">
        <v>1050</v>
      </c>
      <c r="BL14" s="127" t="s">
        <v>1122</v>
      </c>
      <c r="BM14" s="127" t="s">
        <v>1135</v>
      </c>
      <c r="BN14" s="127" t="s">
        <v>1194</v>
      </c>
      <c r="BO14" s="2"/>
      <c r="BP14" s="3"/>
      <c r="BQ14" s="3"/>
      <c r="BR14" s="3"/>
      <c r="BS14" s="3"/>
    </row>
    <row r="15" spans="1:71" ht="15">
      <c r="A15" s="65" t="s">
        <v>258</v>
      </c>
      <c r="B15" s="66"/>
      <c r="C15" s="66"/>
      <c r="D15" s="67">
        <v>150</v>
      </c>
      <c r="E15" s="69"/>
      <c r="F15" s="108" t="str">
        <f>HYPERLINK("https://yt3.ggpht.com/ytc/AAUvwngnPLXDbaWyLP2zP6Fu0E1AVdPkeh5pTabaXPid7w=s88-c-k-c0x00ffffff-no-rj")</f>
        <v>https://yt3.ggpht.com/ytc/AAUvwngnPLXDbaWyLP2zP6Fu0E1AVdPkeh5pTabaXPid7w=s88-c-k-c0x00ffffff-no-rj</v>
      </c>
      <c r="G15" s="66"/>
      <c r="H15" s="70" t="s">
        <v>537</v>
      </c>
      <c r="I15" s="71"/>
      <c r="J15" s="71" t="s">
        <v>159</v>
      </c>
      <c r="K15" s="70" t="s">
        <v>537</v>
      </c>
      <c r="L15" s="74">
        <v>1</v>
      </c>
      <c r="M15" s="75">
        <v>3757.5859375</v>
      </c>
      <c r="N15" s="75">
        <v>8530.517578125</v>
      </c>
      <c r="O15" s="76"/>
      <c r="P15" s="77"/>
      <c r="Q15" s="77"/>
      <c r="R15" s="101"/>
      <c r="S15" s="49">
        <v>0</v>
      </c>
      <c r="T15" s="49">
        <v>4</v>
      </c>
      <c r="U15" s="50">
        <v>11</v>
      </c>
      <c r="V15" s="50">
        <v>0.003448</v>
      </c>
      <c r="W15" s="50">
        <v>0.00602</v>
      </c>
      <c r="X15" s="50">
        <v>1.446209</v>
      </c>
      <c r="Y15" s="50">
        <v>0</v>
      </c>
      <c r="Z15" s="50">
        <v>0</v>
      </c>
      <c r="AA15" s="72">
        <v>15</v>
      </c>
      <c r="AB15" s="72"/>
      <c r="AC15" s="73"/>
      <c r="AD15" s="89" t="s">
        <v>537</v>
      </c>
      <c r="AE15" s="89" t="s">
        <v>695</v>
      </c>
      <c r="AF15" s="89"/>
      <c r="AG15" s="89"/>
      <c r="AH15" s="89"/>
      <c r="AI15" s="89"/>
      <c r="AJ15" s="98">
        <v>39117.29554398148</v>
      </c>
      <c r="AK15" s="95" t="str">
        <f>HYPERLINK("https://yt3.ggpht.com/ytc/AAUvwngnPLXDbaWyLP2zP6Fu0E1AVdPkeh5pTabaXPid7w=s88-c-k-c0x00ffffff-no-rj")</f>
        <v>https://yt3.ggpht.com/ytc/AAUvwngnPLXDbaWyLP2zP6Fu0E1AVdPkeh5pTabaXPid7w=s88-c-k-c0x00ffffff-no-rj</v>
      </c>
      <c r="AL15" s="89">
        <v>657</v>
      </c>
      <c r="AM15" s="89">
        <v>0</v>
      </c>
      <c r="AN15" s="89">
        <v>0</v>
      </c>
      <c r="AO15" s="89" t="b">
        <v>0</v>
      </c>
      <c r="AP15" s="89">
        <v>10</v>
      </c>
      <c r="AQ15" s="89"/>
      <c r="AR15" s="89"/>
      <c r="AS15" s="89" t="s">
        <v>736</v>
      </c>
      <c r="AT15" s="95" t="str">
        <f>HYPERLINK("https://www.youtube.com/channel/UCWKJSLASMS7LgiWB0B3U3VA")</f>
        <v>https://www.youtube.com/channel/UCWKJSLASMS7LgiWB0B3U3VA</v>
      </c>
      <c r="AU15" s="89" t="str">
        <f>REPLACE(INDEX(GroupVertices[Group],MATCH(Vertices[[#This Row],[Vertex]],GroupVertices[Vertex],0)),1,1,"")</f>
        <v>1</v>
      </c>
      <c r="AV15" s="49">
        <v>2</v>
      </c>
      <c r="AW15" s="50">
        <v>3.8461538461538463</v>
      </c>
      <c r="AX15" s="49">
        <v>0</v>
      </c>
      <c r="AY15" s="50">
        <v>0</v>
      </c>
      <c r="AZ15" s="49">
        <v>0</v>
      </c>
      <c r="BA15" s="50">
        <v>0</v>
      </c>
      <c r="BB15" s="49">
        <v>50</v>
      </c>
      <c r="BC15" s="50">
        <v>96.15384615384616</v>
      </c>
      <c r="BD15" s="49">
        <v>52</v>
      </c>
      <c r="BE15" s="49" t="s">
        <v>1039</v>
      </c>
      <c r="BF15" s="49" t="s">
        <v>1039</v>
      </c>
      <c r="BG15" s="49" t="s">
        <v>663</v>
      </c>
      <c r="BH15" s="49" t="s">
        <v>663</v>
      </c>
      <c r="BI15" s="49"/>
      <c r="BJ15" s="49"/>
      <c r="BK15" s="127" t="s">
        <v>1051</v>
      </c>
      <c r="BL15" s="127" t="s">
        <v>1051</v>
      </c>
      <c r="BM15" s="127" t="s">
        <v>1136</v>
      </c>
      <c r="BN15" s="127" t="s">
        <v>1136</v>
      </c>
      <c r="BO15" s="2"/>
      <c r="BP15" s="3"/>
      <c r="BQ15" s="3"/>
      <c r="BR15" s="3"/>
      <c r="BS15" s="3"/>
    </row>
    <row r="16" spans="1:71" ht="15">
      <c r="A16" s="65" t="s">
        <v>314</v>
      </c>
      <c r="B16" s="66"/>
      <c r="C16" s="66"/>
      <c r="D16" s="67">
        <v>757.1428571428571</v>
      </c>
      <c r="E16" s="69"/>
      <c r="F16" s="108" t="str">
        <f>HYPERLINK("https://yt3.ggpht.com/ytc/AAUvwnjAqmG6dgc-VTbtSA7yV9uCn5cVet7QpPncjdzt=s88-c-k-c0x00ffffff-no-rj")</f>
        <v>https://yt3.ggpht.com/ytc/AAUvwnjAqmG6dgc-VTbtSA7yV9uCn5cVet7QpPncjdzt=s88-c-k-c0x00ffffff-no-rj</v>
      </c>
      <c r="G16" s="66"/>
      <c r="H16" s="70" t="s">
        <v>593</v>
      </c>
      <c r="I16" s="71"/>
      <c r="J16" s="71" t="s">
        <v>75</v>
      </c>
      <c r="K16" s="70" t="s">
        <v>593</v>
      </c>
      <c r="L16" s="74">
        <v>834.1666666666666</v>
      </c>
      <c r="M16" s="75">
        <v>7008.609375</v>
      </c>
      <c r="N16" s="75">
        <v>2509.007568359375</v>
      </c>
      <c r="O16" s="76"/>
      <c r="P16" s="77"/>
      <c r="Q16" s="77"/>
      <c r="R16" s="101"/>
      <c r="S16" s="49">
        <v>5</v>
      </c>
      <c r="T16" s="49">
        <v>2</v>
      </c>
      <c r="U16" s="50">
        <v>247.666667</v>
      </c>
      <c r="V16" s="50">
        <v>0.004831</v>
      </c>
      <c r="W16" s="50">
        <v>0.01893</v>
      </c>
      <c r="X16" s="50">
        <v>2.110528</v>
      </c>
      <c r="Y16" s="50">
        <v>0.1</v>
      </c>
      <c r="Z16" s="50">
        <v>0</v>
      </c>
      <c r="AA16" s="72">
        <v>16</v>
      </c>
      <c r="AB16" s="72"/>
      <c r="AC16" s="73"/>
      <c r="AD16" s="89" t="s">
        <v>593</v>
      </c>
      <c r="AE16" s="89"/>
      <c r="AF16" s="89"/>
      <c r="AG16" s="89"/>
      <c r="AH16" s="89"/>
      <c r="AI16" s="89"/>
      <c r="AJ16" s="98">
        <v>42577.961550925924</v>
      </c>
      <c r="AK16" s="95" t="str">
        <f>HYPERLINK("https://yt3.ggpht.com/ytc/AAUvwnjAqmG6dgc-VTbtSA7yV9uCn5cVet7QpPncjdzt=s88-c-k-c0x00ffffff-no-rj")</f>
        <v>https://yt3.ggpht.com/ytc/AAUvwnjAqmG6dgc-VTbtSA7yV9uCn5cVet7QpPncjdzt=s88-c-k-c0x00ffffff-no-rj</v>
      </c>
      <c r="AL16" s="89">
        <v>0</v>
      </c>
      <c r="AM16" s="89">
        <v>0</v>
      </c>
      <c r="AN16" s="89">
        <v>0</v>
      </c>
      <c r="AO16" s="89" t="b">
        <v>0</v>
      </c>
      <c r="AP16" s="89">
        <v>0</v>
      </c>
      <c r="AQ16" s="89"/>
      <c r="AR16" s="89"/>
      <c r="AS16" s="89" t="s">
        <v>736</v>
      </c>
      <c r="AT16" s="95" t="str">
        <f>HYPERLINK("https://www.youtube.com/channel/UC8_oQ7TS8UBU5j1es2pvHHg")</f>
        <v>https://www.youtube.com/channel/UC8_oQ7TS8UBU5j1es2pvHHg</v>
      </c>
      <c r="AU16" s="89" t="str">
        <f>REPLACE(INDEX(GroupVertices[Group],MATCH(Vertices[[#This Row],[Vertex]],GroupVertices[Vertex],0)),1,1,"")</f>
        <v>5</v>
      </c>
      <c r="AV16" s="49">
        <v>0</v>
      </c>
      <c r="AW16" s="50">
        <v>0</v>
      </c>
      <c r="AX16" s="49">
        <v>0</v>
      </c>
      <c r="AY16" s="50">
        <v>0</v>
      </c>
      <c r="AZ16" s="49">
        <v>0</v>
      </c>
      <c r="BA16" s="50">
        <v>0</v>
      </c>
      <c r="BB16" s="49">
        <v>12</v>
      </c>
      <c r="BC16" s="50">
        <v>100</v>
      </c>
      <c r="BD16" s="49">
        <v>12</v>
      </c>
      <c r="BE16" s="49"/>
      <c r="BF16" s="49"/>
      <c r="BG16" s="49"/>
      <c r="BH16" s="49"/>
      <c r="BI16" s="49"/>
      <c r="BJ16" s="49"/>
      <c r="BK16" s="127" t="s">
        <v>1052</v>
      </c>
      <c r="BL16" s="127" t="s">
        <v>1052</v>
      </c>
      <c r="BM16" s="127" t="s">
        <v>1137</v>
      </c>
      <c r="BN16" s="127" t="s">
        <v>1137</v>
      </c>
      <c r="BO16" s="2"/>
      <c r="BP16" s="3"/>
      <c r="BQ16" s="3"/>
      <c r="BR16" s="3"/>
      <c r="BS16" s="3"/>
    </row>
    <row r="17" spans="1:71" ht="15">
      <c r="A17" s="65" t="s">
        <v>313</v>
      </c>
      <c r="B17" s="66"/>
      <c r="C17" s="66"/>
      <c r="D17" s="67">
        <v>150</v>
      </c>
      <c r="E17" s="69"/>
      <c r="F17" s="108" t="str">
        <f>HYPERLINK("https://yt3.ggpht.com/ytc/AAUvwnhzI36pAyevh4Ai1I1DnoSoE-OZuWIP8dR_fGKDiA=s88-c-k-c0x00ffffff-no-rj")</f>
        <v>https://yt3.ggpht.com/ytc/AAUvwnhzI36pAyevh4Ai1I1DnoSoE-OZuWIP8dR_fGKDiA=s88-c-k-c0x00ffffff-no-rj</v>
      </c>
      <c r="G17" s="66"/>
      <c r="H17" s="70" t="s">
        <v>592</v>
      </c>
      <c r="I17" s="71"/>
      <c r="J17" s="71" t="s">
        <v>159</v>
      </c>
      <c r="K17" s="70" t="s">
        <v>592</v>
      </c>
      <c r="L17" s="74">
        <v>1</v>
      </c>
      <c r="M17" s="75">
        <v>6637.07275390625</v>
      </c>
      <c r="N17" s="75">
        <v>1459.3916015625</v>
      </c>
      <c r="O17" s="76"/>
      <c r="P17" s="77"/>
      <c r="Q17" s="77"/>
      <c r="R17" s="101"/>
      <c r="S17" s="49">
        <v>0</v>
      </c>
      <c r="T17" s="49">
        <v>1</v>
      </c>
      <c r="U17" s="50">
        <v>0</v>
      </c>
      <c r="V17" s="50">
        <v>0.003367</v>
      </c>
      <c r="W17" s="50">
        <v>0.002191</v>
      </c>
      <c r="X17" s="50">
        <v>0.448991</v>
      </c>
      <c r="Y17" s="50">
        <v>0</v>
      </c>
      <c r="Z17" s="50">
        <v>0</v>
      </c>
      <c r="AA17" s="72">
        <v>17</v>
      </c>
      <c r="AB17" s="72"/>
      <c r="AC17" s="73"/>
      <c r="AD17" s="89" t="s">
        <v>592</v>
      </c>
      <c r="AE17" s="89" t="s">
        <v>718</v>
      </c>
      <c r="AF17" s="89"/>
      <c r="AG17" s="89"/>
      <c r="AH17" s="89"/>
      <c r="AI17" s="89"/>
      <c r="AJ17" s="98">
        <v>42128.20616898148</v>
      </c>
      <c r="AK17" s="95" t="str">
        <f>HYPERLINK("https://yt3.ggpht.com/ytc/AAUvwnhzI36pAyevh4Ai1I1DnoSoE-OZuWIP8dR_fGKDiA=s88-c-k-c0x00ffffff-no-rj")</f>
        <v>https://yt3.ggpht.com/ytc/AAUvwnhzI36pAyevh4Ai1I1DnoSoE-OZuWIP8dR_fGKDiA=s88-c-k-c0x00ffffff-no-rj</v>
      </c>
      <c r="AL17" s="89">
        <v>0</v>
      </c>
      <c r="AM17" s="89">
        <v>0</v>
      </c>
      <c r="AN17" s="89">
        <v>1</v>
      </c>
      <c r="AO17" s="89" t="b">
        <v>0</v>
      </c>
      <c r="AP17" s="89">
        <v>0</v>
      </c>
      <c r="AQ17" s="89"/>
      <c r="AR17" s="89"/>
      <c r="AS17" s="89" t="s">
        <v>736</v>
      </c>
      <c r="AT17" s="95" t="str">
        <f>HYPERLINK("https://www.youtube.com/channel/UCfSRxcEYb7rjFKHXBw1O2dA")</f>
        <v>https://www.youtube.com/channel/UCfSRxcEYb7rjFKHXBw1O2dA</v>
      </c>
      <c r="AU17" s="89" t="str">
        <f>REPLACE(INDEX(GroupVertices[Group],MATCH(Vertices[[#This Row],[Vertex]],GroupVertices[Vertex],0)),1,1,"")</f>
        <v>5</v>
      </c>
      <c r="AV17" s="49">
        <v>0</v>
      </c>
      <c r="AW17" s="50">
        <v>0</v>
      </c>
      <c r="AX17" s="49">
        <v>0</v>
      </c>
      <c r="AY17" s="50">
        <v>0</v>
      </c>
      <c r="AZ17" s="49">
        <v>0</v>
      </c>
      <c r="BA17" s="50">
        <v>0</v>
      </c>
      <c r="BB17" s="49">
        <v>10</v>
      </c>
      <c r="BC17" s="50">
        <v>100</v>
      </c>
      <c r="BD17" s="49">
        <v>10</v>
      </c>
      <c r="BE17" s="49"/>
      <c r="BF17" s="49"/>
      <c r="BG17" s="49"/>
      <c r="BH17" s="49"/>
      <c r="BI17" s="49"/>
      <c r="BJ17" s="49"/>
      <c r="BK17" s="127" t="s">
        <v>1053</v>
      </c>
      <c r="BL17" s="127" t="s">
        <v>1053</v>
      </c>
      <c r="BM17" s="127" t="s">
        <v>1138</v>
      </c>
      <c r="BN17" s="127" t="s">
        <v>1138</v>
      </c>
      <c r="BO17" s="2"/>
      <c r="BP17" s="3"/>
      <c r="BQ17" s="3"/>
      <c r="BR17" s="3"/>
      <c r="BS17" s="3"/>
    </row>
    <row r="18" spans="1:71" ht="15">
      <c r="A18" s="65" t="s">
        <v>300</v>
      </c>
      <c r="B18" s="66"/>
      <c r="C18" s="66"/>
      <c r="D18" s="67">
        <v>150</v>
      </c>
      <c r="E18" s="69"/>
      <c r="F18" s="108" t="str">
        <f>HYPERLINK("https://yt3.ggpht.com/ytc/AAUvwnjf6sDaUb7v2dwRMh3pkldIy_G8hHIKQMdZNJU6Mw=s88-c-k-c0x00ffffff-no-rj")</f>
        <v>https://yt3.ggpht.com/ytc/AAUvwnjf6sDaUb7v2dwRMh3pkldIy_G8hHIKQMdZNJU6Mw=s88-c-k-c0x00ffffff-no-rj</v>
      </c>
      <c r="G18" s="66"/>
      <c r="H18" s="70" t="s">
        <v>579</v>
      </c>
      <c r="I18" s="71"/>
      <c r="J18" s="71" t="s">
        <v>159</v>
      </c>
      <c r="K18" s="70" t="s">
        <v>579</v>
      </c>
      <c r="L18" s="74">
        <v>1</v>
      </c>
      <c r="M18" s="75">
        <v>6705.67041015625</v>
      </c>
      <c r="N18" s="75">
        <v>5444.52001953125</v>
      </c>
      <c r="O18" s="76"/>
      <c r="P18" s="77"/>
      <c r="Q18" s="77"/>
      <c r="R18" s="101"/>
      <c r="S18" s="49">
        <v>0</v>
      </c>
      <c r="T18" s="49">
        <v>1</v>
      </c>
      <c r="U18" s="50">
        <v>0</v>
      </c>
      <c r="V18" s="50">
        <v>0.003937</v>
      </c>
      <c r="W18" s="50">
        <v>0.004527</v>
      </c>
      <c r="X18" s="50">
        <v>0.486308</v>
      </c>
      <c r="Y18" s="50">
        <v>0</v>
      </c>
      <c r="Z18" s="50">
        <v>0</v>
      </c>
      <c r="AA18" s="72">
        <v>18</v>
      </c>
      <c r="AB18" s="72"/>
      <c r="AC18" s="73"/>
      <c r="AD18" s="89" t="s">
        <v>579</v>
      </c>
      <c r="AE18" s="89"/>
      <c r="AF18" s="89"/>
      <c r="AG18" s="89"/>
      <c r="AH18" s="89"/>
      <c r="AI18" s="89"/>
      <c r="AJ18" s="98">
        <v>44099.941145833334</v>
      </c>
      <c r="AK18" s="95" t="str">
        <f>HYPERLINK("https://yt3.ggpht.com/ytc/AAUvwnjf6sDaUb7v2dwRMh3pkldIy_G8hHIKQMdZNJU6Mw=s88-c-k-c0x00ffffff-no-rj")</f>
        <v>https://yt3.ggpht.com/ytc/AAUvwnjf6sDaUb7v2dwRMh3pkldIy_G8hHIKQMdZNJU6Mw=s88-c-k-c0x00ffffff-no-rj</v>
      </c>
      <c r="AL18" s="89">
        <v>0</v>
      </c>
      <c r="AM18" s="89">
        <v>0</v>
      </c>
      <c r="AN18" s="89">
        <v>7</v>
      </c>
      <c r="AO18" s="89" t="b">
        <v>0</v>
      </c>
      <c r="AP18" s="89">
        <v>0</v>
      </c>
      <c r="AQ18" s="89"/>
      <c r="AR18" s="89"/>
      <c r="AS18" s="89" t="s">
        <v>736</v>
      </c>
      <c r="AT18" s="95" t="str">
        <f>HYPERLINK("https://www.youtube.com/channel/UCYdODoJdVvDp-9z2mt6wgyQ")</f>
        <v>https://www.youtube.com/channel/UCYdODoJdVvDp-9z2mt6wgyQ</v>
      </c>
      <c r="AU18" s="89" t="str">
        <f>REPLACE(INDEX(GroupVertices[Group],MATCH(Vertices[[#This Row],[Vertex]],GroupVertices[Vertex],0)),1,1,"")</f>
        <v>2</v>
      </c>
      <c r="AV18" s="49">
        <v>0</v>
      </c>
      <c r="AW18" s="50">
        <v>0</v>
      </c>
      <c r="AX18" s="49">
        <v>0</v>
      </c>
      <c r="AY18" s="50">
        <v>0</v>
      </c>
      <c r="AZ18" s="49">
        <v>0</v>
      </c>
      <c r="BA18" s="50">
        <v>0</v>
      </c>
      <c r="BB18" s="49">
        <v>1</v>
      </c>
      <c r="BC18" s="50">
        <v>100</v>
      </c>
      <c r="BD18" s="49">
        <v>1</v>
      </c>
      <c r="BE18" s="49"/>
      <c r="BF18" s="49"/>
      <c r="BG18" s="49"/>
      <c r="BH18" s="49"/>
      <c r="BI18" s="49"/>
      <c r="BJ18" s="49"/>
      <c r="BK18" s="127" t="s">
        <v>666</v>
      </c>
      <c r="BL18" s="127" t="s">
        <v>666</v>
      </c>
      <c r="BM18" s="127" t="s">
        <v>666</v>
      </c>
      <c r="BN18" s="127" t="s">
        <v>666</v>
      </c>
      <c r="BO18" s="2"/>
      <c r="BP18" s="3"/>
      <c r="BQ18" s="3"/>
      <c r="BR18" s="3"/>
      <c r="BS18" s="3"/>
    </row>
    <row r="19" spans="1:71" ht="15">
      <c r="A19" s="65" t="s">
        <v>227</v>
      </c>
      <c r="B19" s="66"/>
      <c r="C19" s="66"/>
      <c r="D19" s="67">
        <v>150</v>
      </c>
      <c r="E19" s="69"/>
      <c r="F19" s="108" t="str">
        <f>HYPERLINK("https://yt3.ggpht.com/ytc/AAUvwnhQunKjNHoLuEyJa_nT136IJwAT42KqrBFGXINjig=s88-c-k-c0x00ffffff-no-rj")</f>
        <v>https://yt3.ggpht.com/ytc/AAUvwnhQunKjNHoLuEyJa_nT136IJwAT42KqrBFGXINjig=s88-c-k-c0x00ffffff-no-rj</v>
      </c>
      <c r="G19" s="66"/>
      <c r="H19" s="70" t="s">
        <v>506</v>
      </c>
      <c r="I19" s="71"/>
      <c r="J19" s="71" t="s">
        <v>159</v>
      </c>
      <c r="K19" s="70" t="s">
        <v>506</v>
      </c>
      <c r="L19" s="74">
        <v>1</v>
      </c>
      <c r="M19" s="75">
        <v>4960.77783203125</v>
      </c>
      <c r="N19" s="75">
        <v>160.3882293701172</v>
      </c>
      <c r="O19" s="76"/>
      <c r="P19" s="77"/>
      <c r="Q19" s="77"/>
      <c r="R19" s="101"/>
      <c r="S19" s="49">
        <v>0</v>
      </c>
      <c r="T19" s="49">
        <v>1</v>
      </c>
      <c r="U19" s="50">
        <v>0</v>
      </c>
      <c r="V19" s="50">
        <v>0.035714</v>
      </c>
      <c r="W19" s="50">
        <v>0</v>
      </c>
      <c r="X19" s="50">
        <v>0.590026</v>
      </c>
      <c r="Y19" s="50">
        <v>0</v>
      </c>
      <c r="Z19" s="50">
        <v>0</v>
      </c>
      <c r="AA19" s="72">
        <v>19</v>
      </c>
      <c r="AB19" s="72"/>
      <c r="AC19" s="73"/>
      <c r="AD19" s="89" t="s">
        <v>506</v>
      </c>
      <c r="AE19" s="89" t="s">
        <v>688</v>
      </c>
      <c r="AF19" s="89"/>
      <c r="AG19" s="89"/>
      <c r="AH19" s="89"/>
      <c r="AI19" s="89"/>
      <c r="AJ19" s="98">
        <v>43197.30611111111</v>
      </c>
      <c r="AK19" s="95" t="str">
        <f>HYPERLINK("https://yt3.ggpht.com/ytc/AAUvwnhQunKjNHoLuEyJa_nT136IJwAT42KqrBFGXINjig=s88-c-k-c0x00ffffff-no-rj")</f>
        <v>https://yt3.ggpht.com/ytc/AAUvwnhQunKjNHoLuEyJa_nT136IJwAT42KqrBFGXINjig=s88-c-k-c0x00ffffff-no-rj</v>
      </c>
      <c r="AL19" s="89">
        <v>215</v>
      </c>
      <c r="AM19" s="89">
        <v>0</v>
      </c>
      <c r="AN19" s="89">
        <v>79</v>
      </c>
      <c r="AO19" s="89" t="b">
        <v>0</v>
      </c>
      <c r="AP19" s="89">
        <v>2</v>
      </c>
      <c r="AQ19" s="89"/>
      <c r="AR19" s="89"/>
      <c r="AS19" s="89" t="s">
        <v>736</v>
      </c>
      <c r="AT19" s="95" t="str">
        <f>HYPERLINK("https://www.youtube.com/channel/UCXluBqiQge_RLYUebJShy8w")</f>
        <v>https://www.youtube.com/channel/UCXluBqiQge_RLYUebJShy8w</v>
      </c>
      <c r="AU19" s="89" t="str">
        <f>REPLACE(INDEX(GroupVertices[Group],MATCH(Vertices[[#This Row],[Vertex]],GroupVertices[Vertex],0)),1,1,"")</f>
        <v>4</v>
      </c>
      <c r="AV19" s="49">
        <v>0</v>
      </c>
      <c r="AW19" s="50">
        <v>0</v>
      </c>
      <c r="AX19" s="49">
        <v>0</v>
      </c>
      <c r="AY19" s="50">
        <v>0</v>
      </c>
      <c r="AZ19" s="49">
        <v>0</v>
      </c>
      <c r="BA19" s="50">
        <v>0</v>
      </c>
      <c r="BB19" s="49">
        <v>2</v>
      </c>
      <c r="BC19" s="50">
        <v>100</v>
      </c>
      <c r="BD19" s="49">
        <v>2</v>
      </c>
      <c r="BE19" s="49"/>
      <c r="BF19" s="49"/>
      <c r="BG19" s="49"/>
      <c r="BH19" s="49"/>
      <c r="BI19" s="49"/>
      <c r="BJ19" s="49"/>
      <c r="BK19" s="127" t="s">
        <v>360</v>
      </c>
      <c r="BL19" s="127" t="s">
        <v>360</v>
      </c>
      <c r="BM19" s="127" t="s">
        <v>1139</v>
      </c>
      <c r="BN19" s="127" t="s">
        <v>1139</v>
      </c>
      <c r="BO19" s="2"/>
      <c r="BP19" s="3"/>
      <c r="BQ19" s="3"/>
      <c r="BR19" s="3"/>
      <c r="BS19" s="3"/>
    </row>
    <row r="20" spans="1:71" ht="15">
      <c r="A20" s="65" t="s">
        <v>228</v>
      </c>
      <c r="B20" s="66"/>
      <c r="C20" s="66"/>
      <c r="D20" s="67">
        <v>392.8571428571429</v>
      </c>
      <c r="E20" s="69"/>
      <c r="F20" s="108" t="str">
        <f>HYPERLINK("https://yt3.ggpht.com/ytc/AAUvwnhAibdoVQDZlXJ_2m1ds8aikgShCSA3TCvAu31atQ=s88-c-k-c0x00ffffff-no-rj")</f>
        <v>https://yt3.ggpht.com/ytc/AAUvwnhAibdoVQDZlXJ_2m1ds8aikgShCSA3TCvAu31atQ=s88-c-k-c0x00ffffff-no-rj</v>
      </c>
      <c r="G20" s="66"/>
      <c r="H20" s="70" t="s">
        <v>507</v>
      </c>
      <c r="I20" s="71"/>
      <c r="J20" s="71" t="s">
        <v>75</v>
      </c>
      <c r="K20" s="70" t="s">
        <v>507</v>
      </c>
      <c r="L20" s="74">
        <v>334.26666666666665</v>
      </c>
      <c r="M20" s="75">
        <v>5231.259765625</v>
      </c>
      <c r="N20" s="75">
        <v>1018.6083984375</v>
      </c>
      <c r="O20" s="76"/>
      <c r="P20" s="77"/>
      <c r="Q20" s="77"/>
      <c r="R20" s="101"/>
      <c r="S20" s="49">
        <v>2</v>
      </c>
      <c r="T20" s="49">
        <v>1</v>
      </c>
      <c r="U20" s="50">
        <v>34</v>
      </c>
      <c r="V20" s="50">
        <v>0.052632</v>
      </c>
      <c r="W20" s="50">
        <v>0</v>
      </c>
      <c r="X20" s="50">
        <v>1.553034</v>
      </c>
      <c r="Y20" s="50">
        <v>0</v>
      </c>
      <c r="Z20" s="50">
        <v>0</v>
      </c>
      <c r="AA20" s="72">
        <v>20</v>
      </c>
      <c r="AB20" s="72"/>
      <c r="AC20" s="73"/>
      <c r="AD20" s="89" t="s">
        <v>507</v>
      </c>
      <c r="AE20" s="89"/>
      <c r="AF20" s="89"/>
      <c r="AG20" s="89"/>
      <c r="AH20" s="89"/>
      <c r="AI20" s="89"/>
      <c r="AJ20" s="98">
        <v>41996.40246527778</v>
      </c>
      <c r="AK20" s="95" t="str">
        <f>HYPERLINK("https://yt3.ggpht.com/ytc/AAUvwnhAibdoVQDZlXJ_2m1ds8aikgShCSA3TCvAu31atQ=s88-c-k-c0x00ffffff-no-rj")</f>
        <v>https://yt3.ggpht.com/ytc/AAUvwnhAibdoVQDZlXJ_2m1ds8aikgShCSA3TCvAu31atQ=s88-c-k-c0x00ffffff-no-rj</v>
      </c>
      <c r="AL20" s="89">
        <v>527</v>
      </c>
      <c r="AM20" s="89">
        <v>0</v>
      </c>
      <c r="AN20" s="89">
        <v>7</v>
      </c>
      <c r="AO20" s="89" t="b">
        <v>0</v>
      </c>
      <c r="AP20" s="89">
        <v>9</v>
      </c>
      <c r="AQ20" s="89"/>
      <c r="AR20" s="89"/>
      <c r="AS20" s="89" t="s">
        <v>736</v>
      </c>
      <c r="AT20" s="95" t="str">
        <f>HYPERLINK("https://www.youtube.com/channel/UCwChU2l1801enAbBJJq2c0g")</f>
        <v>https://www.youtube.com/channel/UCwChU2l1801enAbBJJq2c0g</v>
      </c>
      <c r="AU20" s="89" t="str">
        <f>REPLACE(INDEX(GroupVertices[Group],MATCH(Vertices[[#This Row],[Vertex]],GroupVertices[Vertex],0)),1,1,"")</f>
        <v>4</v>
      </c>
      <c r="AV20" s="49">
        <v>0</v>
      </c>
      <c r="AW20" s="50">
        <v>0</v>
      </c>
      <c r="AX20" s="49">
        <v>0</v>
      </c>
      <c r="AY20" s="50">
        <v>0</v>
      </c>
      <c r="AZ20" s="49">
        <v>0</v>
      </c>
      <c r="BA20" s="50">
        <v>0</v>
      </c>
      <c r="BB20" s="49">
        <v>11</v>
      </c>
      <c r="BC20" s="50">
        <v>100</v>
      </c>
      <c r="BD20" s="49">
        <v>11</v>
      </c>
      <c r="BE20" s="49"/>
      <c r="BF20" s="49"/>
      <c r="BG20" s="49"/>
      <c r="BH20" s="49"/>
      <c r="BI20" s="49"/>
      <c r="BJ20" s="49"/>
      <c r="BK20" s="127" t="s">
        <v>1054</v>
      </c>
      <c r="BL20" s="127" t="s">
        <v>1054</v>
      </c>
      <c r="BM20" s="127" t="s">
        <v>1140</v>
      </c>
      <c r="BN20" s="127" t="s">
        <v>1140</v>
      </c>
      <c r="BO20" s="2"/>
      <c r="BP20" s="3"/>
      <c r="BQ20" s="3"/>
      <c r="BR20" s="3"/>
      <c r="BS20" s="3"/>
    </row>
    <row r="21" spans="1:71" ht="15">
      <c r="A21" s="65" t="s">
        <v>281</v>
      </c>
      <c r="B21" s="66"/>
      <c r="C21" s="66"/>
      <c r="D21" s="67">
        <v>271.42857142857144</v>
      </c>
      <c r="E21" s="69"/>
      <c r="F21" s="108" t="str">
        <f>HYPERLINK("https://yt3.ggpht.com/ytc/AAUvwngIsibueP4_OdqcMFog9Z9zYDrdTntC0fhn9o2v=s88-c-k-c0x00ffffff-no-rj")</f>
        <v>https://yt3.ggpht.com/ytc/AAUvwngIsibueP4_OdqcMFog9Z9zYDrdTntC0fhn9o2v=s88-c-k-c0x00ffffff-no-rj</v>
      </c>
      <c r="G21" s="66"/>
      <c r="H21" s="70" t="s">
        <v>560</v>
      </c>
      <c r="I21" s="71"/>
      <c r="J21" s="71" t="s">
        <v>159</v>
      </c>
      <c r="K21" s="70" t="s">
        <v>560</v>
      </c>
      <c r="L21" s="74">
        <v>167.63333333333333</v>
      </c>
      <c r="M21" s="75">
        <v>6784.44140625</v>
      </c>
      <c r="N21" s="75">
        <v>8257.3017578125</v>
      </c>
      <c r="O21" s="76"/>
      <c r="P21" s="77"/>
      <c r="Q21" s="77"/>
      <c r="R21" s="101"/>
      <c r="S21" s="49">
        <v>1</v>
      </c>
      <c r="T21" s="49">
        <v>1</v>
      </c>
      <c r="U21" s="50">
        <v>0</v>
      </c>
      <c r="V21" s="50">
        <v>0.005236</v>
      </c>
      <c r="W21" s="50">
        <v>0.016264</v>
      </c>
      <c r="X21" s="50">
        <v>0.809964</v>
      </c>
      <c r="Y21" s="50">
        <v>0.5</v>
      </c>
      <c r="Z21" s="50">
        <v>0</v>
      </c>
      <c r="AA21" s="72">
        <v>21</v>
      </c>
      <c r="AB21" s="72"/>
      <c r="AC21" s="73"/>
      <c r="AD21" s="89" t="s">
        <v>560</v>
      </c>
      <c r="AE21" s="89" t="s">
        <v>702</v>
      </c>
      <c r="AF21" s="89"/>
      <c r="AG21" s="89"/>
      <c r="AH21" s="89"/>
      <c r="AI21" s="89"/>
      <c r="AJ21" s="98">
        <v>42406.62678240741</v>
      </c>
      <c r="AK21" s="95" t="str">
        <f>HYPERLINK("https://yt3.ggpht.com/ytc/AAUvwngIsibueP4_OdqcMFog9Z9zYDrdTntC0fhn9o2v=s88-c-k-c0x00ffffff-no-rj")</f>
        <v>https://yt3.ggpht.com/ytc/AAUvwngIsibueP4_OdqcMFog9Z9zYDrdTntC0fhn9o2v=s88-c-k-c0x00ffffff-no-rj</v>
      </c>
      <c r="AL21" s="89">
        <v>102</v>
      </c>
      <c r="AM21" s="89">
        <v>0</v>
      </c>
      <c r="AN21" s="89">
        <v>5</v>
      </c>
      <c r="AO21" s="89" t="b">
        <v>0</v>
      </c>
      <c r="AP21" s="89">
        <v>4</v>
      </c>
      <c r="AQ21" s="89"/>
      <c r="AR21" s="89"/>
      <c r="AS21" s="89" t="s">
        <v>736</v>
      </c>
      <c r="AT21" s="95" t="str">
        <f>HYPERLINK("https://www.youtube.com/channel/UCAT9SfyewrfIMlREAUYjJjA")</f>
        <v>https://www.youtube.com/channel/UCAT9SfyewrfIMlREAUYjJjA</v>
      </c>
      <c r="AU21" s="89" t="str">
        <f>REPLACE(INDEX(GroupVertices[Group],MATCH(Vertices[[#This Row],[Vertex]],GroupVertices[Vertex],0)),1,1,"")</f>
        <v>2</v>
      </c>
      <c r="AV21" s="49">
        <v>0</v>
      </c>
      <c r="AW21" s="50">
        <v>0</v>
      </c>
      <c r="AX21" s="49">
        <v>1</v>
      </c>
      <c r="AY21" s="50">
        <v>16.666666666666668</v>
      </c>
      <c r="AZ21" s="49">
        <v>0</v>
      </c>
      <c r="BA21" s="50">
        <v>0</v>
      </c>
      <c r="BB21" s="49">
        <v>5</v>
      </c>
      <c r="BC21" s="50">
        <v>83.33333333333333</v>
      </c>
      <c r="BD21" s="49">
        <v>6</v>
      </c>
      <c r="BE21" s="49"/>
      <c r="BF21" s="49"/>
      <c r="BG21" s="49"/>
      <c r="BH21" s="49"/>
      <c r="BI21" s="49"/>
      <c r="BJ21" s="49"/>
      <c r="BK21" s="127" t="s">
        <v>1055</v>
      </c>
      <c r="BL21" s="127" t="s">
        <v>1055</v>
      </c>
      <c r="BM21" s="127" t="s">
        <v>1141</v>
      </c>
      <c r="BN21" s="127" t="s">
        <v>1141</v>
      </c>
      <c r="BO21" s="2"/>
      <c r="BP21" s="3"/>
      <c r="BQ21" s="3"/>
      <c r="BR21" s="3"/>
      <c r="BS21" s="3"/>
    </row>
    <row r="22" spans="1:71" ht="15">
      <c r="A22" s="65" t="s">
        <v>264</v>
      </c>
      <c r="B22" s="66"/>
      <c r="C22" s="66"/>
      <c r="D22" s="67">
        <v>150</v>
      </c>
      <c r="E22" s="69"/>
      <c r="F22" s="108" t="str">
        <f>HYPERLINK("https://yt3.ggpht.com/ytc/AAUvwngi6jgmrLAORFZc3tryuOb-A9GVRXePld-7OP6kpQ=s88-c-k-c0x00ffffff-no-rj")</f>
        <v>https://yt3.ggpht.com/ytc/AAUvwngi6jgmrLAORFZc3tryuOb-A9GVRXePld-7OP6kpQ=s88-c-k-c0x00ffffff-no-rj</v>
      </c>
      <c r="G22" s="66"/>
      <c r="H22" s="70" t="s">
        <v>543</v>
      </c>
      <c r="I22" s="71"/>
      <c r="J22" s="71" t="s">
        <v>159</v>
      </c>
      <c r="K22" s="70" t="s">
        <v>543</v>
      </c>
      <c r="L22" s="74">
        <v>1</v>
      </c>
      <c r="M22" s="75">
        <v>3498.525146484375</v>
      </c>
      <c r="N22" s="75">
        <v>3789.1904296875</v>
      </c>
      <c r="O22" s="76"/>
      <c r="P22" s="77"/>
      <c r="Q22" s="77"/>
      <c r="R22" s="101"/>
      <c r="S22" s="49">
        <v>0</v>
      </c>
      <c r="T22" s="49">
        <v>1</v>
      </c>
      <c r="U22" s="50">
        <v>0</v>
      </c>
      <c r="V22" s="50">
        <v>0.004695</v>
      </c>
      <c r="W22" s="50">
        <v>0.011737</v>
      </c>
      <c r="X22" s="50">
        <v>0.473657</v>
      </c>
      <c r="Y22" s="50">
        <v>0</v>
      </c>
      <c r="Z22" s="50">
        <v>0</v>
      </c>
      <c r="AA22" s="72">
        <v>22</v>
      </c>
      <c r="AB22" s="72"/>
      <c r="AC22" s="73"/>
      <c r="AD22" s="89" t="s">
        <v>543</v>
      </c>
      <c r="AE22" s="89" t="s">
        <v>698</v>
      </c>
      <c r="AF22" s="89"/>
      <c r="AG22" s="89"/>
      <c r="AH22" s="89"/>
      <c r="AI22" s="89"/>
      <c r="AJ22" s="98">
        <v>42004.605625</v>
      </c>
      <c r="AK22" s="95" t="str">
        <f>HYPERLINK("https://yt3.ggpht.com/ytc/AAUvwngi6jgmrLAORFZc3tryuOb-A9GVRXePld-7OP6kpQ=s88-c-k-c0x00ffffff-no-rj")</f>
        <v>https://yt3.ggpht.com/ytc/AAUvwngi6jgmrLAORFZc3tryuOb-A9GVRXePld-7OP6kpQ=s88-c-k-c0x00ffffff-no-rj</v>
      </c>
      <c r="AL22" s="89">
        <v>0</v>
      </c>
      <c r="AM22" s="89">
        <v>0</v>
      </c>
      <c r="AN22" s="89">
        <v>0</v>
      </c>
      <c r="AO22" s="89" t="b">
        <v>0</v>
      </c>
      <c r="AP22" s="89">
        <v>0</v>
      </c>
      <c r="AQ22" s="89"/>
      <c r="AR22" s="89"/>
      <c r="AS22" s="89" t="s">
        <v>736</v>
      </c>
      <c r="AT22" s="95" t="str">
        <f>HYPERLINK("https://www.youtube.com/channel/UCOG_T9dGhVa3Sf4ay-_ZLhA")</f>
        <v>https://www.youtube.com/channel/UCOG_T9dGhVa3Sf4ay-_ZLhA</v>
      </c>
      <c r="AU22" s="89" t="str">
        <f>REPLACE(INDEX(GroupVertices[Group],MATCH(Vertices[[#This Row],[Vertex]],GroupVertices[Vertex],0)),1,1,"")</f>
        <v>1</v>
      </c>
      <c r="AV22" s="49">
        <v>1</v>
      </c>
      <c r="AW22" s="50">
        <v>11.11111111111111</v>
      </c>
      <c r="AX22" s="49">
        <v>0</v>
      </c>
      <c r="AY22" s="50">
        <v>0</v>
      </c>
      <c r="AZ22" s="49">
        <v>0</v>
      </c>
      <c r="BA22" s="50">
        <v>0</v>
      </c>
      <c r="BB22" s="49">
        <v>8</v>
      </c>
      <c r="BC22" s="50">
        <v>88.88888888888889</v>
      </c>
      <c r="BD22" s="49">
        <v>9</v>
      </c>
      <c r="BE22" s="49"/>
      <c r="BF22" s="49"/>
      <c r="BG22" s="49"/>
      <c r="BH22" s="49"/>
      <c r="BI22" s="49"/>
      <c r="BJ22" s="49"/>
      <c r="BK22" s="127" t="s">
        <v>1056</v>
      </c>
      <c r="BL22" s="127" t="s">
        <v>1056</v>
      </c>
      <c r="BM22" s="127" t="s">
        <v>1142</v>
      </c>
      <c r="BN22" s="127" t="s">
        <v>1142</v>
      </c>
      <c r="BO22" s="2"/>
      <c r="BP22" s="3"/>
      <c r="BQ22" s="3"/>
      <c r="BR22" s="3"/>
      <c r="BS22" s="3"/>
    </row>
    <row r="23" spans="1:71" ht="15">
      <c r="A23" s="65" t="s">
        <v>338</v>
      </c>
      <c r="B23" s="66"/>
      <c r="C23" s="66"/>
      <c r="D23" s="67">
        <v>150</v>
      </c>
      <c r="E23" s="69"/>
      <c r="F23" s="108" t="str">
        <f>HYPERLINK("https://yt3.ggpht.com/ytc/AAUvwnjCVGm93ZnKKj5yP3jHuyb1BiVaUMIpF7hikA=s88-c-k-c0x00ffffff-no-rj")</f>
        <v>https://yt3.ggpht.com/ytc/AAUvwnjCVGm93ZnKKj5yP3jHuyb1BiVaUMIpF7hikA=s88-c-k-c0x00ffffff-no-rj</v>
      </c>
      <c r="G23" s="66"/>
      <c r="H23" s="70" t="s">
        <v>617</v>
      </c>
      <c r="I23" s="71"/>
      <c r="J23" s="71" t="s">
        <v>159</v>
      </c>
      <c r="K23" s="70" t="s">
        <v>617</v>
      </c>
      <c r="L23" s="74">
        <v>1</v>
      </c>
      <c r="M23" s="75">
        <v>164.01649475097656</v>
      </c>
      <c r="N23" s="75">
        <v>2897.289306640625</v>
      </c>
      <c r="O23" s="76"/>
      <c r="P23" s="77"/>
      <c r="Q23" s="77"/>
      <c r="R23" s="101"/>
      <c r="S23" s="49">
        <v>0</v>
      </c>
      <c r="T23" s="49">
        <v>1</v>
      </c>
      <c r="U23" s="50">
        <v>0</v>
      </c>
      <c r="V23" s="50">
        <v>0.004695</v>
      </c>
      <c r="W23" s="50">
        <v>0.011737</v>
      </c>
      <c r="X23" s="50">
        <v>0.473657</v>
      </c>
      <c r="Y23" s="50">
        <v>0</v>
      </c>
      <c r="Z23" s="50">
        <v>0</v>
      </c>
      <c r="AA23" s="72">
        <v>23</v>
      </c>
      <c r="AB23" s="72"/>
      <c r="AC23" s="73"/>
      <c r="AD23" s="89" t="s">
        <v>617</v>
      </c>
      <c r="AE23" s="89"/>
      <c r="AF23" s="89"/>
      <c r="AG23" s="89"/>
      <c r="AH23" s="89"/>
      <c r="AI23" s="89"/>
      <c r="AJ23" s="98">
        <v>44243.3146412037</v>
      </c>
      <c r="AK23" s="95" t="str">
        <f>HYPERLINK("https://yt3.ggpht.com/ytc/AAUvwnjCVGm93ZnKKj5yP3jHuyb1BiVaUMIpF7hikA=s88-c-k-c0x00ffffff-no-rj")</f>
        <v>https://yt3.ggpht.com/ytc/AAUvwnjCVGm93ZnKKj5yP3jHuyb1BiVaUMIpF7hikA=s88-c-k-c0x00ffffff-no-rj</v>
      </c>
      <c r="AL23" s="89">
        <v>0</v>
      </c>
      <c r="AM23" s="89">
        <v>0</v>
      </c>
      <c r="AN23" s="89">
        <v>0</v>
      </c>
      <c r="AO23" s="89" t="b">
        <v>0</v>
      </c>
      <c r="AP23" s="89">
        <v>0</v>
      </c>
      <c r="AQ23" s="89"/>
      <c r="AR23" s="89"/>
      <c r="AS23" s="89" t="s">
        <v>736</v>
      </c>
      <c r="AT23" s="95" t="str">
        <f>HYPERLINK("https://www.youtube.com/channel/UCruo99Y6FBB2DcBuWKn4lsw")</f>
        <v>https://www.youtube.com/channel/UCruo99Y6FBB2DcBuWKn4lsw</v>
      </c>
      <c r="AU23" s="89" t="str">
        <f>REPLACE(INDEX(GroupVertices[Group],MATCH(Vertices[[#This Row],[Vertex]],GroupVertices[Vertex],0)),1,1,"")</f>
        <v>1</v>
      </c>
      <c r="AV23" s="49">
        <v>0</v>
      </c>
      <c r="AW23" s="50">
        <v>0</v>
      </c>
      <c r="AX23" s="49">
        <v>0</v>
      </c>
      <c r="AY23" s="50">
        <v>0</v>
      </c>
      <c r="AZ23" s="49">
        <v>0</v>
      </c>
      <c r="BA23" s="50">
        <v>0</v>
      </c>
      <c r="BB23" s="49">
        <v>5</v>
      </c>
      <c r="BC23" s="50">
        <v>100</v>
      </c>
      <c r="BD23" s="49">
        <v>5</v>
      </c>
      <c r="BE23" s="49"/>
      <c r="BF23" s="49"/>
      <c r="BG23" s="49"/>
      <c r="BH23" s="49"/>
      <c r="BI23" s="49"/>
      <c r="BJ23" s="49"/>
      <c r="BK23" s="127" t="s">
        <v>775</v>
      </c>
      <c r="BL23" s="127" t="s">
        <v>775</v>
      </c>
      <c r="BM23" s="127" t="s">
        <v>666</v>
      </c>
      <c r="BN23" s="127" t="s">
        <v>666</v>
      </c>
      <c r="BO23" s="2"/>
      <c r="BP23" s="3"/>
      <c r="BQ23" s="3"/>
      <c r="BR23" s="3"/>
      <c r="BS23" s="3"/>
    </row>
    <row r="24" spans="1:71" ht="15">
      <c r="A24" s="65" t="s">
        <v>271</v>
      </c>
      <c r="B24" s="66"/>
      <c r="C24" s="66"/>
      <c r="D24" s="67">
        <v>150</v>
      </c>
      <c r="E24" s="69"/>
      <c r="F24" s="108" t="str">
        <f>HYPERLINK("https://yt3.ggpht.com/ytc/AAUvwnjLmr4bI5C-wn44TJAuOZWwcxYepEdyraQG9A=s88-c-k-c0x00ffffff-no-rj")</f>
        <v>https://yt3.ggpht.com/ytc/AAUvwnjLmr4bI5C-wn44TJAuOZWwcxYepEdyraQG9A=s88-c-k-c0x00ffffff-no-rj</v>
      </c>
      <c r="G24" s="66"/>
      <c r="H24" s="70" t="s">
        <v>550</v>
      </c>
      <c r="I24" s="71"/>
      <c r="J24" s="71" t="s">
        <v>159</v>
      </c>
      <c r="K24" s="70" t="s">
        <v>550</v>
      </c>
      <c r="L24" s="74">
        <v>1</v>
      </c>
      <c r="M24" s="75">
        <v>9112.677734375</v>
      </c>
      <c r="N24" s="75">
        <v>3485.923095703125</v>
      </c>
      <c r="O24" s="76"/>
      <c r="P24" s="77"/>
      <c r="Q24" s="77"/>
      <c r="R24" s="101"/>
      <c r="S24" s="49">
        <v>0</v>
      </c>
      <c r="T24" s="49">
        <v>2</v>
      </c>
      <c r="U24" s="50">
        <v>1</v>
      </c>
      <c r="V24" s="50">
        <v>0.003344</v>
      </c>
      <c r="W24" s="50">
        <v>0.002791</v>
      </c>
      <c r="X24" s="50">
        <v>0.865139</v>
      </c>
      <c r="Y24" s="50">
        <v>0</v>
      </c>
      <c r="Z24" s="50">
        <v>0</v>
      </c>
      <c r="AA24" s="72">
        <v>24</v>
      </c>
      <c r="AB24" s="72"/>
      <c r="AC24" s="73"/>
      <c r="AD24" s="89" t="s">
        <v>550</v>
      </c>
      <c r="AE24" s="89"/>
      <c r="AF24" s="89"/>
      <c r="AG24" s="89"/>
      <c r="AH24" s="89"/>
      <c r="AI24" s="89"/>
      <c r="AJ24" s="98">
        <v>43360.34516203704</v>
      </c>
      <c r="AK24" s="95" t="str">
        <f>HYPERLINK("https://yt3.ggpht.com/ytc/AAUvwnjLmr4bI5C-wn44TJAuOZWwcxYepEdyraQG9A=s88-c-k-c0x00ffffff-no-rj")</f>
        <v>https://yt3.ggpht.com/ytc/AAUvwnjLmr4bI5C-wn44TJAuOZWwcxYepEdyraQG9A=s88-c-k-c0x00ffffff-no-rj</v>
      </c>
      <c r="AL24" s="89">
        <v>0</v>
      </c>
      <c r="AM24" s="89">
        <v>0</v>
      </c>
      <c r="AN24" s="89">
        <v>0</v>
      </c>
      <c r="AO24" s="89" t="b">
        <v>0</v>
      </c>
      <c r="AP24" s="89">
        <v>0</v>
      </c>
      <c r="AQ24" s="89"/>
      <c r="AR24" s="89"/>
      <c r="AS24" s="89" t="s">
        <v>736</v>
      </c>
      <c r="AT24" s="95" t="str">
        <f>HYPERLINK("https://www.youtube.com/channel/UCSJfXviTNs8Tce09VU_uAKw")</f>
        <v>https://www.youtube.com/channel/UCSJfXviTNs8Tce09VU_uAKw</v>
      </c>
      <c r="AU24" s="89" t="str">
        <f>REPLACE(INDEX(GroupVertices[Group],MATCH(Vertices[[#This Row],[Vertex]],GroupVertices[Vertex],0)),1,1,"")</f>
        <v>6</v>
      </c>
      <c r="AV24" s="49">
        <v>2</v>
      </c>
      <c r="AW24" s="50">
        <v>3.125</v>
      </c>
      <c r="AX24" s="49">
        <v>0</v>
      </c>
      <c r="AY24" s="50">
        <v>0</v>
      </c>
      <c r="AZ24" s="49">
        <v>0</v>
      </c>
      <c r="BA24" s="50">
        <v>0</v>
      </c>
      <c r="BB24" s="49">
        <v>62</v>
      </c>
      <c r="BC24" s="50">
        <v>96.875</v>
      </c>
      <c r="BD24" s="49">
        <v>64</v>
      </c>
      <c r="BE24" s="49" t="s">
        <v>934</v>
      </c>
      <c r="BF24" s="49" t="s">
        <v>934</v>
      </c>
      <c r="BG24" s="49" t="s">
        <v>963</v>
      </c>
      <c r="BH24" s="49" t="s">
        <v>963</v>
      </c>
      <c r="BI24" s="49"/>
      <c r="BJ24" s="49"/>
      <c r="BK24" s="127" t="s">
        <v>1057</v>
      </c>
      <c r="BL24" s="127" t="s">
        <v>1123</v>
      </c>
      <c r="BM24" s="127" t="s">
        <v>1143</v>
      </c>
      <c r="BN24" s="127" t="s">
        <v>1195</v>
      </c>
      <c r="BO24" s="2"/>
      <c r="BP24" s="3"/>
      <c r="BQ24" s="3"/>
      <c r="BR24" s="3"/>
      <c r="BS24" s="3"/>
    </row>
    <row r="25" spans="1:71" ht="15">
      <c r="A25" s="65" t="s">
        <v>245</v>
      </c>
      <c r="B25" s="66"/>
      <c r="C25" s="66"/>
      <c r="D25" s="67">
        <v>150</v>
      </c>
      <c r="E25" s="69"/>
      <c r="F25" s="108" t="str">
        <f>HYPERLINK("https://yt3.ggpht.com/ytc/AAUvwniFISy--z4Fhgg6HeOEF-oo1zQ36DSDRcepqQ=s88-c-k-c0x00ffffff-no-rj")</f>
        <v>https://yt3.ggpht.com/ytc/AAUvwniFISy--z4Fhgg6HeOEF-oo1zQ36DSDRcepqQ=s88-c-k-c0x00ffffff-no-rj</v>
      </c>
      <c r="G25" s="66"/>
      <c r="H25" s="70" t="s">
        <v>524</v>
      </c>
      <c r="I25" s="71"/>
      <c r="J25" s="71" t="s">
        <v>159</v>
      </c>
      <c r="K25" s="70" t="s">
        <v>524</v>
      </c>
      <c r="L25" s="74">
        <v>1</v>
      </c>
      <c r="M25" s="75">
        <v>8496.685546875</v>
      </c>
      <c r="N25" s="75">
        <v>7961.052734375</v>
      </c>
      <c r="O25" s="76"/>
      <c r="P25" s="77"/>
      <c r="Q25" s="77"/>
      <c r="R25" s="101"/>
      <c r="S25" s="49">
        <v>0</v>
      </c>
      <c r="T25" s="49">
        <v>1</v>
      </c>
      <c r="U25" s="50">
        <v>0</v>
      </c>
      <c r="V25" s="50">
        <v>0.022727</v>
      </c>
      <c r="W25" s="50">
        <v>0</v>
      </c>
      <c r="X25" s="50">
        <v>0.549699</v>
      </c>
      <c r="Y25" s="50">
        <v>0</v>
      </c>
      <c r="Z25" s="50">
        <v>0</v>
      </c>
      <c r="AA25" s="72">
        <v>25</v>
      </c>
      <c r="AB25" s="72"/>
      <c r="AC25" s="73"/>
      <c r="AD25" s="89" t="s">
        <v>524</v>
      </c>
      <c r="AE25" s="89"/>
      <c r="AF25" s="89"/>
      <c r="AG25" s="89"/>
      <c r="AH25" s="89"/>
      <c r="AI25" s="89"/>
      <c r="AJ25" s="98">
        <v>43919.25074074074</v>
      </c>
      <c r="AK25" s="95" t="str">
        <f>HYPERLINK("https://yt3.ggpht.com/ytc/AAUvwniFISy--z4Fhgg6HeOEF-oo1zQ36DSDRcepqQ=s88-c-k-c0x00ffffff-no-rj")</f>
        <v>https://yt3.ggpht.com/ytc/AAUvwniFISy--z4Fhgg6HeOEF-oo1zQ36DSDRcepqQ=s88-c-k-c0x00ffffff-no-rj</v>
      </c>
      <c r="AL25" s="89">
        <v>0</v>
      </c>
      <c r="AM25" s="89">
        <v>0</v>
      </c>
      <c r="AN25" s="89">
        <v>0</v>
      </c>
      <c r="AO25" s="89" t="b">
        <v>0</v>
      </c>
      <c r="AP25" s="89">
        <v>0</v>
      </c>
      <c r="AQ25" s="89"/>
      <c r="AR25" s="89"/>
      <c r="AS25" s="89" t="s">
        <v>736</v>
      </c>
      <c r="AT25" s="95" t="str">
        <f>HYPERLINK("https://www.youtube.com/channel/UCR035xkdm31BkKQVhUyqB9g")</f>
        <v>https://www.youtube.com/channel/UCR035xkdm31BkKQVhUyqB9g</v>
      </c>
      <c r="AU25" s="89" t="str">
        <f>REPLACE(INDEX(GroupVertices[Group],MATCH(Vertices[[#This Row],[Vertex]],GroupVertices[Vertex],0)),1,1,"")</f>
        <v>3</v>
      </c>
      <c r="AV25" s="49">
        <v>1</v>
      </c>
      <c r="AW25" s="50">
        <v>100</v>
      </c>
      <c r="AX25" s="49">
        <v>0</v>
      </c>
      <c r="AY25" s="50">
        <v>0</v>
      </c>
      <c r="AZ25" s="49">
        <v>0</v>
      </c>
      <c r="BA25" s="50">
        <v>0</v>
      </c>
      <c r="BB25" s="49">
        <v>0</v>
      </c>
      <c r="BC25" s="50">
        <v>0</v>
      </c>
      <c r="BD25" s="49">
        <v>1</v>
      </c>
      <c r="BE25" s="49"/>
      <c r="BF25" s="49"/>
      <c r="BG25" s="49"/>
      <c r="BH25" s="49"/>
      <c r="BI25" s="49"/>
      <c r="BJ25" s="49"/>
      <c r="BK25" s="127" t="s">
        <v>792</v>
      </c>
      <c r="BL25" s="127" t="s">
        <v>792</v>
      </c>
      <c r="BM25" s="127" t="s">
        <v>666</v>
      </c>
      <c r="BN25" s="127" t="s">
        <v>666</v>
      </c>
      <c r="BO25" s="2"/>
      <c r="BP25" s="3"/>
      <c r="BQ25" s="3"/>
      <c r="BR25" s="3"/>
      <c r="BS25" s="3"/>
    </row>
    <row r="26" spans="1:71" ht="15">
      <c r="A26" s="65" t="s">
        <v>272</v>
      </c>
      <c r="B26" s="66"/>
      <c r="C26" s="66"/>
      <c r="D26" s="67">
        <v>271.42857142857144</v>
      </c>
      <c r="E26" s="69"/>
      <c r="F26" s="108" t="str">
        <f>HYPERLINK("https://yt3.ggpht.com/ytc/AAUvwnjaJn42sRr4ynHnIzNslvI4xs3VaWH7ERJRI3unhg=s88-c-k-c0x00ffffff-no-rj")</f>
        <v>https://yt3.ggpht.com/ytc/AAUvwnjaJn42sRr4ynHnIzNslvI4xs3VaWH7ERJRI3unhg=s88-c-k-c0x00ffffff-no-rj</v>
      </c>
      <c r="G26" s="66"/>
      <c r="H26" s="70" t="s">
        <v>551</v>
      </c>
      <c r="I26" s="71"/>
      <c r="J26" s="71" t="s">
        <v>159</v>
      </c>
      <c r="K26" s="70" t="s">
        <v>551</v>
      </c>
      <c r="L26" s="74">
        <v>167.63333333333333</v>
      </c>
      <c r="M26" s="75">
        <v>9632.7939453125</v>
      </c>
      <c r="N26" s="75">
        <v>3485.923095703125</v>
      </c>
      <c r="O26" s="76"/>
      <c r="P26" s="77"/>
      <c r="Q26" s="77"/>
      <c r="R26" s="101"/>
      <c r="S26" s="49">
        <v>1</v>
      </c>
      <c r="T26" s="49">
        <v>1</v>
      </c>
      <c r="U26" s="50">
        <v>89</v>
      </c>
      <c r="V26" s="50">
        <v>0.004739</v>
      </c>
      <c r="W26" s="50">
        <v>0.01206</v>
      </c>
      <c r="X26" s="50">
        <v>0.84134</v>
      </c>
      <c r="Y26" s="50">
        <v>0</v>
      </c>
      <c r="Z26" s="50">
        <v>0</v>
      </c>
      <c r="AA26" s="72">
        <v>26</v>
      </c>
      <c r="AB26" s="72"/>
      <c r="AC26" s="73"/>
      <c r="AD26" s="89" t="s">
        <v>551</v>
      </c>
      <c r="AE26" s="89"/>
      <c r="AF26" s="89"/>
      <c r="AG26" s="89"/>
      <c r="AH26" s="89"/>
      <c r="AI26" s="89"/>
      <c r="AJ26" s="98">
        <v>42899.75608796296</v>
      </c>
      <c r="AK26" s="95" t="str">
        <f>HYPERLINK("https://yt3.ggpht.com/ytc/AAUvwnjaJn42sRr4ynHnIzNslvI4xs3VaWH7ERJRI3unhg=s88-c-k-c0x00ffffff-no-rj")</f>
        <v>https://yt3.ggpht.com/ytc/AAUvwnjaJn42sRr4ynHnIzNslvI4xs3VaWH7ERJRI3unhg=s88-c-k-c0x00ffffff-no-rj</v>
      </c>
      <c r="AL26" s="89">
        <v>9</v>
      </c>
      <c r="AM26" s="89">
        <v>0</v>
      </c>
      <c r="AN26" s="89">
        <v>0</v>
      </c>
      <c r="AO26" s="89" t="b">
        <v>0</v>
      </c>
      <c r="AP26" s="89">
        <v>1</v>
      </c>
      <c r="AQ26" s="89"/>
      <c r="AR26" s="89"/>
      <c r="AS26" s="89" t="s">
        <v>736</v>
      </c>
      <c r="AT26" s="95" t="str">
        <f>HYPERLINK("https://www.youtube.com/channel/UCSqoJhY0KeLismXnsp2wbGg")</f>
        <v>https://www.youtube.com/channel/UCSqoJhY0KeLismXnsp2wbGg</v>
      </c>
      <c r="AU26" s="89" t="str">
        <f>REPLACE(INDEX(GroupVertices[Group],MATCH(Vertices[[#This Row],[Vertex]],GroupVertices[Vertex],0)),1,1,"")</f>
        <v>6</v>
      </c>
      <c r="AV26" s="49">
        <v>4</v>
      </c>
      <c r="AW26" s="50">
        <v>8.695652173913043</v>
      </c>
      <c r="AX26" s="49">
        <v>2</v>
      </c>
      <c r="AY26" s="50">
        <v>4.3478260869565215</v>
      </c>
      <c r="AZ26" s="49">
        <v>0</v>
      </c>
      <c r="BA26" s="50">
        <v>0</v>
      </c>
      <c r="BB26" s="49">
        <v>40</v>
      </c>
      <c r="BC26" s="50">
        <v>86.95652173913044</v>
      </c>
      <c r="BD26" s="49">
        <v>46</v>
      </c>
      <c r="BE26" s="49"/>
      <c r="BF26" s="49"/>
      <c r="BG26" s="49"/>
      <c r="BH26" s="49"/>
      <c r="BI26" s="49"/>
      <c r="BJ26" s="49"/>
      <c r="BK26" s="127" t="s">
        <v>1058</v>
      </c>
      <c r="BL26" s="127" t="s">
        <v>1058</v>
      </c>
      <c r="BM26" s="127" t="s">
        <v>1144</v>
      </c>
      <c r="BN26" s="127" t="s">
        <v>1144</v>
      </c>
      <c r="BO26" s="2"/>
      <c r="BP26" s="3"/>
      <c r="BQ26" s="3"/>
      <c r="BR26" s="3"/>
      <c r="BS26" s="3"/>
    </row>
    <row r="27" spans="1:71" ht="15">
      <c r="A27" s="65" t="s">
        <v>344</v>
      </c>
      <c r="B27" s="66"/>
      <c r="C27" s="66"/>
      <c r="D27" s="67">
        <v>150</v>
      </c>
      <c r="E27" s="69"/>
      <c r="F27" s="108" t="str">
        <f>HYPERLINK("https://yt3.ggpht.com/a/default-user=s88")</f>
        <v>https://yt3.ggpht.com/a/default-user=s88</v>
      </c>
      <c r="G27" s="66"/>
      <c r="H27" s="70" t="s">
        <v>623</v>
      </c>
      <c r="I27" s="71"/>
      <c r="J27" s="71" t="s">
        <v>159</v>
      </c>
      <c r="K27" s="70" t="s">
        <v>623</v>
      </c>
      <c r="L27" s="74">
        <v>1</v>
      </c>
      <c r="M27" s="75">
        <v>903.5317993164062</v>
      </c>
      <c r="N27" s="75">
        <v>6383.45361328125</v>
      </c>
      <c r="O27" s="76"/>
      <c r="P27" s="77"/>
      <c r="Q27" s="77"/>
      <c r="R27" s="101"/>
      <c r="S27" s="49">
        <v>0</v>
      </c>
      <c r="T27" s="49">
        <v>1</v>
      </c>
      <c r="U27" s="50">
        <v>0</v>
      </c>
      <c r="V27" s="50">
        <v>0.004695</v>
      </c>
      <c r="W27" s="50">
        <v>0.011737</v>
      </c>
      <c r="X27" s="50">
        <v>0.473657</v>
      </c>
      <c r="Y27" s="50">
        <v>0</v>
      </c>
      <c r="Z27" s="50">
        <v>0</v>
      </c>
      <c r="AA27" s="72">
        <v>27</v>
      </c>
      <c r="AB27" s="72"/>
      <c r="AC27" s="73"/>
      <c r="AD27" s="89" t="s">
        <v>623</v>
      </c>
      <c r="AE27" s="89"/>
      <c r="AF27" s="89"/>
      <c r="AG27" s="89"/>
      <c r="AH27" s="89"/>
      <c r="AI27" s="89"/>
      <c r="AJ27" s="98">
        <v>44225.42325231482</v>
      </c>
      <c r="AK27" s="95" t="str">
        <f>HYPERLINK("https://yt3.ggpht.com/a/default-user=s88")</f>
        <v>https://yt3.ggpht.com/a/default-user=s88</v>
      </c>
      <c r="AL27" s="89">
        <v>0</v>
      </c>
      <c r="AM27" s="89">
        <v>0</v>
      </c>
      <c r="AN27" s="89">
        <v>10</v>
      </c>
      <c r="AO27" s="89" t="b">
        <v>0</v>
      </c>
      <c r="AP27" s="89">
        <v>0</v>
      </c>
      <c r="AQ27" s="89"/>
      <c r="AR27" s="89"/>
      <c r="AS27" s="89" t="s">
        <v>736</v>
      </c>
      <c r="AT27" s="95" t="str">
        <f>HYPERLINK("https://www.youtube.com/channel/UCbieuM_WCd6wC0enOietzdQ")</f>
        <v>https://www.youtube.com/channel/UCbieuM_WCd6wC0enOietzdQ</v>
      </c>
      <c r="AU27" s="89" t="str">
        <f>REPLACE(INDEX(GroupVertices[Group],MATCH(Vertices[[#This Row],[Vertex]],GroupVertices[Vertex],0)),1,1,"")</f>
        <v>1</v>
      </c>
      <c r="AV27" s="49">
        <v>0</v>
      </c>
      <c r="AW27" s="50">
        <v>0</v>
      </c>
      <c r="AX27" s="49">
        <v>0</v>
      </c>
      <c r="AY27" s="50">
        <v>0</v>
      </c>
      <c r="AZ27" s="49">
        <v>0</v>
      </c>
      <c r="BA27" s="50">
        <v>0</v>
      </c>
      <c r="BB27" s="49">
        <v>9</v>
      </c>
      <c r="BC27" s="50">
        <v>100</v>
      </c>
      <c r="BD27" s="49">
        <v>9</v>
      </c>
      <c r="BE27" s="49"/>
      <c r="BF27" s="49"/>
      <c r="BG27" s="49"/>
      <c r="BH27" s="49"/>
      <c r="BI27" s="49"/>
      <c r="BJ27" s="49"/>
      <c r="BK27" s="127" t="s">
        <v>1059</v>
      </c>
      <c r="BL27" s="127" t="s">
        <v>1059</v>
      </c>
      <c r="BM27" s="127" t="s">
        <v>1145</v>
      </c>
      <c r="BN27" s="127" t="s">
        <v>1145</v>
      </c>
      <c r="BO27" s="2"/>
      <c r="BP27" s="3"/>
      <c r="BQ27" s="3"/>
      <c r="BR27" s="3"/>
      <c r="BS27" s="3"/>
    </row>
    <row r="28" spans="1:71" ht="15">
      <c r="A28" s="65" t="s">
        <v>288</v>
      </c>
      <c r="B28" s="66"/>
      <c r="C28" s="66"/>
      <c r="D28" s="67">
        <v>150</v>
      </c>
      <c r="E28" s="69"/>
      <c r="F28" s="108" t="str">
        <f>HYPERLINK("https://yt3.ggpht.com/ytc/AAUvwnjMUNtiYhW9VpqEv4-E3yXWHPnby5A-BLprAajvDg=s88-c-k-c0x00ffffff-no-rj")</f>
        <v>https://yt3.ggpht.com/ytc/AAUvwnjMUNtiYhW9VpqEv4-E3yXWHPnby5A-BLprAajvDg=s88-c-k-c0x00ffffff-no-rj</v>
      </c>
      <c r="G28" s="66"/>
      <c r="H28" s="70" t="s">
        <v>567</v>
      </c>
      <c r="I28" s="71"/>
      <c r="J28" s="71" t="s">
        <v>159</v>
      </c>
      <c r="K28" s="70" t="s">
        <v>567</v>
      </c>
      <c r="L28" s="74">
        <v>1</v>
      </c>
      <c r="M28" s="75">
        <v>4513.2109375</v>
      </c>
      <c r="N28" s="75">
        <v>7021.34765625</v>
      </c>
      <c r="O28" s="76"/>
      <c r="P28" s="77"/>
      <c r="Q28" s="77"/>
      <c r="R28" s="101"/>
      <c r="S28" s="49">
        <v>0</v>
      </c>
      <c r="T28" s="49">
        <v>1</v>
      </c>
      <c r="U28" s="50">
        <v>0</v>
      </c>
      <c r="V28" s="50">
        <v>0.003937</v>
      </c>
      <c r="W28" s="50">
        <v>0.004527</v>
      </c>
      <c r="X28" s="50">
        <v>0.486308</v>
      </c>
      <c r="Y28" s="50">
        <v>0</v>
      </c>
      <c r="Z28" s="50">
        <v>0</v>
      </c>
      <c r="AA28" s="72">
        <v>28</v>
      </c>
      <c r="AB28" s="72"/>
      <c r="AC28" s="73"/>
      <c r="AD28" s="89" t="s">
        <v>567</v>
      </c>
      <c r="AE28" s="89" t="s">
        <v>706</v>
      </c>
      <c r="AF28" s="89"/>
      <c r="AG28" s="89"/>
      <c r="AH28" s="89"/>
      <c r="AI28" s="89"/>
      <c r="AJ28" s="98">
        <v>42374.92780092593</v>
      </c>
      <c r="AK28" s="95" t="str">
        <f>HYPERLINK("https://yt3.ggpht.com/ytc/AAUvwnjMUNtiYhW9VpqEv4-E3yXWHPnby5A-BLprAajvDg=s88-c-k-c0x00ffffff-no-rj")</f>
        <v>https://yt3.ggpht.com/ytc/AAUvwnjMUNtiYhW9VpqEv4-E3yXWHPnby5A-BLprAajvDg=s88-c-k-c0x00ffffff-no-rj</v>
      </c>
      <c r="AL28" s="89">
        <v>301</v>
      </c>
      <c r="AM28" s="89">
        <v>0</v>
      </c>
      <c r="AN28" s="89">
        <v>36</v>
      </c>
      <c r="AO28" s="89" t="b">
        <v>0</v>
      </c>
      <c r="AP28" s="89">
        <v>1</v>
      </c>
      <c r="AQ28" s="89"/>
      <c r="AR28" s="89"/>
      <c r="AS28" s="89" t="s">
        <v>736</v>
      </c>
      <c r="AT28" s="95" t="str">
        <f>HYPERLINK("https://www.youtube.com/channel/UC0-aV8W_jMNPr6pkPHoHklA")</f>
        <v>https://www.youtube.com/channel/UC0-aV8W_jMNPr6pkPHoHklA</v>
      </c>
      <c r="AU28" s="89" t="str">
        <f>REPLACE(INDEX(GroupVertices[Group],MATCH(Vertices[[#This Row],[Vertex]],GroupVertices[Vertex],0)),1,1,"")</f>
        <v>2</v>
      </c>
      <c r="AV28" s="49">
        <v>1</v>
      </c>
      <c r="AW28" s="50">
        <v>100</v>
      </c>
      <c r="AX28" s="49">
        <v>0</v>
      </c>
      <c r="AY28" s="50">
        <v>0</v>
      </c>
      <c r="AZ28" s="49">
        <v>0</v>
      </c>
      <c r="BA28" s="50">
        <v>0</v>
      </c>
      <c r="BB28" s="49">
        <v>0</v>
      </c>
      <c r="BC28" s="50">
        <v>0</v>
      </c>
      <c r="BD28" s="49">
        <v>1</v>
      </c>
      <c r="BE28" s="49"/>
      <c r="BF28" s="49"/>
      <c r="BG28" s="49"/>
      <c r="BH28" s="49"/>
      <c r="BI28" s="49"/>
      <c r="BJ28" s="49"/>
      <c r="BK28" s="127" t="s">
        <v>796</v>
      </c>
      <c r="BL28" s="127" t="s">
        <v>796</v>
      </c>
      <c r="BM28" s="127" t="s">
        <v>666</v>
      </c>
      <c r="BN28" s="127" t="s">
        <v>666</v>
      </c>
      <c r="BO28" s="2"/>
      <c r="BP28" s="3"/>
      <c r="BQ28" s="3"/>
      <c r="BR28" s="3"/>
      <c r="BS28" s="3"/>
    </row>
    <row r="29" spans="1:71" ht="15">
      <c r="A29" s="65" t="s">
        <v>292</v>
      </c>
      <c r="B29" s="66"/>
      <c r="C29" s="66"/>
      <c r="D29" s="67">
        <v>150</v>
      </c>
      <c r="E29" s="69"/>
      <c r="F29" s="108" t="str">
        <f>HYPERLINK("https://yt3.ggpht.com/ytc/AAUvwnjtfc38RhVQxWGCdQDZqMxX0cosKSm0NHXcMYv3Eg=s88-c-k-c0x00ffffff-no-rj")</f>
        <v>https://yt3.ggpht.com/ytc/AAUvwnjtfc38RhVQxWGCdQDZqMxX0cosKSm0NHXcMYv3Eg=s88-c-k-c0x00ffffff-no-rj</v>
      </c>
      <c r="G29" s="66"/>
      <c r="H29" s="70" t="s">
        <v>571</v>
      </c>
      <c r="I29" s="71"/>
      <c r="J29" s="71" t="s">
        <v>159</v>
      </c>
      <c r="K29" s="70" t="s">
        <v>571</v>
      </c>
      <c r="L29" s="74">
        <v>1</v>
      </c>
      <c r="M29" s="75">
        <v>4941.791015625</v>
      </c>
      <c r="N29" s="75">
        <v>5637.7529296875</v>
      </c>
      <c r="O29" s="76"/>
      <c r="P29" s="77"/>
      <c r="Q29" s="77"/>
      <c r="R29" s="101"/>
      <c r="S29" s="49">
        <v>0</v>
      </c>
      <c r="T29" s="49">
        <v>1</v>
      </c>
      <c r="U29" s="50">
        <v>0</v>
      </c>
      <c r="V29" s="50">
        <v>0.003937</v>
      </c>
      <c r="W29" s="50">
        <v>0.004527</v>
      </c>
      <c r="X29" s="50">
        <v>0.486308</v>
      </c>
      <c r="Y29" s="50">
        <v>0</v>
      </c>
      <c r="Z29" s="50">
        <v>0</v>
      </c>
      <c r="AA29" s="72">
        <v>29</v>
      </c>
      <c r="AB29" s="72"/>
      <c r="AC29" s="73"/>
      <c r="AD29" s="89" t="s">
        <v>571</v>
      </c>
      <c r="AE29" s="89" t="s">
        <v>707</v>
      </c>
      <c r="AF29" s="89"/>
      <c r="AG29" s="89"/>
      <c r="AH29" s="89"/>
      <c r="AI29" s="89"/>
      <c r="AJ29" s="98">
        <v>43927.88396990741</v>
      </c>
      <c r="AK29" s="95" t="str">
        <f>HYPERLINK("https://yt3.ggpht.com/ytc/AAUvwnjtfc38RhVQxWGCdQDZqMxX0cosKSm0NHXcMYv3Eg=s88-c-k-c0x00ffffff-no-rj")</f>
        <v>https://yt3.ggpht.com/ytc/AAUvwnjtfc38RhVQxWGCdQDZqMxX0cosKSm0NHXcMYv3Eg=s88-c-k-c0x00ffffff-no-rj</v>
      </c>
      <c r="AL29" s="89">
        <v>0</v>
      </c>
      <c r="AM29" s="89">
        <v>0</v>
      </c>
      <c r="AN29" s="89">
        <v>23</v>
      </c>
      <c r="AO29" s="89" t="b">
        <v>0</v>
      </c>
      <c r="AP29" s="89">
        <v>0</v>
      </c>
      <c r="AQ29" s="89"/>
      <c r="AR29" s="89"/>
      <c r="AS29" s="89" t="s">
        <v>736</v>
      </c>
      <c r="AT29" s="95" t="str">
        <f>HYPERLINK("https://www.youtube.com/channel/UCWDyZ4tze7sg8PvKfBwjZ6w")</f>
        <v>https://www.youtube.com/channel/UCWDyZ4tze7sg8PvKfBwjZ6w</v>
      </c>
      <c r="AU29" s="89" t="str">
        <f>REPLACE(INDEX(GroupVertices[Group],MATCH(Vertices[[#This Row],[Vertex]],GroupVertices[Vertex],0)),1,1,"")</f>
        <v>2</v>
      </c>
      <c r="AV29" s="49">
        <v>0</v>
      </c>
      <c r="AW29" s="50">
        <v>0</v>
      </c>
      <c r="AX29" s="49">
        <v>0</v>
      </c>
      <c r="AY29" s="50">
        <v>0</v>
      </c>
      <c r="AZ29" s="49">
        <v>0</v>
      </c>
      <c r="BA29" s="50">
        <v>0</v>
      </c>
      <c r="BB29" s="49">
        <v>2</v>
      </c>
      <c r="BC29" s="50">
        <v>100</v>
      </c>
      <c r="BD29" s="49">
        <v>2</v>
      </c>
      <c r="BE29" s="49"/>
      <c r="BF29" s="49"/>
      <c r="BG29" s="49"/>
      <c r="BH29" s="49"/>
      <c r="BI29" s="49"/>
      <c r="BJ29" s="49"/>
      <c r="BK29" s="127" t="s">
        <v>795</v>
      </c>
      <c r="BL29" s="127" t="s">
        <v>795</v>
      </c>
      <c r="BM29" s="127" t="s">
        <v>666</v>
      </c>
      <c r="BN29" s="127" t="s">
        <v>666</v>
      </c>
      <c r="BO29" s="2"/>
      <c r="BP29" s="3"/>
      <c r="BQ29" s="3"/>
      <c r="BR29" s="3"/>
      <c r="BS29" s="3"/>
    </row>
    <row r="30" spans="1:71" ht="15">
      <c r="A30" s="65" t="s">
        <v>259</v>
      </c>
      <c r="B30" s="66"/>
      <c r="C30" s="66"/>
      <c r="D30" s="67">
        <v>150</v>
      </c>
      <c r="E30" s="69"/>
      <c r="F30" s="108" t="str">
        <f>HYPERLINK("https://yt3.ggpht.com/ytc/AAUvwniYXgH0q-ex14xpDzMDKqZm7k1RaWLjsBR5gA=s88-c-k-c0x00ffffff-no-rj")</f>
        <v>https://yt3.ggpht.com/ytc/AAUvwniYXgH0q-ex14xpDzMDKqZm7k1RaWLjsBR5gA=s88-c-k-c0x00ffffff-no-rj</v>
      </c>
      <c r="G30" s="66"/>
      <c r="H30" s="70" t="s">
        <v>538</v>
      </c>
      <c r="I30" s="71"/>
      <c r="J30" s="71" t="s">
        <v>159</v>
      </c>
      <c r="K30" s="70" t="s">
        <v>538</v>
      </c>
      <c r="L30" s="74">
        <v>1</v>
      </c>
      <c r="M30" s="75">
        <v>2397.837646484375</v>
      </c>
      <c r="N30" s="75">
        <v>6183.50634765625</v>
      </c>
      <c r="O30" s="76"/>
      <c r="P30" s="77"/>
      <c r="Q30" s="77"/>
      <c r="R30" s="101"/>
      <c r="S30" s="49">
        <v>0</v>
      </c>
      <c r="T30" s="49">
        <v>2</v>
      </c>
      <c r="U30" s="50">
        <v>0</v>
      </c>
      <c r="V30" s="50">
        <v>0.004762</v>
      </c>
      <c r="W30" s="50">
        <v>0.013377</v>
      </c>
      <c r="X30" s="50">
        <v>0.797124</v>
      </c>
      <c r="Y30" s="50">
        <v>0.5</v>
      </c>
      <c r="Z30" s="50">
        <v>0</v>
      </c>
      <c r="AA30" s="72">
        <v>30</v>
      </c>
      <c r="AB30" s="72"/>
      <c r="AC30" s="73"/>
      <c r="AD30" s="89" t="s">
        <v>538</v>
      </c>
      <c r="AE30" s="89"/>
      <c r="AF30" s="89"/>
      <c r="AG30" s="89"/>
      <c r="AH30" s="89"/>
      <c r="AI30" s="89"/>
      <c r="AJ30" s="98">
        <v>41852.57983796296</v>
      </c>
      <c r="AK30" s="95" t="str">
        <f>HYPERLINK("https://yt3.ggpht.com/ytc/AAUvwniYXgH0q-ex14xpDzMDKqZm7k1RaWLjsBR5gA=s88-c-k-c0x00ffffff-no-rj")</f>
        <v>https://yt3.ggpht.com/ytc/AAUvwniYXgH0q-ex14xpDzMDKqZm7k1RaWLjsBR5gA=s88-c-k-c0x00ffffff-no-rj</v>
      </c>
      <c r="AL30" s="89">
        <v>0</v>
      </c>
      <c r="AM30" s="89">
        <v>0</v>
      </c>
      <c r="AN30" s="89">
        <v>0</v>
      </c>
      <c r="AO30" s="89" t="b">
        <v>0</v>
      </c>
      <c r="AP30" s="89">
        <v>0</v>
      </c>
      <c r="AQ30" s="89"/>
      <c r="AR30" s="89"/>
      <c r="AS30" s="89" t="s">
        <v>736</v>
      </c>
      <c r="AT30" s="95" t="str">
        <f>HYPERLINK("https://www.youtube.com/channel/UCsZFWQYkG-slxqG0PSAeuDg")</f>
        <v>https://www.youtube.com/channel/UCsZFWQYkG-slxqG0PSAeuDg</v>
      </c>
      <c r="AU30" s="89" t="str">
        <f>REPLACE(INDEX(GroupVertices[Group],MATCH(Vertices[[#This Row],[Vertex]],GroupVertices[Vertex],0)),1,1,"")</f>
        <v>1</v>
      </c>
      <c r="AV30" s="49">
        <v>4</v>
      </c>
      <c r="AW30" s="50">
        <v>5.797101449275362</v>
      </c>
      <c r="AX30" s="49">
        <v>0</v>
      </c>
      <c r="AY30" s="50">
        <v>0</v>
      </c>
      <c r="AZ30" s="49">
        <v>0</v>
      </c>
      <c r="BA30" s="50">
        <v>0</v>
      </c>
      <c r="BB30" s="49">
        <v>65</v>
      </c>
      <c r="BC30" s="50">
        <v>94.20289855072464</v>
      </c>
      <c r="BD30" s="49">
        <v>69</v>
      </c>
      <c r="BE30" s="49" t="s">
        <v>934</v>
      </c>
      <c r="BF30" s="49" t="s">
        <v>934</v>
      </c>
      <c r="BG30" s="49" t="s">
        <v>963</v>
      </c>
      <c r="BH30" s="49" t="s">
        <v>963</v>
      </c>
      <c r="BI30" s="49"/>
      <c r="BJ30" s="49"/>
      <c r="BK30" s="127" t="s">
        <v>1060</v>
      </c>
      <c r="BL30" s="127" t="s">
        <v>1124</v>
      </c>
      <c r="BM30" s="127" t="s">
        <v>1146</v>
      </c>
      <c r="BN30" s="127" t="s">
        <v>1196</v>
      </c>
      <c r="BO30" s="2"/>
      <c r="BP30" s="3"/>
      <c r="BQ30" s="3"/>
      <c r="BR30" s="3"/>
      <c r="BS30" s="3"/>
    </row>
    <row r="31" spans="1:71" ht="15">
      <c r="A31" s="65" t="s">
        <v>339</v>
      </c>
      <c r="B31" s="66"/>
      <c r="C31" s="66"/>
      <c r="D31" s="67">
        <v>150</v>
      </c>
      <c r="E31" s="69"/>
      <c r="F31" s="108" t="str">
        <f>HYPERLINK("https://yt3.ggpht.com/YlDU6plnMODP_t6i5YR451x5LWXm9jSKqFWbUD1Q7tOPE2g04jSLRDkJf1W11maK6EBelSDEobU=s88-c-k-c0x00ffffff-no-rj")</f>
        <v>https://yt3.ggpht.com/YlDU6plnMODP_t6i5YR451x5LWXm9jSKqFWbUD1Q7tOPE2g04jSLRDkJf1W11maK6EBelSDEobU=s88-c-k-c0x00ffffff-no-rj</v>
      </c>
      <c r="G31" s="66"/>
      <c r="H31" s="70" t="s">
        <v>618</v>
      </c>
      <c r="I31" s="71"/>
      <c r="J31" s="71" t="s">
        <v>159</v>
      </c>
      <c r="K31" s="70" t="s">
        <v>618</v>
      </c>
      <c r="L31" s="74">
        <v>1</v>
      </c>
      <c r="M31" s="75">
        <v>606.1237182617188</v>
      </c>
      <c r="N31" s="75">
        <v>6033.27978515625</v>
      </c>
      <c r="O31" s="76"/>
      <c r="P31" s="77"/>
      <c r="Q31" s="77"/>
      <c r="R31" s="101"/>
      <c r="S31" s="49">
        <v>0</v>
      </c>
      <c r="T31" s="49">
        <v>1</v>
      </c>
      <c r="U31" s="50">
        <v>0</v>
      </c>
      <c r="V31" s="50">
        <v>0.004695</v>
      </c>
      <c r="W31" s="50">
        <v>0.011737</v>
      </c>
      <c r="X31" s="50">
        <v>0.473657</v>
      </c>
      <c r="Y31" s="50">
        <v>0</v>
      </c>
      <c r="Z31" s="50">
        <v>0</v>
      </c>
      <c r="AA31" s="72">
        <v>31</v>
      </c>
      <c r="AB31" s="72"/>
      <c r="AC31" s="73"/>
      <c r="AD31" s="89" t="s">
        <v>618</v>
      </c>
      <c r="AE31" s="89" t="s">
        <v>721</v>
      </c>
      <c r="AF31" s="89"/>
      <c r="AG31" s="89"/>
      <c r="AH31" s="89"/>
      <c r="AI31" s="89"/>
      <c r="AJ31" s="98">
        <v>44069.130949074075</v>
      </c>
      <c r="AK31" s="95" t="str">
        <f>HYPERLINK("https://yt3.ggpht.com/YlDU6plnMODP_t6i5YR451x5LWXm9jSKqFWbUD1Q7tOPE2g04jSLRDkJf1W11maK6EBelSDEobU=s88-c-k-c0x00ffffff-no-rj")</f>
        <v>https://yt3.ggpht.com/YlDU6plnMODP_t6i5YR451x5LWXm9jSKqFWbUD1Q7tOPE2g04jSLRDkJf1W11maK6EBelSDEobU=s88-c-k-c0x00ffffff-no-rj</v>
      </c>
      <c r="AL31" s="89">
        <v>190</v>
      </c>
      <c r="AM31" s="89">
        <v>0</v>
      </c>
      <c r="AN31" s="89">
        <v>19</v>
      </c>
      <c r="AO31" s="89" t="b">
        <v>0</v>
      </c>
      <c r="AP31" s="89">
        <v>5</v>
      </c>
      <c r="AQ31" s="89"/>
      <c r="AR31" s="89"/>
      <c r="AS31" s="89" t="s">
        <v>736</v>
      </c>
      <c r="AT31" s="95" t="str">
        <f>HYPERLINK("https://www.youtube.com/channel/UChDxGApugufXgdbkew0BHEA")</f>
        <v>https://www.youtube.com/channel/UChDxGApugufXgdbkew0BHEA</v>
      </c>
      <c r="AU31" s="89" t="str">
        <f>REPLACE(INDEX(GroupVertices[Group],MATCH(Vertices[[#This Row],[Vertex]],GroupVertices[Vertex],0)),1,1,"")</f>
        <v>1</v>
      </c>
      <c r="AV31" s="49">
        <v>0</v>
      </c>
      <c r="AW31" s="50">
        <v>0</v>
      </c>
      <c r="AX31" s="49">
        <v>0</v>
      </c>
      <c r="AY31" s="50">
        <v>0</v>
      </c>
      <c r="AZ31" s="49">
        <v>0</v>
      </c>
      <c r="BA31" s="50">
        <v>0</v>
      </c>
      <c r="BB31" s="49">
        <v>10</v>
      </c>
      <c r="BC31" s="50">
        <v>100</v>
      </c>
      <c r="BD31" s="49">
        <v>10</v>
      </c>
      <c r="BE31" s="49"/>
      <c r="BF31" s="49"/>
      <c r="BG31" s="49"/>
      <c r="BH31" s="49"/>
      <c r="BI31" s="49"/>
      <c r="BJ31" s="49"/>
      <c r="BK31" s="127" t="s">
        <v>1061</v>
      </c>
      <c r="BL31" s="127" t="s">
        <v>1061</v>
      </c>
      <c r="BM31" s="127" t="s">
        <v>1147</v>
      </c>
      <c r="BN31" s="127" t="s">
        <v>1147</v>
      </c>
      <c r="BO31" s="2"/>
      <c r="BP31" s="3"/>
      <c r="BQ31" s="3"/>
      <c r="BR31" s="3"/>
      <c r="BS31" s="3"/>
    </row>
    <row r="32" spans="1:71" ht="15">
      <c r="A32" s="65" t="s">
        <v>304</v>
      </c>
      <c r="B32" s="66"/>
      <c r="C32" s="66"/>
      <c r="D32" s="67">
        <v>150</v>
      </c>
      <c r="E32" s="69"/>
      <c r="F32" s="108" t="str">
        <f>HYPERLINK("https://yt3.ggpht.com/ytc/AAUvwnhJUYXxTFSHiq5FFX57fpV_28_iqhgJxWEO3V3g_g=s88-c-k-c0x00ffffff-no-rj")</f>
        <v>https://yt3.ggpht.com/ytc/AAUvwnhJUYXxTFSHiq5FFX57fpV_28_iqhgJxWEO3V3g_g=s88-c-k-c0x00ffffff-no-rj</v>
      </c>
      <c r="G32" s="66"/>
      <c r="H32" s="70" t="s">
        <v>583</v>
      </c>
      <c r="I32" s="71"/>
      <c r="J32" s="71" t="s">
        <v>159</v>
      </c>
      <c r="K32" s="70" t="s">
        <v>583</v>
      </c>
      <c r="L32" s="74">
        <v>1</v>
      </c>
      <c r="M32" s="75">
        <v>7589.474609375</v>
      </c>
      <c r="N32" s="75">
        <v>3267.5517578125</v>
      </c>
      <c r="O32" s="76"/>
      <c r="P32" s="77"/>
      <c r="Q32" s="77"/>
      <c r="R32" s="101"/>
      <c r="S32" s="49">
        <v>0</v>
      </c>
      <c r="T32" s="49">
        <v>3</v>
      </c>
      <c r="U32" s="50">
        <v>29.333333</v>
      </c>
      <c r="V32" s="50">
        <v>0.005319</v>
      </c>
      <c r="W32" s="50">
        <v>0.018455</v>
      </c>
      <c r="X32" s="50">
        <v>1.108955</v>
      </c>
      <c r="Y32" s="50">
        <v>0.3333333333333333</v>
      </c>
      <c r="Z32" s="50">
        <v>0</v>
      </c>
      <c r="AA32" s="72">
        <v>32</v>
      </c>
      <c r="AB32" s="72"/>
      <c r="AC32" s="73"/>
      <c r="AD32" s="89" t="s">
        <v>583</v>
      </c>
      <c r="AE32" s="89"/>
      <c r="AF32" s="89"/>
      <c r="AG32" s="89"/>
      <c r="AH32" s="89"/>
      <c r="AI32" s="89"/>
      <c r="AJ32" s="98">
        <v>42685.09310185185</v>
      </c>
      <c r="AK32" s="95" t="str">
        <f>HYPERLINK("https://yt3.ggpht.com/ytc/AAUvwnhJUYXxTFSHiq5FFX57fpV_28_iqhgJxWEO3V3g_g=s88-c-k-c0x00ffffff-no-rj")</f>
        <v>https://yt3.ggpht.com/ytc/AAUvwnhJUYXxTFSHiq5FFX57fpV_28_iqhgJxWEO3V3g_g=s88-c-k-c0x00ffffff-no-rj</v>
      </c>
      <c r="AL32" s="89">
        <v>0</v>
      </c>
      <c r="AM32" s="89">
        <v>0</v>
      </c>
      <c r="AN32" s="89">
        <v>5</v>
      </c>
      <c r="AO32" s="89" t="b">
        <v>0</v>
      </c>
      <c r="AP32" s="89">
        <v>0</v>
      </c>
      <c r="AQ32" s="89"/>
      <c r="AR32" s="89"/>
      <c r="AS32" s="89" t="s">
        <v>736</v>
      </c>
      <c r="AT32" s="95" t="str">
        <f>HYPERLINK("https://www.youtube.com/channel/UCqTGL2iGxZBMK9l4EWPg1Ug")</f>
        <v>https://www.youtube.com/channel/UCqTGL2iGxZBMK9l4EWPg1Ug</v>
      </c>
      <c r="AU32" s="89" t="str">
        <f>REPLACE(INDEX(GroupVertices[Group],MATCH(Vertices[[#This Row],[Vertex]],GroupVertices[Vertex],0)),1,1,"")</f>
        <v>5</v>
      </c>
      <c r="AV32" s="49">
        <v>0</v>
      </c>
      <c r="AW32" s="50">
        <v>0</v>
      </c>
      <c r="AX32" s="49">
        <v>0</v>
      </c>
      <c r="AY32" s="50">
        <v>0</v>
      </c>
      <c r="AZ32" s="49">
        <v>0</v>
      </c>
      <c r="BA32" s="50">
        <v>0</v>
      </c>
      <c r="BB32" s="49">
        <v>27</v>
      </c>
      <c r="BC32" s="50">
        <v>100</v>
      </c>
      <c r="BD32" s="49">
        <v>27</v>
      </c>
      <c r="BE32" s="49" t="s">
        <v>936</v>
      </c>
      <c r="BF32" s="49" t="s">
        <v>936</v>
      </c>
      <c r="BG32" s="49" t="s">
        <v>665</v>
      </c>
      <c r="BH32" s="49" t="s">
        <v>665</v>
      </c>
      <c r="BI32" s="49"/>
      <c r="BJ32" s="49"/>
      <c r="BK32" s="127" t="s">
        <v>1062</v>
      </c>
      <c r="BL32" s="127" t="s">
        <v>1125</v>
      </c>
      <c r="BM32" s="127" t="s">
        <v>1148</v>
      </c>
      <c r="BN32" s="127" t="s">
        <v>1197</v>
      </c>
      <c r="BO32" s="2"/>
      <c r="BP32" s="3"/>
      <c r="BQ32" s="3"/>
      <c r="BR32" s="3"/>
      <c r="BS32" s="3"/>
    </row>
    <row r="33" spans="1:71" ht="15">
      <c r="A33" s="65" t="s">
        <v>329</v>
      </c>
      <c r="B33" s="66"/>
      <c r="C33" s="66"/>
      <c r="D33" s="67">
        <v>150</v>
      </c>
      <c r="E33" s="69"/>
      <c r="F33" s="108" t="str">
        <f>HYPERLINK("https://yt3.ggpht.com/ytc/AAUvwniB01PukmJPT6vGMOqQ0DpBEvuTn3p6OyDJlKfF=s88-c-k-c0x00ffffff-no-rj")</f>
        <v>https://yt3.ggpht.com/ytc/AAUvwniB01PukmJPT6vGMOqQ0DpBEvuTn3p6OyDJlKfF=s88-c-k-c0x00ffffff-no-rj</v>
      </c>
      <c r="G33" s="66"/>
      <c r="H33" s="70" t="s">
        <v>608</v>
      </c>
      <c r="I33" s="71"/>
      <c r="J33" s="71" t="s">
        <v>159</v>
      </c>
      <c r="K33" s="70" t="s">
        <v>608</v>
      </c>
      <c r="L33" s="74">
        <v>1</v>
      </c>
      <c r="M33" s="75">
        <v>2695.83203125</v>
      </c>
      <c r="N33" s="75">
        <v>642.8519897460938</v>
      </c>
      <c r="O33" s="76"/>
      <c r="P33" s="77"/>
      <c r="Q33" s="77"/>
      <c r="R33" s="101"/>
      <c r="S33" s="49">
        <v>0</v>
      </c>
      <c r="T33" s="49">
        <v>1</v>
      </c>
      <c r="U33" s="50">
        <v>0</v>
      </c>
      <c r="V33" s="50">
        <v>0.004695</v>
      </c>
      <c r="W33" s="50">
        <v>0.011737</v>
      </c>
      <c r="X33" s="50">
        <v>0.473657</v>
      </c>
      <c r="Y33" s="50">
        <v>0</v>
      </c>
      <c r="Z33" s="50">
        <v>0</v>
      </c>
      <c r="AA33" s="72">
        <v>33</v>
      </c>
      <c r="AB33" s="72"/>
      <c r="AC33" s="73"/>
      <c r="AD33" s="89" t="s">
        <v>608</v>
      </c>
      <c r="AE33" s="89"/>
      <c r="AF33" s="89"/>
      <c r="AG33" s="89"/>
      <c r="AH33" s="89"/>
      <c r="AI33" s="89"/>
      <c r="AJ33" s="98">
        <v>42702.97775462963</v>
      </c>
      <c r="AK33" s="95" t="str">
        <f>HYPERLINK("https://yt3.ggpht.com/ytc/AAUvwniB01PukmJPT6vGMOqQ0DpBEvuTn3p6OyDJlKfF=s88-c-k-c0x00ffffff-no-rj")</f>
        <v>https://yt3.ggpht.com/ytc/AAUvwniB01PukmJPT6vGMOqQ0DpBEvuTn3p6OyDJlKfF=s88-c-k-c0x00ffffff-no-rj</v>
      </c>
      <c r="AL33" s="89">
        <v>0</v>
      </c>
      <c r="AM33" s="89">
        <v>0</v>
      </c>
      <c r="AN33" s="89">
        <v>2</v>
      </c>
      <c r="AO33" s="89" t="b">
        <v>0</v>
      </c>
      <c r="AP33" s="89">
        <v>0</v>
      </c>
      <c r="AQ33" s="89"/>
      <c r="AR33" s="89"/>
      <c r="AS33" s="89" t="s">
        <v>736</v>
      </c>
      <c r="AT33" s="95" t="str">
        <f>HYPERLINK("https://www.youtube.com/channel/UCmtBrY48_j-28UhxzpxRVyg")</f>
        <v>https://www.youtube.com/channel/UCmtBrY48_j-28UhxzpxRVyg</v>
      </c>
      <c r="AU33" s="89" t="str">
        <f>REPLACE(INDEX(GroupVertices[Group],MATCH(Vertices[[#This Row],[Vertex]],GroupVertices[Vertex],0)),1,1,"")</f>
        <v>1</v>
      </c>
      <c r="AV33" s="49">
        <v>0</v>
      </c>
      <c r="AW33" s="50">
        <v>0</v>
      </c>
      <c r="AX33" s="49">
        <v>0</v>
      </c>
      <c r="AY33" s="50">
        <v>0</v>
      </c>
      <c r="AZ33" s="49">
        <v>0</v>
      </c>
      <c r="BA33" s="50">
        <v>0</v>
      </c>
      <c r="BB33" s="49">
        <v>1</v>
      </c>
      <c r="BC33" s="50">
        <v>100</v>
      </c>
      <c r="BD33" s="49">
        <v>1</v>
      </c>
      <c r="BE33" s="49"/>
      <c r="BF33" s="49"/>
      <c r="BG33" s="49"/>
      <c r="BH33" s="49"/>
      <c r="BI33" s="49"/>
      <c r="BJ33" s="49"/>
      <c r="BK33" s="127" t="s">
        <v>1063</v>
      </c>
      <c r="BL33" s="127" t="s">
        <v>1063</v>
      </c>
      <c r="BM33" s="127" t="s">
        <v>666</v>
      </c>
      <c r="BN33" s="127" t="s">
        <v>666</v>
      </c>
      <c r="BO33" s="2"/>
      <c r="BP33" s="3"/>
      <c r="BQ33" s="3"/>
      <c r="BR33" s="3"/>
      <c r="BS33" s="3"/>
    </row>
    <row r="34" spans="1:71" ht="15">
      <c r="A34" s="65" t="s">
        <v>273</v>
      </c>
      <c r="B34" s="66"/>
      <c r="C34" s="66"/>
      <c r="D34" s="67">
        <v>271.42857142857144</v>
      </c>
      <c r="E34" s="69"/>
      <c r="F34" s="108" t="str">
        <f>HYPERLINK("https://yt3.ggpht.com/ytc/AAUvwniG95sX_wpzp9E9ZDsDkZMgNNNZjrbk51hrynq3mw=s88-c-k-c0x00ffffff-no-rj")</f>
        <v>https://yt3.ggpht.com/ytc/AAUvwniG95sX_wpzp9E9ZDsDkZMgNNNZjrbk51hrynq3mw=s88-c-k-c0x00ffffff-no-rj</v>
      </c>
      <c r="G34" s="66"/>
      <c r="H34" s="70" t="s">
        <v>552</v>
      </c>
      <c r="I34" s="71"/>
      <c r="J34" s="71" t="s">
        <v>159</v>
      </c>
      <c r="K34" s="70" t="s">
        <v>552</v>
      </c>
      <c r="L34" s="74">
        <v>167.63333333333333</v>
      </c>
      <c r="M34" s="75">
        <v>9112.677734375</v>
      </c>
      <c r="N34" s="75">
        <v>2568.384765625</v>
      </c>
      <c r="O34" s="76"/>
      <c r="P34" s="77"/>
      <c r="Q34" s="77"/>
      <c r="R34" s="101"/>
      <c r="S34" s="49">
        <v>1</v>
      </c>
      <c r="T34" s="49">
        <v>1</v>
      </c>
      <c r="U34" s="50">
        <v>89</v>
      </c>
      <c r="V34" s="50">
        <v>0.004739</v>
      </c>
      <c r="W34" s="50">
        <v>0.01206</v>
      </c>
      <c r="X34" s="50">
        <v>0.84134</v>
      </c>
      <c r="Y34" s="50">
        <v>0</v>
      </c>
      <c r="Z34" s="50">
        <v>0</v>
      </c>
      <c r="AA34" s="72">
        <v>34</v>
      </c>
      <c r="AB34" s="72"/>
      <c r="AC34" s="73"/>
      <c r="AD34" s="89" t="s">
        <v>552</v>
      </c>
      <c r="AE34" s="89"/>
      <c r="AF34" s="89"/>
      <c r="AG34" s="89"/>
      <c r="AH34" s="89"/>
      <c r="AI34" s="89"/>
      <c r="AJ34" s="98">
        <v>42680.40519675926</v>
      </c>
      <c r="AK34" s="95" t="str">
        <f>HYPERLINK("https://yt3.ggpht.com/ytc/AAUvwniG95sX_wpzp9E9ZDsDkZMgNNNZjrbk51hrynq3mw=s88-c-k-c0x00ffffff-no-rj")</f>
        <v>https://yt3.ggpht.com/ytc/AAUvwniG95sX_wpzp9E9ZDsDkZMgNNNZjrbk51hrynq3mw=s88-c-k-c0x00ffffff-no-rj</v>
      </c>
      <c r="AL34" s="89">
        <v>0</v>
      </c>
      <c r="AM34" s="89">
        <v>0</v>
      </c>
      <c r="AN34" s="89">
        <v>2</v>
      </c>
      <c r="AO34" s="89" t="b">
        <v>0</v>
      </c>
      <c r="AP34" s="89">
        <v>0</v>
      </c>
      <c r="AQ34" s="89"/>
      <c r="AR34" s="89"/>
      <c r="AS34" s="89" t="s">
        <v>736</v>
      </c>
      <c r="AT34" s="95" t="str">
        <f>HYPERLINK("https://www.youtube.com/channel/UCaXUE4Eg9DIxjSu3GuKHHJA")</f>
        <v>https://www.youtube.com/channel/UCaXUE4Eg9DIxjSu3GuKHHJA</v>
      </c>
      <c r="AU34" s="89" t="str">
        <f>REPLACE(INDEX(GroupVertices[Group],MATCH(Vertices[[#This Row],[Vertex]],GroupVertices[Vertex],0)),1,1,"")</f>
        <v>6</v>
      </c>
      <c r="AV34" s="49">
        <v>2</v>
      </c>
      <c r="AW34" s="50">
        <v>28.571428571428573</v>
      </c>
      <c r="AX34" s="49">
        <v>0</v>
      </c>
      <c r="AY34" s="50">
        <v>0</v>
      </c>
      <c r="AZ34" s="49">
        <v>0</v>
      </c>
      <c r="BA34" s="50">
        <v>0</v>
      </c>
      <c r="BB34" s="49">
        <v>5</v>
      </c>
      <c r="BC34" s="50">
        <v>71.42857142857143</v>
      </c>
      <c r="BD34" s="49">
        <v>7</v>
      </c>
      <c r="BE34" s="49"/>
      <c r="BF34" s="49"/>
      <c r="BG34" s="49"/>
      <c r="BH34" s="49"/>
      <c r="BI34" s="49"/>
      <c r="BJ34" s="49"/>
      <c r="BK34" s="127" t="s">
        <v>1064</v>
      </c>
      <c r="BL34" s="127" t="s">
        <v>1064</v>
      </c>
      <c r="BM34" s="127" t="s">
        <v>666</v>
      </c>
      <c r="BN34" s="127" t="s">
        <v>666</v>
      </c>
      <c r="BO34" s="2"/>
      <c r="BP34" s="3"/>
      <c r="BQ34" s="3"/>
      <c r="BR34" s="3"/>
      <c r="BS34" s="3"/>
    </row>
    <row r="35" spans="1:71" ht="15">
      <c r="A35" s="65" t="s">
        <v>307</v>
      </c>
      <c r="B35" s="66"/>
      <c r="C35" s="66"/>
      <c r="D35" s="67">
        <v>150</v>
      </c>
      <c r="E35" s="69"/>
      <c r="F35" s="108" t="str">
        <f>HYPERLINK("https://yt3.ggpht.com/ytc/AAUvwnie75MX-NuCDK9fP_U0VqRPp5aKXo14FAscKdXh=s88-c-k-c0x00ffffff-no-rj")</f>
        <v>https://yt3.ggpht.com/ytc/AAUvwnie75MX-NuCDK9fP_U0VqRPp5aKXo14FAscKdXh=s88-c-k-c0x00ffffff-no-rj</v>
      </c>
      <c r="G35" s="66"/>
      <c r="H35" s="70" t="s">
        <v>586</v>
      </c>
      <c r="I35" s="71"/>
      <c r="J35" s="71" t="s">
        <v>159</v>
      </c>
      <c r="K35" s="70" t="s">
        <v>586</v>
      </c>
      <c r="L35" s="74">
        <v>1</v>
      </c>
      <c r="M35" s="75">
        <v>7545.01318359375</v>
      </c>
      <c r="N35" s="75">
        <v>1763.15576171875</v>
      </c>
      <c r="O35" s="76"/>
      <c r="P35" s="77"/>
      <c r="Q35" s="77"/>
      <c r="R35" s="101"/>
      <c r="S35" s="49">
        <v>0</v>
      </c>
      <c r="T35" s="49">
        <v>3</v>
      </c>
      <c r="U35" s="50">
        <v>29.333333</v>
      </c>
      <c r="V35" s="50">
        <v>0.005319</v>
      </c>
      <c r="W35" s="50">
        <v>0.018455</v>
      </c>
      <c r="X35" s="50">
        <v>1.108955</v>
      </c>
      <c r="Y35" s="50">
        <v>0.3333333333333333</v>
      </c>
      <c r="Z35" s="50">
        <v>0</v>
      </c>
      <c r="AA35" s="72">
        <v>35</v>
      </c>
      <c r="AB35" s="72"/>
      <c r="AC35" s="73"/>
      <c r="AD35" s="89" t="s">
        <v>586</v>
      </c>
      <c r="AE35" s="89" t="s">
        <v>716</v>
      </c>
      <c r="AF35" s="89"/>
      <c r="AG35" s="89"/>
      <c r="AH35" s="89"/>
      <c r="AI35" s="89"/>
      <c r="AJ35" s="98">
        <v>44166.80409722222</v>
      </c>
      <c r="AK35" s="95" t="str">
        <f>HYPERLINK("https://yt3.ggpht.com/ytc/AAUvwnie75MX-NuCDK9fP_U0VqRPp5aKXo14FAscKdXh=s88-c-k-c0x00ffffff-no-rj")</f>
        <v>https://yt3.ggpht.com/ytc/AAUvwnie75MX-NuCDK9fP_U0VqRPp5aKXo14FAscKdXh=s88-c-k-c0x00ffffff-no-rj</v>
      </c>
      <c r="AL35" s="89">
        <v>11</v>
      </c>
      <c r="AM35" s="89">
        <v>0</v>
      </c>
      <c r="AN35" s="89">
        <v>3</v>
      </c>
      <c r="AO35" s="89" t="b">
        <v>0</v>
      </c>
      <c r="AP35" s="89">
        <v>1</v>
      </c>
      <c r="AQ35" s="89"/>
      <c r="AR35" s="89"/>
      <c r="AS35" s="89" t="s">
        <v>736</v>
      </c>
      <c r="AT35" s="95" t="str">
        <f>HYPERLINK("https://www.youtube.com/channel/UCF5ChGDslgBBC95Q2q_mqTA")</f>
        <v>https://www.youtube.com/channel/UCF5ChGDslgBBC95Q2q_mqTA</v>
      </c>
      <c r="AU35" s="89" t="str">
        <f>REPLACE(INDEX(GroupVertices[Group],MATCH(Vertices[[#This Row],[Vertex]],GroupVertices[Vertex],0)),1,1,"")</f>
        <v>5</v>
      </c>
      <c r="AV35" s="49">
        <v>0</v>
      </c>
      <c r="AW35" s="50">
        <v>0</v>
      </c>
      <c r="AX35" s="49">
        <v>1</v>
      </c>
      <c r="AY35" s="50">
        <v>14.285714285714286</v>
      </c>
      <c r="AZ35" s="49">
        <v>0</v>
      </c>
      <c r="BA35" s="50">
        <v>0</v>
      </c>
      <c r="BB35" s="49">
        <v>6</v>
      </c>
      <c r="BC35" s="50">
        <v>85.71428571428571</v>
      </c>
      <c r="BD35" s="49">
        <v>7</v>
      </c>
      <c r="BE35" s="49"/>
      <c r="BF35" s="49"/>
      <c r="BG35" s="49"/>
      <c r="BH35" s="49"/>
      <c r="BI35" s="49"/>
      <c r="BJ35" s="49"/>
      <c r="BK35" s="127" t="s">
        <v>1065</v>
      </c>
      <c r="BL35" s="127" t="s">
        <v>1065</v>
      </c>
      <c r="BM35" s="127" t="s">
        <v>1149</v>
      </c>
      <c r="BN35" s="127" t="s">
        <v>1149</v>
      </c>
      <c r="BO35" s="2"/>
      <c r="BP35" s="3"/>
      <c r="BQ35" s="3"/>
      <c r="BR35" s="3"/>
      <c r="BS35" s="3"/>
    </row>
    <row r="36" spans="1:71" ht="15">
      <c r="A36" s="65" t="s">
        <v>295</v>
      </c>
      <c r="B36" s="66"/>
      <c r="C36" s="66"/>
      <c r="D36" s="67">
        <v>150</v>
      </c>
      <c r="E36" s="69"/>
      <c r="F36" s="108" t="str">
        <f>HYPERLINK("https://yt3.ggpht.com/_bw488KrcZkwjRP4xUg4mDCNAYqO4Z41AVzj_iJGykbRTAtcuPdhYi-TAQ7GAPcwCSGGZkGgtA=s88-c-k-c0x00ffffff-no-rj")</f>
        <v>https://yt3.ggpht.com/_bw488KrcZkwjRP4xUg4mDCNAYqO4Z41AVzj_iJGykbRTAtcuPdhYi-TAQ7GAPcwCSGGZkGgtA=s88-c-k-c0x00ffffff-no-rj</v>
      </c>
      <c r="G36" s="66"/>
      <c r="H36" s="70" t="s">
        <v>574</v>
      </c>
      <c r="I36" s="71"/>
      <c r="J36" s="71" t="s">
        <v>159</v>
      </c>
      <c r="K36" s="70" t="s">
        <v>574</v>
      </c>
      <c r="L36" s="74">
        <v>1</v>
      </c>
      <c r="M36" s="75">
        <v>5721.24755859375</v>
      </c>
      <c r="N36" s="75">
        <v>8482.3681640625</v>
      </c>
      <c r="O36" s="76"/>
      <c r="P36" s="77"/>
      <c r="Q36" s="77"/>
      <c r="R36" s="101"/>
      <c r="S36" s="49">
        <v>0</v>
      </c>
      <c r="T36" s="49">
        <v>1</v>
      </c>
      <c r="U36" s="50">
        <v>0</v>
      </c>
      <c r="V36" s="50">
        <v>0.003937</v>
      </c>
      <c r="W36" s="50">
        <v>0.004527</v>
      </c>
      <c r="X36" s="50">
        <v>0.486308</v>
      </c>
      <c r="Y36" s="50">
        <v>0</v>
      </c>
      <c r="Z36" s="50">
        <v>0</v>
      </c>
      <c r="AA36" s="72">
        <v>36</v>
      </c>
      <c r="AB36" s="72"/>
      <c r="AC36" s="73"/>
      <c r="AD36" s="89" t="s">
        <v>574</v>
      </c>
      <c r="AE36" s="89" t="s">
        <v>709</v>
      </c>
      <c r="AF36" s="89"/>
      <c r="AG36" s="89"/>
      <c r="AH36" s="89"/>
      <c r="AI36" s="89"/>
      <c r="AJ36" s="98">
        <v>40892.96630787037</v>
      </c>
      <c r="AK36" s="95" t="str">
        <f>HYPERLINK("https://yt3.ggpht.com/_bw488KrcZkwjRP4xUg4mDCNAYqO4Z41AVzj_iJGykbRTAtcuPdhYi-TAQ7GAPcwCSGGZkGgtA=s88-c-k-c0x00ffffff-no-rj")</f>
        <v>https://yt3.ggpht.com/_bw488KrcZkwjRP4xUg4mDCNAYqO4Z41AVzj_iJGykbRTAtcuPdhYi-TAQ7GAPcwCSGGZkGgtA=s88-c-k-c0x00ffffff-no-rj</v>
      </c>
      <c r="AL36" s="89">
        <v>776</v>
      </c>
      <c r="AM36" s="89">
        <v>0</v>
      </c>
      <c r="AN36" s="89">
        <v>22</v>
      </c>
      <c r="AO36" s="89" t="b">
        <v>0</v>
      </c>
      <c r="AP36" s="89">
        <v>29</v>
      </c>
      <c r="AQ36" s="89"/>
      <c r="AR36" s="89"/>
      <c r="AS36" s="89" t="s">
        <v>736</v>
      </c>
      <c r="AT36" s="95" t="str">
        <f>HYPERLINK("https://www.youtube.com/channel/UCqmW71_NOWovrUsgcCsJoaA")</f>
        <v>https://www.youtube.com/channel/UCqmW71_NOWovrUsgcCsJoaA</v>
      </c>
      <c r="AU36" s="89" t="str">
        <f>REPLACE(INDEX(GroupVertices[Group],MATCH(Vertices[[#This Row],[Vertex]],GroupVertices[Vertex],0)),1,1,"")</f>
        <v>2</v>
      </c>
      <c r="AV36" s="49">
        <v>0</v>
      </c>
      <c r="AW36" s="50">
        <v>0</v>
      </c>
      <c r="AX36" s="49">
        <v>0</v>
      </c>
      <c r="AY36" s="50">
        <v>0</v>
      </c>
      <c r="AZ36" s="49">
        <v>0</v>
      </c>
      <c r="BA36" s="50">
        <v>0</v>
      </c>
      <c r="BB36" s="49">
        <v>2</v>
      </c>
      <c r="BC36" s="50">
        <v>100</v>
      </c>
      <c r="BD36" s="49">
        <v>2</v>
      </c>
      <c r="BE36" s="49"/>
      <c r="BF36" s="49"/>
      <c r="BG36" s="49"/>
      <c r="BH36" s="49"/>
      <c r="BI36" s="49"/>
      <c r="BJ36" s="49"/>
      <c r="BK36" s="127" t="s">
        <v>666</v>
      </c>
      <c r="BL36" s="127" t="s">
        <v>666</v>
      </c>
      <c r="BM36" s="127" t="s">
        <v>666</v>
      </c>
      <c r="BN36" s="127" t="s">
        <v>666</v>
      </c>
      <c r="BO36" s="2"/>
      <c r="BP36" s="3"/>
      <c r="BQ36" s="3"/>
      <c r="BR36" s="3"/>
      <c r="BS36" s="3"/>
    </row>
    <row r="37" spans="1:71" ht="15">
      <c r="A37" s="65" t="s">
        <v>231</v>
      </c>
      <c r="B37" s="66"/>
      <c r="C37" s="66"/>
      <c r="D37" s="67">
        <v>271.42857142857144</v>
      </c>
      <c r="E37" s="69"/>
      <c r="F37" s="108" t="str">
        <f>HYPERLINK("https://yt3.ggpht.com/ytc/AAUvwniogXwOcB9u6FumUdG6ar-D-fUSFiESo99bSMs=s88-c-k-c0x00ffffff-no-rj")</f>
        <v>https://yt3.ggpht.com/ytc/AAUvwniogXwOcB9u6FumUdG6ar-D-fUSFiESo99bSMs=s88-c-k-c0x00ffffff-no-rj</v>
      </c>
      <c r="G37" s="66"/>
      <c r="H37" s="70" t="s">
        <v>510</v>
      </c>
      <c r="I37" s="71"/>
      <c r="J37" s="71" t="s">
        <v>159</v>
      </c>
      <c r="K37" s="70" t="s">
        <v>510</v>
      </c>
      <c r="L37" s="74">
        <v>167.63333333333333</v>
      </c>
      <c r="M37" s="75">
        <v>4504.5439453125</v>
      </c>
      <c r="N37" s="75">
        <v>1922.150634765625</v>
      </c>
      <c r="O37" s="76"/>
      <c r="P37" s="77"/>
      <c r="Q37" s="77"/>
      <c r="R37" s="101"/>
      <c r="S37" s="49">
        <v>1</v>
      </c>
      <c r="T37" s="49">
        <v>1</v>
      </c>
      <c r="U37" s="50">
        <v>18</v>
      </c>
      <c r="V37" s="50">
        <v>0.047619</v>
      </c>
      <c r="W37" s="50">
        <v>0</v>
      </c>
      <c r="X37" s="50">
        <v>1.06065</v>
      </c>
      <c r="Y37" s="50">
        <v>0</v>
      </c>
      <c r="Z37" s="50">
        <v>0</v>
      </c>
      <c r="AA37" s="72">
        <v>37</v>
      </c>
      <c r="AB37" s="72"/>
      <c r="AC37" s="73"/>
      <c r="AD37" s="89" t="s">
        <v>510</v>
      </c>
      <c r="AE37" s="89" t="s">
        <v>689</v>
      </c>
      <c r="AF37" s="89"/>
      <c r="AG37" s="89"/>
      <c r="AH37" s="89"/>
      <c r="AI37" s="89"/>
      <c r="AJ37" s="98">
        <v>42833.12232638889</v>
      </c>
      <c r="AK37" s="95" t="str">
        <f>HYPERLINK("https://yt3.ggpht.com/ytc/AAUvwniogXwOcB9u6FumUdG6ar-D-fUSFiESo99bSMs=s88-c-k-c0x00ffffff-no-rj")</f>
        <v>https://yt3.ggpht.com/ytc/AAUvwniogXwOcB9u6FumUdG6ar-D-fUSFiESo99bSMs=s88-c-k-c0x00ffffff-no-rj</v>
      </c>
      <c r="AL37" s="89">
        <v>155</v>
      </c>
      <c r="AM37" s="89">
        <v>0</v>
      </c>
      <c r="AN37" s="89">
        <v>11</v>
      </c>
      <c r="AO37" s="89" t="b">
        <v>0</v>
      </c>
      <c r="AP37" s="89">
        <v>10</v>
      </c>
      <c r="AQ37" s="89"/>
      <c r="AR37" s="89"/>
      <c r="AS37" s="89" t="s">
        <v>736</v>
      </c>
      <c r="AT37" s="95" t="str">
        <f>HYPERLINK("https://www.youtube.com/channel/UCcPcpbjgONtEip-VGOdTjjQ")</f>
        <v>https://www.youtube.com/channel/UCcPcpbjgONtEip-VGOdTjjQ</v>
      </c>
      <c r="AU37" s="89" t="str">
        <f>REPLACE(INDEX(GroupVertices[Group],MATCH(Vertices[[#This Row],[Vertex]],GroupVertices[Vertex],0)),1,1,"")</f>
        <v>4</v>
      </c>
      <c r="AV37" s="49">
        <v>1</v>
      </c>
      <c r="AW37" s="50">
        <v>50</v>
      </c>
      <c r="AX37" s="49">
        <v>0</v>
      </c>
      <c r="AY37" s="50">
        <v>0</v>
      </c>
      <c r="AZ37" s="49">
        <v>0</v>
      </c>
      <c r="BA37" s="50">
        <v>0</v>
      </c>
      <c r="BB37" s="49">
        <v>1</v>
      </c>
      <c r="BC37" s="50">
        <v>50</v>
      </c>
      <c r="BD37" s="49">
        <v>2</v>
      </c>
      <c r="BE37" s="49"/>
      <c r="BF37" s="49"/>
      <c r="BG37" s="49"/>
      <c r="BH37" s="49"/>
      <c r="BI37" s="49"/>
      <c r="BJ37" s="49"/>
      <c r="BK37" s="127" t="s">
        <v>1066</v>
      </c>
      <c r="BL37" s="127" t="s">
        <v>1066</v>
      </c>
      <c r="BM37" s="127" t="s">
        <v>1150</v>
      </c>
      <c r="BN37" s="127" t="s">
        <v>1150</v>
      </c>
      <c r="BO37" s="2"/>
      <c r="BP37" s="3"/>
      <c r="BQ37" s="3"/>
      <c r="BR37" s="3"/>
      <c r="BS37" s="3"/>
    </row>
    <row r="38" spans="1:71" ht="15">
      <c r="A38" s="65" t="s">
        <v>322</v>
      </c>
      <c r="B38" s="66"/>
      <c r="C38" s="66"/>
      <c r="D38" s="67">
        <v>514.2857142857142</v>
      </c>
      <c r="E38" s="69"/>
      <c r="F38" s="108" t="str">
        <f>HYPERLINK("https://yt3.ggpht.com/ytc/AAUvwni-XK59TdQECdUxhj6JJgOVvh8kOllipImUeuCM=s88-c-k-c0x00ffffff-no-rj")</f>
        <v>https://yt3.ggpht.com/ytc/AAUvwni-XK59TdQECdUxhj6JJgOVvh8kOllipImUeuCM=s88-c-k-c0x00ffffff-no-rj</v>
      </c>
      <c r="G38" s="66"/>
      <c r="H38" s="70" t="s">
        <v>601</v>
      </c>
      <c r="I38" s="71"/>
      <c r="J38" s="71" t="s">
        <v>75</v>
      </c>
      <c r="K38" s="70" t="s">
        <v>601</v>
      </c>
      <c r="L38" s="74">
        <v>500.9</v>
      </c>
      <c r="M38" s="75">
        <v>1263.8065185546875</v>
      </c>
      <c r="N38" s="75">
        <v>7057.5439453125</v>
      </c>
      <c r="O38" s="76"/>
      <c r="P38" s="77"/>
      <c r="Q38" s="77"/>
      <c r="R38" s="101"/>
      <c r="S38" s="49">
        <v>3</v>
      </c>
      <c r="T38" s="49">
        <v>2</v>
      </c>
      <c r="U38" s="50">
        <v>58.666667</v>
      </c>
      <c r="V38" s="50">
        <v>0.004762</v>
      </c>
      <c r="W38" s="50">
        <v>0.015666</v>
      </c>
      <c r="X38" s="50">
        <v>1.411768</v>
      </c>
      <c r="Y38" s="50">
        <v>0.16666666666666666</v>
      </c>
      <c r="Z38" s="50">
        <v>0</v>
      </c>
      <c r="AA38" s="72">
        <v>38</v>
      </c>
      <c r="AB38" s="72"/>
      <c r="AC38" s="73"/>
      <c r="AD38" s="89" t="s">
        <v>601</v>
      </c>
      <c r="AE38" s="89"/>
      <c r="AF38" s="89"/>
      <c r="AG38" s="89"/>
      <c r="AH38" s="89"/>
      <c r="AI38" s="89"/>
      <c r="AJ38" s="98">
        <v>43993.49716435185</v>
      </c>
      <c r="AK38" s="95" t="str">
        <f>HYPERLINK("https://yt3.ggpht.com/ytc/AAUvwni-XK59TdQECdUxhj6JJgOVvh8kOllipImUeuCM=s88-c-k-c0x00ffffff-no-rj")</f>
        <v>https://yt3.ggpht.com/ytc/AAUvwni-XK59TdQECdUxhj6JJgOVvh8kOllipImUeuCM=s88-c-k-c0x00ffffff-no-rj</v>
      </c>
      <c r="AL38" s="89">
        <v>0</v>
      </c>
      <c r="AM38" s="89">
        <v>0</v>
      </c>
      <c r="AN38" s="89">
        <v>13</v>
      </c>
      <c r="AO38" s="89" t="b">
        <v>0</v>
      </c>
      <c r="AP38" s="89">
        <v>0</v>
      </c>
      <c r="AQ38" s="89"/>
      <c r="AR38" s="89"/>
      <c r="AS38" s="89" t="s">
        <v>736</v>
      </c>
      <c r="AT38" s="95" t="str">
        <f>HYPERLINK("https://www.youtube.com/channel/UCaIeo4JpCmSTtmQfmfH4eAg")</f>
        <v>https://www.youtube.com/channel/UCaIeo4JpCmSTtmQfmfH4eAg</v>
      </c>
      <c r="AU38" s="89" t="str">
        <f>REPLACE(INDEX(GroupVertices[Group],MATCH(Vertices[[#This Row],[Vertex]],GroupVertices[Vertex],0)),1,1,"")</f>
        <v>1</v>
      </c>
      <c r="AV38" s="49">
        <v>6</v>
      </c>
      <c r="AW38" s="50">
        <v>2.912621359223301</v>
      </c>
      <c r="AX38" s="49">
        <v>4</v>
      </c>
      <c r="AY38" s="50">
        <v>1.941747572815534</v>
      </c>
      <c r="AZ38" s="49">
        <v>0</v>
      </c>
      <c r="BA38" s="50">
        <v>0</v>
      </c>
      <c r="BB38" s="49">
        <v>196</v>
      </c>
      <c r="BC38" s="50">
        <v>95.14563106796116</v>
      </c>
      <c r="BD38" s="49">
        <v>206</v>
      </c>
      <c r="BE38" s="49" t="s">
        <v>935</v>
      </c>
      <c r="BF38" s="49" t="s">
        <v>935</v>
      </c>
      <c r="BG38" s="49" t="s">
        <v>664</v>
      </c>
      <c r="BH38" s="49" t="s">
        <v>664</v>
      </c>
      <c r="BI38" s="49"/>
      <c r="BJ38" s="49"/>
      <c r="BK38" s="127" t="s">
        <v>1067</v>
      </c>
      <c r="BL38" s="127" t="s">
        <v>1126</v>
      </c>
      <c r="BM38" s="127" t="s">
        <v>1151</v>
      </c>
      <c r="BN38" s="127" t="s">
        <v>1151</v>
      </c>
      <c r="BO38" s="2"/>
      <c r="BP38" s="3"/>
      <c r="BQ38" s="3"/>
      <c r="BR38" s="3"/>
      <c r="BS38" s="3"/>
    </row>
    <row r="39" spans="1:71" ht="15">
      <c r="A39" s="65" t="s">
        <v>334</v>
      </c>
      <c r="B39" s="66"/>
      <c r="C39" s="66"/>
      <c r="D39" s="67">
        <v>271.42857142857144</v>
      </c>
      <c r="E39" s="69"/>
      <c r="F39" s="108" t="str">
        <f>HYPERLINK("https://yt3.ggpht.com/-kwcyZa4ZIq_5lcfYv_pkJvOdGMgRgnDL7jWzywpeShryrhFdRkEskHXdH8IkNW3yGhvEJoxOlM=s88-c-k-c0x00ffffff-no-rj")</f>
        <v>https://yt3.ggpht.com/-kwcyZa4ZIq_5lcfYv_pkJvOdGMgRgnDL7jWzywpeShryrhFdRkEskHXdH8IkNW3yGhvEJoxOlM=s88-c-k-c0x00ffffff-no-rj</v>
      </c>
      <c r="G39" s="66"/>
      <c r="H39" s="70" t="s">
        <v>613</v>
      </c>
      <c r="I39" s="71"/>
      <c r="J39" s="71" t="s">
        <v>159</v>
      </c>
      <c r="K39" s="70" t="s">
        <v>613</v>
      </c>
      <c r="L39" s="74">
        <v>167.63333333333333</v>
      </c>
      <c r="M39" s="75">
        <v>8799.544921875</v>
      </c>
      <c r="N39" s="75">
        <v>599.6510009765625</v>
      </c>
      <c r="O39" s="76"/>
      <c r="P39" s="77"/>
      <c r="Q39" s="77"/>
      <c r="R39" s="101"/>
      <c r="S39" s="49">
        <v>1</v>
      </c>
      <c r="T39" s="49">
        <v>1</v>
      </c>
      <c r="U39" s="50">
        <v>180</v>
      </c>
      <c r="V39" s="50">
        <v>0.004739</v>
      </c>
      <c r="W39" s="50">
        <v>0.011897</v>
      </c>
      <c r="X39" s="50">
        <v>0.941144</v>
      </c>
      <c r="Y39" s="50">
        <v>0</v>
      </c>
      <c r="Z39" s="50">
        <v>0</v>
      </c>
      <c r="AA39" s="72">
        <v>39</v>
      </c>
      <c r="AB39" s="72"/>
      <c r="AC39" s="73"/>
      <c r="AD39" s="89" t="s">
        <v>613</v>
      </c>
      <c r="AE39" s="89" t="s">
        <v>720</v>
      </c>
      <c r="AF39" s="89"/>
      <c r="AG39" s="89"/>
      <c r="AH39" s="89"/>
      <c r="AI39" s="89"/>
      <c r="AJ39" s="98">
        <v>43359.06601851852</v>
      </c>
      <c r="AK39" s="95" t="str">
        <f>HYPERLINK("https://yt3.ggpht.com/-kwcyZa4ZIq_5lcfYv_pkJvOdGMgRgnDL7jWzywpeShryrhFdRkEskHXdH8IkNW3yGhvEJoxOlM=s88-c-k-c0x00ffffff-no-rj")</f>
        <v>https://yt3.ggpht.com/-kwcyZa4ZIq_5lcfYv_pkJvOdGMgRgnDL7jWzywpeShryrhFdRkEskHXdH8IkNW3yGhvEJoxOlM=s88-c-k-c0x00ffffff-no-rj</v>
      </c>
      <c r="AL39" s="89">
        <v>0</v>
      </c>
      <c r="AM39" s="89">
        <v>0</v>
      </c>
      <c r="AN39" s="89">
        <v>5</v>
      </c>
      <c r="AO39" s="89" t="b">
        <v>0</v>
      </c>
      <c r="AP39" s="89">
        <v>0</v>
      </c>
      <c r="AQ39" s="89"/>
      <c r="AR39" s="89"/>
      <c r="AS39" s="89" t="s">
        <v>736</v>
      </c>
      <c r="AT39" s="95" t="str">
        <f>HYPERLINK("https://www.youtube.com/channel/UCgquf9LuuyNk4tYNC7gZKgg")</f>
        <v>https://www.youtube.com/channel/UCgquf9LuuyNk4tYNC7gZKgg</v>
      </c>
      <c r="AU39" s="89" t="str">
        <f>REPLACE(INDEX(GroupVertices[Group],MATCH(Vertices[[#This Row],[Vertex]],GroupVertices[Vertex],0)),1,1,"")</f>
        <v>10</v>
      </c>
      <c r="AV39" s="49">
        <v>0</v>
      </c>
      <c r="AW39" s="50">
        <v>0</v>
      </c>
      <c r="AX39" s="49">
        <v>0</v>
      </c>
      <c r="AY39" s="50">
        <v>0</v>
      </c>
      <c r="AZ39" s="49">
        <v>0</v>
      </c>
      <c r="BA39" s="50">
        <v>0</v>
      </c>
      <c r="BB39" s="49">
        <v>12</v>
      </c>
      <c r="BC39" s="50">
        <v>100</v>
      </c>
      <c r="BD39" s="49">
        <v>12</v>
      </c>
      <c r="BE39" s="49"/>
      <c r="BF39" s="49"/>
      <c r="BG39" s="49"/>
      <c r="BH39" s="49"/>
      <c r="BI39" s="49"/>
      <c r="BJ39" s="49"/>
      <c r="BK39" s="127" t="s">
        <v>1068</v>
      </c>
      <c r="BL39" s="127" t="s">
        <v>1068</v>
      </c>
      <c r="BM39" s="127" t="s">
        <v>1152</v>
      </c>
      <c r="BN39" s="127" t="s">
        <v>1152</v>
      </c>
      <c r="BO39" s="2"/>
      <c r="BP39" s="3"/>
      <c r="BQ39" s="3"/>
      <c r="BR39" s="3"/>
      <c r="BS39" s="3"/>
    </row>
    <row r="40" spans="1:71" ht="15">
      <c r="A40" s="65" t="s">
        <v>243</v>
      </c>
      <c r="B40" s="66"/>
      <c r="C40" s="66"/>
      <c r="D40" s="67">
        <v>150</v>
      </c>
      <c r="E40" s="69"/>
      <c r="F40" s="108" t="str">
        <f>HYPERLINK("https://yt3.ggpht.com/ytc/AAUvwnjit83kDbNhNTwZVZHl_Qe54jWfAFvmB9AIoLdmBA=s88-c-k-c0x00ffffff-no-rj")</f>
        <v>https://yt3.ggpht.com/ytc/AAUvwnjit83kDbNhNTwZVZHl_Qe54jWfAFvmB9AIoLdmBA=s88-c-k-c0x00ffffff-no-rj</v>
      </c>
      <c r="G40" s="66"/>
      <c r="H40" s="70" t="s">
        <v>522</v>
      </c>
      <c r="I40" s="71"/>
      <c r="J40" s="71" t="s">
        <v>159</v>
      </c>
      <c r="K40" s="70" t="s">
        <v>522</v>
      </c>
      <c r="L40" s="74">
        <v>1</v>
      </c>
      <c r="M40" s="75">
        <v>7815.85302734375</v>
      </c>
      <c r="N40" s="75">
        <v>9838.232421875</v>
      </c>
      <c r="O40" s="76"/>
      <c r="P40" s="77"/>
      <c r="Q40" s="77"/>
      <c r="R40" s="101"/>
      <c r="S40" s="49">
        <v>0</v>
      </c>
      <c r="T40" s="49">
        <v>1</v>
      </c>
      <c r="U40" s="50">
        <v>0</v>
      </c>
      <c r="V40" s="50">
        <v>0.022727</v>
      </c>
      <c r="W40" s="50">
        <v>0</v>
      </c>
      <c r="X40" s="50">
        <v>0.549699</v>
      </c>
      <c r="Y40" s="50">
        <v>0</v>
      </c>
      <c r="Z40" s="50">
        <v>0</v>
      </c>
      <c r="AA40" s="72">
        <v>40</v>
      </c>
      <c r="AB40" s="72"/>
      <c r="AC40" s="73"/>
      <c r="AD40" s="89" t="s">
        <v>522</v>
      </c>
      <c r="AE40" s="89"/>
      <c r="AF40" s="89"/>
      <c r="AG40" s="89"/>
      <c r="AH40" s="89"/>
      <c r="AI40" s="89"/>
      <c r="AJ40" s="98">
        <v>43069.27369212963</v>
      </c>
      <c r="AK40" s="95" t="str">
        <f>HYPERLINK("https://yt3.ggpht.com/ytc/AAUvwnjit83kDbNhNTwZVZHl_Qe54jWfAFvmB9AIoLdmBA=s88-c-k-c0x00ffffff-no-rj")</f>
        <v>https://yt3.ggpht.com/ytc/AAUvwnjit83kDbNhNTwZVZHl_Qe54jWfAFvmB9AIoLdmBA=s88-c-k-c0x00ffffff-no-rj</v>
      </c>
      <c r="AL40" s="89">
        <v>0</v>
      </c>
      <c r="AM40" s="89">
        <v>0</v>
      </c>
      <c r="AN40" s="89">
        <v>7</v>
      </c>
      <c r="AO40" s="89" t="b">
        <v>0</v>
      </c>
      <c r="AP40" s="89">
        <v>0</v>
      </c>
      <c r="AQ40" s="89"/>
      <c r="AR40" s="89"/>
      <c r="AS40" s="89" t="s">
        <v>736</v>
      </c>
      <c r="AT40" s="95" t="str">
        <f>HYPERLINK("https://www.youtube.com/channel/UCzIbFH6UUwsRNVzmNkSUjiw")</f>
        <v>https://www.youtube.com/channel/UCzIbFH6UUwsRNVzmNkSUjiw</v>
      </c>
      <c r="AU40" s="89" t="str">
        <f>REPLACE(INDEX(GroupVertices[Group],MATCH(Vertices[[#This Row],[Vertex]],GroupVertices[Vertex],0)),1,1,"")</f>
        <v>3</v>
      </c>
      <c r="AV40" s="49">
        <v>1</v>
      </c>
      <c r="AW40" s="50">
        <v>50</v>
      </c>
      <c r="AX40" s="49">
        <v>0</v>
      </c>
      <c r="AY40" s="50">
        <v>0</v>
      </c>
      <c r="AZ40" s="49">
        <v>0</v>
      </c>
      <c r="BA40" s="50">
        <v>0</v>
      </c>
      <c r="BB40" s="49">
        <v>1</v>
      </c>
      <c r="BC40" s="50">
        <v>50</v>
      </c>
      <c r="BD40" s="49">
        <v>2</v>
      </c>
      <c r="BE40" s="49"/>
      <c r="BF40" s="49"/>
      <c r="BG40" s="49"/>
      <c r="BH40" s="49"/>
      <c r="BI40" s="49"/>
      <c r="BJ40" s="49"/>
      <c r="BK40" s="127" t="s">
        <v>791</v>
      </c>
      <c r="BL40" s="127" t="s">
        <v>791</v>
      </c>
      <c r="BM40" s="127" t="s">
        <v>666</v>
      </c>
      <c r="BN40" s="127" t="s">
        <v>666</v>
      </c>
      <c r="BO40" s="2"/>
      <c r="BP40" s="3"/>
      <c r="BQ40" s="3"/>
      <c r="BR40" s="3"/>
      <c r="BS40" s="3"/>
    </row>
    <row r="41" spans="1:71" ht="15">
      <c r="A41" s="65" t="s">
        <v>276</v>
      </c>
      <c r="B41" s="66"/>
      <c r="C41" s="66"/>
      <c r="D41" s="67">
        <v>150</v>
      </c>
      <c r="E41" s="69"/>
      <c r="F41" s="108" t="str">
        <f>HYPERLINK("https://yt3.ggpht.com/ytc/AAUvwng1iK8zKO3cpSUcFLOvo_99g3yTdf_rpOiJ1iOhcK4=s88-c-k-c0x00ffffff-no-rj")</f>
        <v>https://yt3.ggpht.com/ytc/AAUvwng1iK8zKO3cpSUcFLOvo_99g3yTdf_rpOiJ1iOhcK4=s88-c-k-c0x00ffffff-no-rj</v>
      </c>
      <c r="G41" s="66"/>
      <c r="H41" s="70" t="s">
        <v>555</v>
      </c>
      <c r="I41" s="71"/>
      <c r="J41" s="71" t="s">
        <v>159</v>
      </c>
      <c r="K41" s="70" t="s">
        <v>555</v>
      </c>
      <c r="L41" s="74">
        <v>1</v>
      </c>
      <c r="M41" s="75">
        <v>8029.982421875</v>
      </c>
      <c r="N41" s="75">
        <v>1509.964599609375</v>
      </c>
      <c r="O41" s="76"/>
      <c r="P41" s="77"/>
      <c r="Q41" s="77"/>
      <c r="R41" s="101"/>
      <c r="S41" s="49">
        <v>0</v>
      </c>
      <c r="T41" s="49">
        <v>1</v>
      </c>
      <c r="U41" s="50">
        <v>0</v>
      </c>
      <c r="V41" s="50">
        <v>0.003322</v>
      </c>
      <c r="W41" s="50">
        <v>0.001377</v>
      </c>
      <c r="X41" s="50">
        <v>0.549986</v>
      </c>
      <c r="Y41" s="50">
        <v>0</v>
      </c>
      <c r="Z41" s="50">
        <v>0</v>
      </c>
      <c r="AA41" s="72">
        <v>41</v>
      </c>
      <c r="AB41" s="72"/>
      <c r="AC41" s="73"/>
      <c r="AD41" s="89" t="s">
        <v>555</v>
      </c>
      <c r="AE41" s="89" t="s">
        <v>700</v>
      </c>
      <c r="AF41" s="89"/>
      <c r="AG41" s="89"/>
      <c r="AH41" s="89"/>
      <c r="AI41" s="89"/>
      <c r="AJ41" s="98">
        <v>42371.83765046296</v>
      </c>
      <c r="AK41" s="95" t="str">
        <f>HYPERLINK("https://yt3.ggpht.com/ytc/AAUvwng1iK8zKO3cpSUcFLOvo_99g3yTdf_rpOiJ1iOhcK4=s88-c-k-c0x00ffffff-no-rj")</f>
        <v>https://yt3.ggpht.com/ytc/AAUvwng1iK8zKO3cpSUcFLOvo_99g3yTdf_rpOiJ1iOhcK4=s88-c-k-c0x00ffffff-no-rj</v>
      </c>
      <c r="AL41" s="89">
        <v>29</v>
      </c>
      <c r="AM41" s="89">
        <v>0</v>
      </c>
      <c r="AN41" s="89">
        <v>1</v>
      </c>
      <c r="AO41" s="89" t="b">
        <v>0</v>
      </c>
      <c r="AP41" s="89">
        <v>7</v>
      </c>
      <c r="AQ41" s="89"/>
      <c r="AR41" s="89"/>
      <c r="AS41" s="89" t="s">
        <v>736</v>
      </c>
      <c r="AT41" s="95" t="str">
        <f>HYPERLINK("https://www.youtube.com/channel/UCQ0xORuuU7Ym_BOdcC7oH1A")</f>
        <v>https://www.youtube.com/channel/UCQ0xORuuU7Ym_BOdcC7oH1A</v>
      </c>
      <c r="AU41" s="89" t="str">
        <f>REPLACE(INDEX(GroupVertices[Group],MATCH(Vertices[[#This Row],[Vertex]],GroupVertices[Vertex],0)),1,1,"")</f>
        <v>11</v>
      </c>
      <c r="AV41" s="49">
        <v>0</v>
      </c>
      <c r="AW41" s="50">
        <v>0</v>
      </c>
      <c r="AX41" s="49">
        <v>0</v>
      </c>
      <c r="AY41" s="50">
        <v>0</v>
      </c>
      <c r="AZ41" s="49">
        <v>0</v>
      </c>
      <c r="BA41" s="50">
        <v>0</v>
      </c>
      <c r="BB41" s="49">
        <v>5</v>
      </c>
      <c r="BC41" s="50">
        <v>100</v>
      </c>
      <c r="BD41" s="49">
        <v>5</v>
      </c>
      <c r="BE41" s="49"/>
      <c r="BF41" s="49"/>
      <c r="BG41" s="49"/>
      <c r="BH41" s="49"/>
      <c r="BI41" s="49"/>
      <c r="BJ41" s="49"/>
      <c r="BK41" s="127" t="s">
        <v>1069</v>
      </c>
      <c r="BL41" s="127" t="s">
        <v>1069</v>
      </c>
      <c r="BM41" s="127" t="s">
        <v>1153</v>
      </c>
      <c r="BN41" s="127" t="s">
        <v>1153</v>
      </c>
      <c r="BO41" s="2"/>
      <c r="BP41" s="3"/>
      <c r="BQ41" s="3"/>
      <c r="BR41" s="3"/>
      <c r="BS41" s="3"/>
    </row>
    <row r="42" spans="1:71" ht="15">
      <c r="A42" s="65" t="s">
        <v>350</v>
      </c>
      <c r="B42" s="66"/>
      <c r="C42" s="66"/>
      <c r="D42" s="67">
        <v>1000</v>
      </c>
      <c r="E42" s="69"/>
      <c r="F42" s="108" t="str">
        <f>HYPERLINK("https://yt3.ggpht.com/ytc/AAUvwnjlNC9v5I9TrFO-pWhaR2IW72AGBEsbunm7zvR-=s88-c-k-c0x00ffffff-no-rj")</f>
        <v>https://yt3.ggpht.com/ytc/AAUvwnjlNC9v5I9TrFO-pWhaR2IW72AGBEsbunm7zvR-=s88-c-k-c0x00ffffff-no-rj</v>
      </c>
      <c r="G42" s="66"/>
      <c r="H42" s="70" t="s">
        <v>681</v>
      </c>
      <c r="I42" s="71"/>
      <c r="J42" s="71" t="s">
        <v>75</v>
      </c>
      <c r="K42" s="70" t="s">
        <v>681</v>
      </c>
      <c r="L42" s="74">
        <v>3666.9333333333334</v>
      </c>
      <c r="M42" s="75">
        <v>8081.30712890625</v>
      </c>
      <c r="N42" s="75">
        <v>6970.8076171875</v>
      </c>
      <c r="O42" s="76"/>
      <c r="P42" s="77"/>
      <c r="Q42" s="77"/>
      <c r="R42" s="101"/>
      <c r="S42" s="49">
        <v>22</v>
      </c>
      <c r="T42" s="49">
        <v>1</v>
      </c>
      <c r="U42" s="50">
        <v>460</v>
      </c>
      <c r="V42" s="50">
        <v>0.043478</v>
      </c>
      <c r="W42" s="50">
        <v>0</v>
      </c>
      <c r="X42" s="50">
        <v>10.345152</v>
      </c>
      <c r="Y42" s="50">
        <v>0</v>
      </c>
      <c r="Z42" s="50">
        <v>0</v>
      </c>
      <c r="AA42" s="72">
        <v>42</v>
      </c>
      <c r="AB42" s="72"/>
      <c r="AC42" s="73"/>
      <c r="AD42" s="89" t="s">
        <v>681</v>
      </c>
      <c r="AE42" s="89" t="s">
        <v>691</v>
      </c>
      <c r="AF42" s="89"/>
      <c r="AG42" s="89"/>
      <c r="AH42" s="89"/>
      <c r="AI42" s="89" t="s">
        <v>731</v>
      </c>
      <c r="AJ42" s="98">
        <v>41571.727106481485</v>
      </c>
      <c r="AK42" s="95" t="str">
        <f>HYPERLINK("https://yt3.ggpht.com/ytc/AAUvwnjlNC9v5I9TrFO-pWhaR2IW72AGBEsbunm7zvR-=s88-c-k-c0x00ffffff-no-rj")</f>
        <v>https://yt3.ggpht.com/ytc/AAUvwnjlNC9v5I9TrFO-pWhaR2IW72AGBEsbunm7zvR-=s88-c-k-c0x00ffffff-no-rj</v>
      </c>
      <c r="AL42" s="89">
        <v>3475643</v>
      </c>
      <c r="AM42" s="89">
        <v>0</v>
      </c>
      <c r="AN42" s="89">
        <v>10800</v>
      </c>
      <c r="AO42" s="89" t="b">
        <v>0</v>
      </c>
      <c r="AP42" s="89">
        <v>423</v>
      </c>
      <c r="AQ42" s="89"/>
      <c r="AR42" s="89"/>
      <c r="AS42" s="89" t="s">
        <v>736</v>
      </c>
      <c r="AT42" s="95" t="str">
        <f>HYPERLINK("https://www.youtube.com/channel/UCTl32ukBGG3FGRX7ZfZwVTw")</f>
        <v>https://www.youtube.com/channel/UCTl32ukBGG3FGRX7ZfZwVTw</v>
      </c>
      <c r="AU42" s="89" t="str">
        <f>REPLACE(INDEX(GroupVertices[Group],MATCH(Vertices[[#This Row],[Vertex]],GroupVertices[Vertex],0)),1,1,"")</f>
        <v>3</v>
      </c>
      <c r="AV42" s="49"/>
      <c r="AW42" s="50"/>
      <c r="AX42" s="49"/>
      <c r="AY42" s="50"/>
      <c r="AZ42" s="49"/>
      <c r="BA42" s="50"/>
      <c r="BB42" s="49"/>
      <c r="BC42" s="50"/>
      <c r="BD42" s="49"/>
      <c r="BE42" s="49"/>
      <c r="BF42" s="49"/>
      <c r="BG42" s="49"/>
      <c r="BH42" s="49"/>
      <c r="BI42" s="49"/>
      <c r="BJ42" s="49"/>
      <c r="BK42" s="127" t="s">
        <v>666</v>
      </c>
      <c r="BL42" s="127" t="s">
        <v>666</v>
      </c>
      <c r="BM42" s="127" t="s">
        <v>666</v>
      </c>
      <c r="BN42" s="127" t="s">
        <v>666</v>
      </c>
      <c r="BO42" s="2"/>
      <c r="BP42" s="3"/>
      <c r="BQ42" s="3"/>
      <c r="BR42" s="3"/>
      <c r="BS42" s="3"/>
    </row>
    <row r="43" spans="1:71" ht="15">
      <c r="A43" s="65" t="s">
        <v>333</v>
      </c>
      <c r="B43" s="66"/>
      <c r="C43" s="66"/>
      <c r="D43" s="67">
        <v>150</v>
      </c>
      <c r="E43" s="69"/>
      <c r="F43" s="108" t="str">
        <f>HYPERLINK("https://yt3.ggpht.com/ytc/AAUvwnjK_afEbJufe6Vyo11XsVc6mmXOH8pAAdCQbOK6oQ=s88-c-k-c0x00ffffff-no-rj")</f>
        <v>https://yt3.ggpht.com/ytc/AAUvwnjK_afEbJufe6Vyo11XsVc6mmXOH8pAAdCQbOK6oQ=s88-c-k-c0x00ffffff-no-rj</v>
      </c>
      <c r="G43" s="66"/>
      <c r="H43" s="70" t="s">
        <v>612</v>
      </c>
      <c r="I43" s="71"/>
      <c r="J43" s="71" t="s">
        <v>159</v>
      </c>
      <c r="K43" s="70" t="s">
        <v>612</v>
      </c>
      <c r="L43" s="74">
        <v>1</v>
      </c>
      <c r="M43" s="75">
        <v>8799.544921875</v>
      </c>
      <c r="N43" s="75">
        <v>1509.964599609375</v>
      </c>
      <c r="O43" s="76"/>
      <c r="P43" s="77"/>
      <c r="Q43" s="77"/>
      <c r="R43" s="101"/>
      <c r="S43" s="49">
        <v>0</v>
      </c>
      <c r="T43" s="49">
        <v>1</v>
      </c>
      <c r="U43" s="50">
        <v>0</v>
      </c>
      <c r="V43" s="50">
        <v>0.003322</v>
      </c>
      <c r="W43" s="50">
        <v>0.001377</v>
      </c>
      <c r="X43" s="50">
        <v>0.549986</v>
      </c>
      <c r="Y43" s="50">
        <v>0</v>
      </c>
      <c r="Z43" s="50">
        <v>0</v>
      </c>
      <c r="AA43" s="72">
        <v>43</v>
      </c>
      <c r="AB43" s="72"/>
      <c r="AC43" s="73"/>
      <c r="AD43" s="89" t="s">
        <v>612</v>
      </c>
      <c r="AE43" s="89"/>
      <c r="AF43" s="89"/>
      <c r="AG43" s="89"/>
      <c r="AH43" s="89"/>
      <c r="AI43" s="89"/>
      <c r="AJ43" s="98">
        <v>42711.23265046296</v>
      </c>
      <c r="AK43" s="95" t="str">
        <f>HYPERLINK("https://yt3.ggpht.com/ytc/AAUvwnjK_afEbJufe6Vyo11XsVc6mmXOH8pAAdCQbOK6oQ=s88-c-k-c0x00ffffff-no-rj")</f>
        <v>https://yt3.ggpht.com/ytc/AAUvwnjK_afEbJufe6Vyo11XsVc6mmXOH8pAAdCQbOK6oQ=s88-c-k-c0x00ffffff-no-rj</v>
      </c>
      <c r="AL43" s="89">
        <v>0</v>
      </c>
      <c r="AM43" s="89">
        <v>0</v>
      </c>
      <c r="AN43" s="89">
        <v>2</v>
      </c>
      <c r="AO43" s="89" t="b">
        <v>0</v>
      </c>
      <c r="AP43" s="89">
        <v>0</v>
      </c>
      <c r="AQ43" s="89"/>
      <c r="AR43" s="89"/>
      <c r="AS43" s="89" t="s">
        <v>736</v>
      </c>
      <c r="AT43" s="95" t="str">
        <f>HYPERLINK("https://www.youtube.com/channel/UC6E4aPR3UIKueoV4Zv4vCeA")</f>
        <v>https://www.youtube.com/channel/UC6E4aPR3UIKueoV4Zv4vCeA</v>
      </c>
      <c r="AU43" s="89" t="str">
        <f>REPLACE(INDEX(GroupVertices[Group],MATCH(Vertices[[#This Row],[Vertex]],GroupVertices[Vertex],0)),1,1,"")</f>
        <v>10</v>
      </c>
      <c r="AV43" s="49">
        <v>0</v>
      </c>
      <c r="AW43" s="50">
        <v>0</v>
      </c>
      <c r="AX43" s="49">
        <v>0</v>
      </c>
      <c r="AY43" s="50">
        <v>0</v>
      </c>
      <c r="AZ43" s="49">
        <v>0</v>
      </c>
      <c r="BA43" s="50">
        <v>0</v>
      </c>
      <c r="BB43" s="49">
        <v>3</v>
      </c>
      <c r="BC43" s="50">
        <v>100</v>
      </c>
      <c r="BD43" s="49">
        <v>3</v>
      </c>
      <c r="BE43" s="49"/>
      <c r="BF43" s="49"/>
      <c r="BG43" s="49"/>
      <c r="BH43" s="49"/>
      <c r="BI43" s="49"/>
      <c r="BJ43" s="49"/>
      <c r="BK43" s="127" t="s">
        <v>1070</v>
      </c>
      <c r="BL43" s="127" t="s">
        <v>1070</v>
      </c>
      <c r="BM43" s="127" t="s">
        <v>1154</v>
      </c>
      <c r="BN43" s="127" t="s">
        <v>1154</v>
      </c>
      <c r="BO43" s="2"/>
      <c r="BP43" s="3"/>
      <c r="BQ43" s="3"/>
      <c r="BR43" s="3"/>
      <c r="BS43" s="3"/>
    </row>
    <row r="44" spans="1:71" ht="15">
      <c r="A44" s="65" t="s">
        <v>331</v>
      </c>
      <c r="B44" s="66"/>
      <c r="C44" s="66"/>
      <c r="D44" s="67">
        <v>150</v>
      </c>
      <c r="E44" s="69"/>
      <c r="F44" s="108" t="str">
        <f>HYPERLINK("https://yt3.ggpht.com/ytc/AAUvwnjqSai1i3F-Vfmj8h6IviEY0o9SJ5iDhdxEuhBguq4=s88-c-k-c0x00ffffff-no-rj")</f>
        <v>https://yt3.ggpht.com/ytc/AAUvwnjqSai1i3F-Vfmj8h6IviEY0o9SJ5iDhdxEuhBguq4=s88-c-k-c0x00ffffff-no-rj</v>
      </c>
      <c r="G44" s="66"/>
      <c r="H44" s="70" t="s">
        <v>610</v>
      </c>
      <c r="I44" s="71"/>
      <c r="J44" s="71" t="s">
        <v>159</v>
      </c>
      <c r="K44" s="70" t="s">
        <v>610</v>
      </c>
      <c r="L44" s="74">
        <v>1</v>
      </c>
      <c r="M44" s="75">
        <v>3600.136962890625</v>
      </c>
      <c r="N44" s="75">
        <v>4638.12158203125</v>
      </c>
      <c r="O44" s="76"/>
      <c r="P44" s="77"/>
      <c r="Q44" s="77"/>
      <c r="R44" s="101"/>
      <c r="S44" s="49">
        <v>0</v>
      </c>
      <c r="T44" s="49">
        <v>1</v>
      </c>
      <c r="U44" s="50">
        <v>0</v>
      </c>
      <c r="V44" s="50">
        <v>0.004695</v>
      </c>
      <c r="W44" s="50">
        <v>0.011737</v>
      </c>
      <c r="X44" s="50">
        <v>0.473657</v>
      </c>
      <c r="Y44" s="50">
        <v>0</v>
      </c>
      <c r="Z44" s="50">
        <v>0</v>
      </c>
      <c r="AA44" s="72">
        <v>44</v>
      </c>
      <c r="AB44" s="72"/>
      <c r="AC44" s="73"/>
      <c r="AD44" s="89" t="s">
        <v>610</v>
      </c>
      <c r="AE44" s="89"/>
      <c r="AF44" s="89"/>
      <c r="AG44" s="89"/>
      <c r="AH44" s="89"/>
      <c r="AI44" s="89"/>
      <c r="AJ44" s="98">
        <v>41209.47895833333</v>
      </c>
      <c r="AK44" s="95" t="str">
        <f>HYPERLINK("https://yt3.ggpht.com/ytc/AAUvwnjqSai1i3F-Vfmj8h6IviEY0o9SJ5iDhdxEuhBguq4=s88-c-k-c0x00ffffff-no-rj")</f>
        <v>https://yt3.ggpht.com/ytc/AAUvwnjqSai1i3F-Vfmj8h6IviEY0o9SJ5iDhdxEuhBguq4=s88-c-k-c0x00ffffff-no-rj</v>
      </c>
      <c r="AL44" s="89">
        <v>92</v>
      </c>
      <c r="AM44" s="89">
        <v>0</v>
      </c>
      <c r="AN44" s="89">
        <v>15</v>
      </c>
      <c r="AO44" s="89" t="b">
        <v>0</v>
      </c>
      <c r="AP44" s="89">
        <v>1</v>
      </c>
      <c r="AQ44" s="89"/>
      <c r="AR44" s="89"/>
      <c r="AS44" s="89" t="s">
        <v>736</v>
      </c>
      <c r="AT44" s="95" t="str">
        <f>HYPERLINK("https://www.youtube.com/channel/UCUUcUvc-YNLzYoX7ztHzLsw")</f>
        <v>https://www.youtube.com/channel/UCUUcUvc-YNLzYoX7ztHzLsw</v>
      </c>
      <c r="AU44" s="89" t="str">
        <f>REPLACE(INDEX(GroupVertices[Group],MATCH(Vertices[[#This Row],[Vertex]],GroupVertices[Vertex],0)),1,1,"")</f>
        <v>1</v>
      </c>
      <c r="AV44" s="49">
        <v>1</v>
      </c>
      <c r="AW44" s="50">
        <v>100</v>
      </c>
      <c r="AX44" s="49">
        <v>0</v>
      </c>
      <c r="AY44" s="50">
        <v>0</v>
      </c>
      <c r="AZ44" s="49">
        <v>0</v>
      </c>
      <c r="BA44" s="50">
        <v>0</v>
      </c>
      <c r="BB44" s="49">
        <v>0</v>
      </c>
      <c r="BC44" s="50">
        <v>0</v>
      </c>
      <c r="BD44" s="49">
        <v>1</v>
      </c>
      <c r="BE44" s="49"/>
      <c r="BF44" s="49"/>
      <c r="BG44" s="49"/>
      <c r="BH44" s="49"/>
      <c r="BI44" s="49"/>
      <c r="BJ44" s="49"/>
      <c r="BK44" s="127" t="s">
        <v>792</v>
      </c>
      <c r="BL44" s="127" t="s">
        <v>792</v>
      </c>
      <c r="BM44" s="127" t="s">
        <v>666</v>
      </c>
      <c r="BN44" s="127" t="s">
        <v>666</v>
      </c>
      <c r="BO44" s="2"/>
      <c r="BP44" s="3"/>
      <c r="BQ44" s="3"/>
      <c r="BR44" s="3"/>
      <c r="BS44" s="3"/>
    </row>
    <row r="45" spans="1:71" ht="15">
      <c r="A45" s="65" t="s">
        <v>267</v>
      </c>
      <c r="B45" s="66"/>
      <c r="C45" s="66"/>
      <c r="D45" s="67">
        <v>150</v>
      </c>
      <c r="E45" s="69"/>
      <c r="F45" s="108" t="str">
        <f>HYPERLINK("https://yt3.ggpht.com/ytc/AAUvwniuA86jedD7oWwSAvxIULCvZOw0m8RhH8twyw=s88-c-k-c0x00ffffff-no-rj")</f>
        <v>https://yt3.ggpht.com/ytc/AAUvwniuA86jedD7oWwSAvxIULCvZOw0m8RhH8twyw=s88-c-k-c0x00ffffff-no-rj</v>
      </c>
      <c r="G45" s="66"/>
      <c r="H45" s="70" t="s">
        <v>546</v>
      </c>
      <c r="I45" s="71"/>
      <c r="J45" s="71" t="s">
        <v>159</v>
      </c>
      <c r="K45" s="70" t="s">
        <v>546</v>
      </c>
      <c r="L45" s="74">
        <v>1</v>
      </c>
      <c r="M45" s="75">
        <v>1961.619873046875</v>
      </c>
      <c r="N45" s="75">
        <v>5032.4853515625</v>
      </c>
      <c r="O45" s="76"/>
      <c r="P45" s="77"/>
      <c r="Q45" s="77"/>
      <c r="R45" s="101"/>
      <c r="S45" s="49">
        <v>0</v>
      </c>
      <c r="T45" s="49">
        <v>1</v>
      </c>
      <c r="U45" s="50">
        <v>0</v>
      </c>
      <c r="V45" s="50">
        <v>0.004695</v>
      </c>
      <c r="W45" s="50">
        <v>0.011737</v>
      </c>
      <c r="X45" s="50">
        <v>0.473657</v>
      </c>
      <c r="Y45" s="50">
        <v>0</v>
      </c>
      <c r="Z45" s="50">
        <v>0</v>
      </c>
      <c r="AA45" s="72">
        <v>45</v>
      </c>
      <c r="AB45" s="72"/>
      <c r="AC45" s="73"/>
      <c r="AD45" s="89" t="s">
        <v>546</v>
      </c>
      <c r="AE45" s="89"/>
      <c r="AF45" s="89"/>
      <c r="AG45" s="89"/>
      <c r="AH45" s="89"/>
      <c r="AI45" s="89"/>
      <c r="AJ45" s="98">
        <v>42891.483252314814</v>
      </c>
      <c r="AK45" s="95" t="str">
        <f>HYPERLINK("https://yt3.ggpht.com/ytc/AAUvwniuA86jedD7oWwSAvxIULCvZOw0m8RhH8twyw=s88-c-k-c0x00ffffff-no-rj")</f>
        <v>https://yt3.ggpht.com/ytc/AAUvwniuA86jedD7oWwSAvxIULCvZOw0m8RhH8twyw=s88-c-k-c0x00ffffff-no-rj</v>
      </c>
      <c r="AL45" s="89">
        <v>0</v>
      </c>
      <c r="AM45" s="89">
        <v>0</v>
      </c>
      <c r="AN45" s="89">
        <v>0</v>
      </c>
      <c r="AO45" s="89" t="b">
        <v>0</v>
      </c>
      <c r="AP45" s="89">
        <v>0</v>
      </c>
      <c r="AQ45" s="89"/>
      <c r="AR45" s="89"/>
      <c r="AS45" s="89" t="s">
        <v>736</v>
      </c>
      <c r="AT45" s="95" t="str">
        <f>HYPERLINK("https://www.youtube.com/channel/UCjWUEivaRP01IGG5QFmYZBA")</f>
        <v>https://www.youtube.com/channel/UCjWUEivaRP01IGG5QFmYZBA</v>
      </c>
      <c r="AU45" s="89" t="str">
        <f>REPLACE(INDEX(GroupVertices[Group],MATCH(Vertices[[#This Row],[Vertex]],GroupVertices[Vertex],0)),1,1,"")</f>
        <v>1</v>
      </c>
      <c r="AV45" s="49">
        <v>0</v>
      </c>
      <c r="AW45" s="50">
        <v>0</v>
      </c>
      <c r="AX45" s="49">
        <v>0</v>
      </c>
      <c r="AY45" s="50">
        <v>0</v>
      </c>
      <c r="AZ45" s="49">
        <v>0</v>
      </c>
      <c r="BA45" s="50">
        <v>0</v>
      </c>
      <c r="BB45" s="49">
        <v>1</v>
      </c>
      <c r="BC45" s="50">
        <v>100</v>
      </c>
      <c r="BD45" s="49">
        <v>1</v>
      </c>
      <c r="BE45" s="49"/>
      <c r="BF45" s="49"/>
      <c r="BG45" s="49"/>
      <c r="BH45" s="49"/>
      <c r="BI45" s="49"/>
      <c r="BJ45" s="49"/>
      <c r="BK45" s="127" t="s">
        <v>666</v>
      </c>
      <c r="BL45" s="127" t="s">
        <v>666</v>
      </c>
      <c r="BM45" s="127" t="s">
        <v>666</v>
      </c>
      <c r="BN45" s="127" t="s">
        <v>666</v>
      </c>
      <c r="BO45" s="2"/>
      <c r="BP45" s="3"/>
      <c r="BQ45" s="3"/>
      <c r="BR45" s="3"/>
      <c r="BS45" s="3"/>
    </row>
    <row r="46" spans="1:71" ht="15">
      <c r="A46" s="65" t="s">
        <v>315</v>
      </c>
      <c r="B46" s="66"/>
      <c r="C46" s="66"/>
      <c r="D46" s="67">
        <v>150</v>
      </c>
      <c r="E46" s="69"/>
      <c r="F46" s="108" t="str">
        <f>HYPERLINK("https://yt3.ggpht.com/ytc/AAUvwnhsjSTRQmGv-z-zmUaA-1vMEyGdzT6DofstydKU=s88-c-k-c0x00ffffff-no-rj")</f>
        <v>https://yt3.ggpht.com/ytc/AAUvwnhsjSTRQmGv-z-zmUaA-1vMEyGdzT6DofstydKU=s88-c-k-c0x00ffffff-no-rj</v>
      </c>
      <c r="G46" s="66"/>
      <c r="H46" s="70" t="s">
        <v>594</v>
      </c>
      <c r="I46" s="71"/>
      <c r="J46" s="71" t="s">
        <v>159</v>
      </c>
      <c r="K46" s="70" t="s">
        <v>594</v>
      </c>
      <c r="L46" s="74">
        <v>1</v>
      </c>
      <c r="M46" s="75">
        <v>6477.10888671875</v>
      </c>
      <c r="N46" s="75">
        <v>3248.02392578125</v>
      </c>
      <c r="O46" s="76"/>
      <c r="P46" s="77"/>
      <c r="Q46" s="77"/>
      <c r="R46" s="101"/>
      <c r="S46" s="49">
        <v>0</v>
      </c>
      <c r="T46" s="49">
        <v>2</v>
      </c>
      <c r="U46" s="50">
        <v>2</v>
      </c>
      <c r="V46" s="50">
        <v>0.003663</v>
      </c>
      <c r="W46" s="50">
        <v>0.004128</v>
      </c>
      <c r="X46" s="50">
        <v>0.771366</v>
      </c>
      <c r="Y46" s="50">
        <v>0</v>
      </c>
      <c r="Z46" s="50">
        <v>0</v>
      </c>
      <c r="AA46" s="72">
        <v>46</v>
      </c>
      <c r="AB46" s="72"/>
      <c r="AC46" s="73"/>
      <c r="AD46" s="89" t="s">
        <v>594</v>
      </c>
      <c r="AE46" s="89"/>
      <c r="AF46" s="89"/>
      <c r="AG46" s="89"/>
      <c r="AH46" s="89"/>
      <c r="AI46" s="89"/>
      <c r="AJ46" s="98">
        <v>44001.18650462963</v>
      </c>
      <c r="AK46" s="95" t="str">
        <f>HYPERLINK("https://yt3.ggpht.com/ytc/AAUvwnhsjSTRQmGv-z-zmUaA-1vMEyGdzT6DofstydKU=s88-c-k-c0x00ffffff-no-rj")</f>
        <v>https://yt3.ggpht.com/ytc/AAUvwnhsjSTRQmGv-z-zmUaA-1vMEyGdzT6DofstydKU=s88-c-k-c0x00ffffff-no-rj</v>
      </c>
      <c r="AL46" s="89">
        <v>16</v>
      </c>
      <c r="AM46" s="89">
        <v>0</v>
      </c>
      <c r="AN46" s="89">
        <v>4</v>
      </c>
      <c r="AO46" s="89" t="b">
        <v>0</v>
      </c>
      <c r="AP46" s="89">
        <v>2</v>
      </c>
      <c r="AQ46" s="89"/>
      <c r="AR46" s="89"/>
      <c r="AS46" s="89" t="s">
        <v>736</v>
      </c>
      <c r="AT46" s="95" t="str">
        <f>HYPERLINK("https://www.youtube.com/channel/UCnRYGBsqdgTYMJN96h4DoTQ")</f>
        <v>https://www.youtube.com/channel/UCnRYGBsqdgTYMJN96h4DoTQ</v>
      </c>
      <c r="AU46" s="89" t="str">
        <f>REPLACE(INDEX(GroupVertices[Group],MATCH(Vertices[[#This Row],[Vertex]],GroupVertices[Vertex],0)),1,1,"")</f>
        <v>5</v>
      </c>
      <c r="AV46" s="49">
        <v>0</v>
      </c>
      <c r="AW46" s="50">
        <v>0</v>
      </c>
      <c r="AX46" s="49">
        <v>0</v>
      </c>
      <c r="AY46" s="50">
        <v>0</v>
      </c>
      <c r="AZ46" s="49">
        <v>0</v>
      </c>
      <c r="BA46" s="50">
        <v>0</v>
      </c>
      <c r="BB46" s="49">
        <v>4</v>
      </c>
      <c r="BC46" s="50">
        <v>100</v>
      </c>
      <c r="BD46" s="49">
        <v>4</v>
      </c>
      <c r="BE46" s="49"/>
      <c r="BF46" s="49"/>
      <c r="BG46" s="49"/>
      <c r="BH46" s="49"/>
      <c r="BI46" s="49"/>
      <c r="BJ46" s="49"/>
      <c r="BK46" s="127" t="s">
        <v>1071</v>
      </c>
      <c r="BL46" s="127" t="s">
        <v>1071</v>
      </c>
      <c r="BM46" s="127" t="s">
        <v>666</v>
      </c>
      <c r="BN46" s="127" t="s">
        <v>666</v>
      </c>
      <c r="BO46" s="2"/>
      <c r="BP46" s="3"/>
      <c r="BQ46" s="3"/>
      <c r="BR46" s="3"/>
      <c r="BS46" s="3"/>
    </row>
    <row r="47" spans="1:71" ht="15">
      <c r="A47" s="65" t="s">
        <v>346</v>
      </c>
      <c r="B47" s="66"/>
      <c r="C47" s="66"/>
      <c r="D47" s="67">
        <v>150</v>
      </c>
      <c r="E47" s="69"/>
      <c r="F47" s="108" t="str">
        <f>HYPERLINK("https://yt3.ggpht.com/ytc/AAUvwngEOhQvAZAoKsYhoXReDK_2rnEHFBdWZpBGyvKK=s88-c-k-c0x00ffffff-no-rj")</f>
        <v>https://yt3.ggpht.com/ytc/AAUvwngEOhQvAZAoKsYhoXReDK_2rnEHFBdWZpBGyvKK=s88-c-k-c0x00ffffff-no-rj</v>
      </c>
      <c r="G47" s="66"/>
      <c r="H47" s="70" t="s">
        <v>625</v>
      </c>
      <c r="I47" s="71"/>
      <c r="J47" s="71" t="s">
        <v>159</v>
      </c>
      <c r="K47" s="70" t="s">
        <v>625</v>
      </c>
      <c r="L47" s="74">
        <v>1</v>
      </c>
      <c r="M47" s="75">
        <v>633.780029296875</v>
      </c>
      <c r="N47" s="75">
        <v>1311.4359130859375</v>
      </c>
      <c r="O47" s="76"/>
      <c r="P47" s="77"/>
      <c r="Q47" s="77"/>
      <c r="R47" s="101"/>
      <c r="S47" s="49">
        <v>0</v>
      </c>
      <c r="T47" s="49">
        <v>1</v>
      </c>
      <c r="U47" s="50">
        <v>0</v>
      </c>
      <c r="V47" s="50">
        <v>0.004695</v>
      </c>
      <c r="W47" s="50">
        <v>0.011737</v>
      </c>
      <c r="X47" s="50">
        <v>0.473657</v>
      </c>
      <c r="Y47" s="50">
        <v>0</v>
      </c>
      <c r="Z47" s="50">
        <v>0</v>
      </c>
      <c r="AA47" s="72">
        <v>47</v>
      </c>
      <c r="AB47" s="72"/>
      <c r="AC47" s="73"/>
      <c r="AD47" s="89" t="s">
        <v>625</v>
      </c>
      <c r="AE47" s="89" t="s">
        <v>724</v>
      </c>
      <c r="AF47" s="89"/>
      <c r="AG47" s="89"/>
      <c r="AH47" s="89"/>
      <c r="AI47" s="89"/>
      <c r="AJ47" s="98">
        <v>43409.20434027778</v>
      </c>
      <c r="AK47" s="95" t="str">
        <f>HYPERLINK("https://yt3.ggpht.com/ytc/AAUvwngEOhQvAZAoKsYhoXReDK_2rnEHFBdWZpBGyvKK=s88-c-k-c0x00ffffff-no-rj")</f>
        <v>https://yt3.ggpht.com/ytc/AAUvwngEOhQvAZAoKsYhoXReDK_2rnEHFBdWZpBGyvKK=s88-c-k-c0x00ffffff-no-rj</v>
      </c>
      <c r="AL47" s="89">
        <v>49964</v>
      </c>
      <c r="AM47" s="89">
        <v>0</v>
      </c>
      <c r="AN47" s="89">
        <v>640</v>
      </c>
      <c r="AO47" s="89" t="b">
        <v>0</v>
      </c>
      <c r="AP47" s="89">
        <v>70</v>
      </c>
      <c r="AQ47" s="89"/>
      <c r="AR47" s="89"/>
      <c r="AS47" s="89" t="s">
        <v>736</v>
      </c>
      <c r="AT47" s="95" t="str">
        <f>HYPERLINK("https://www.youtube.com/channel/UCoIUMLg-qptX6fVqZEBPm-w")</f>
        <v>https://www.youtube.com/channel/UCoIUMLg-qptX6fVqZEBPm-w</v>
      </c>
      <c r="AU47" s="89" t="str">
        <f>REPLACE(INDEX(GroupVertices[Group],MATCH(Vertices[[#This Row],[Vertex]],GroupVertices[Vertex],0)),1,1,"")</f>
        <v>1</v>
      </c>
      <c r="AV47" s="49">
        <v>0</v>
      </c>
      <c r="AW47" s="50">
        <v>0</v>
      </c>
      <c r="AX47" s="49">
        <v>0</v>
      </c>
      <c r="AY47" s="50">
        <v>0</v>
      </c>
      <c r="AZ47" s="49">
        <v>0</v>
      </c>
      <c r="BA47" s="50">
        <v>0</v>
      </c>
      <c r="BB47" s="49">
        <v>14</v>
      </c>
      <c r="BC47" s="50">
        <v>100</v>
      </c>
      <c r="BD47" s="49">
        <v>14</v>
      </c>
      <c r="BE47" s="49"/>
      <c r="BF47" s="49"/>
      <c r="BG47" s="49"/>
      <c r="BH47" s="49"/>
      <c r="BI47" s="49"/>
      <c r="BJ47" s="49"/>
      <c r="BK47" s="127" t="s">
        <v>1072</v>
      </c>
      <c r="BL47" s="127" t="s">
        <v>1072</v>
      </c>
      <c r="BM47" s="127" t="s">
        <v>1155</v>
      </c>
      <c r="BN47" s="127" t="s">
        <v>1155</v>
      </c>
      <c r="BO47" s="2"/>
      <c r="BP47" s="3"/>
      <c r="BQ47" s="3"/>
      <c r="BR47" s="3"/>
      <c r="BS47" s="3"/>
    </row>
    <row r="48" spans="1:71" ht="15">
      <c r="A48" s="65" t="s">
        <v>306</v>
      </c>
      <c r="B48" s="66"/>
      <c r="C48" s="66"/>
      <c r="D48" s="67">
        <v>150</v>
      </c>
      <c r="E48" s="69"/>
      <c r="F48" s="108" t="str">
        <f>HYPERLINK("https://yt3.ggpht.com/ytc/AAUvwngQ1LxLoKczf_NRzkDSZfFOZFSORjhXBzU3kx-kmw=s88-c-k-c0x00ffffff-no-rj")</f>
        <v>https://yt3.ggpht.com/ytc/AAUvwngQ1LxLoKczf_NRzkDSZfFOZFSORjhXBzU3kx-kmw=s88-c-k-c0x00ffffff-no-rj</v>
      </c>
      <c r="G48" s="66"/>
      <c r="H48" s="70" t="s">
        <v>585</v>
      </c>
      <c r="I48" s="71"/>
      <c r="J48" s="71" t="s">
        <v>159</v>
      </c>
      <c r="K48" s="70" t="s">
        <v>585</v>
      </c>
      <c r="L48" s="74">
        <v>1</v>
      </c>
      <c r="M48" s="75">
        <v>4425.23291015625</v>
      </c>
      <c r="N48" s="75">
        <v>9275.5341796875</v>
      </c>
      <c r="O48" s="76"/>
      <c r="P48" s="77"/>
      <c r="Q48" s="77"/>
      <c r="R48" s="101"/>
      <c r="S48" s="49">
        <v>0</v>
      </c>
      <c r="T48" s="49">
        <v>2</v>
      </c>
      <c r="U48" s="50">
        <v>0</v>
      </c>
      <c r="V48" s="50">
        <v>0.005236</v>
      </c>
      <c r="W48" s="50">
        <v>0.016264</v>
      </c>
      <c r="X48" s="50">
        <v>0.809964</v>
      </c>
      <c r="Y48" s="50">
        <v>0.5</v>
      </c>
      <c r="Z48" s="50">
        <v>0</v>
      </c>
      <c r="AA48" s="72">
        <v>48</v>
      </c>
      <c r="AB48" s="72"/>
      <c r="AC48" s="73"/>
      <c r="AD48" s="89" t="s">
        <v>585</v>
      </c>
      <c r="AE48" s="89"/>
      <c r="AF48" s="89"/>
      <c r="AG48" s="89"/>
      <c r="AH48" s="89"/>
      <c r="AI48" s="89"/>
      <c r="AJ48" s="98">
        <v>42384.03778935185</v>
      </c>
      <c r="AK48" s="95" t="str">
        <f>HYPERLINK("https://yt3.ggpht.com/ytc/AAUvwngQ1LxLoKczf_NRzkDSZfFOZFSORjhXBzU3kx-kmw=s88-c-k-c0x00ffffff-no-rj")</f>
        <v>https://yt3.ggpht.com/ytc/AAUvwngQ1LxLoKczf_NRzkDSZfFOZFSORjhXBzU3kx-kmw=s88-c-k-c0x00ffffff-no-rj</v>
      </c>
      <c r="AL48" s="89">
        <v>0</v>
      </c>
      <c r="AM48" s="89">
        <v>0</v>
      </c>
      <c r="AN48" s="89">
        <v>12</v>
      </c>
      <c r="AO48" s="89" t="b">
        <v>0</v>
      </c>
      <c r="AP48" s="89">
        <v>0</v>
      </c>
      <c r="AQ48" s="89"/>
      <c r="AR48" s="89"/>
      <c r="AS48" s="89" t="s">
        <v>736</v>
      </c>
      <c r="AT48" s="95" t="str">
        <f>HYPERLINK("https://www.youtube.com/channel/UCYbcr3YlItwbRXxWJhXfPMQ")</f>
        <v>https://www.youtube.com/channel/UCYbcr3YlItwbRXxWJhXfPMQ</v>
      </c>
      <c r="AU48" s="89" t="str">
        <f>REPLACE(INDEX(GroupVertices[Group],MATCH(Vertices[[#This Row],[Vertex]],GroupVertices[Vertex],0)),1,1,"")</f>
        <v>2</v>
      </c>
      <c r="AV48" s="49">
        <v>0</v>
      </c>
      <c r="AW48" s="50">
        <v>0</v>
      </c>
      <c r="AX48" s="49">
        <v>0</v>
      </c>
      <c r="AY48" s="50">
        <v>0</v>
      </c>
      <c r="AZ48" s="49">
        <v>0</v>
      </c>
      <c r="BA48" s="50">
        <v>0</v>
      </c>
      <c r="BB48" s="49">
        <v>12</v>
      </c>
      <c r="BC48" s="50">
        <v>100</v>
      </c>
      <c r="BD48" s="49">
        <v>12</v>
      </c>
      <c r="BE48" s="49"/>
      <c r="BF48" s="49"/>
      <c r="BG48" s="49"/>
      <c r="BH48" s="49"/>
      <c r="BI48" s="49"/>
      <c r="BJ48" s="49"/>
      <c r="BK48" s="127" t="s">
        <v>1073</v>
      </c>
      <c r="BL48" s="127" t="s">
        <v>1073</v>
      </c>
      <c r="BM48" s="127" t="s">
        <v>1156</v>
      </c>
      <c r="BN48" s="127" t="s">
        <v>1156</v>
      </c>
      <c r="BO48" s="2"/>
      <c r="BP48" s="3"/>
      <c r="BQ48" s="3"/>
      <c r="BR48" s="3"/>
      <c r="BS48" s="3"/>
    </row>
    <row r="49" spans="1:71" ht="15">
      <c r="A49" s="65" t="s">
        <v>335</v>
      </c>
      <c r="B49" s="66"/>
      <c r="C49" s="66"/>
      <c r="D49" s="67">
        <v>150</v>
      </c>
      <c r="E49" s="69"/>
      <c r="F49" s="108" t="str">
        <f>HYPERLINK("https://yt3.ggpht.com/ytc/AAUvwnir2Ns0AvMZHJ-4HckvygM4MgI5_7oJWqM9O2oT=s88-c-k-c0x00ffffff-no-rj")</f>
        <v>https://yt3.ggpht.com/ytc/AAUvwnir2Ns0AvMZHJ-4HckvygM4MgI5_7oJWqM9O2oT=s88-c-k-c0x00ffffff-no-rj</v>
      </c>
      <c r="G49" s="66"/>
      <c r="H49" s="70" t="s">
        <v>614</v>
      </c>
      <c r="I49" s="71"/>
      <c r="J49" s="71" t="s">
        <v>159</v>
      </c>
      <c r="K49" s="70" t="s">
        <v>614</v>
      </c>
      <c r="L49" s="74">
        <v>1</v>
      </c>
      <c r="M49" s="75">
        <v>1364.1861572265625</v>
      </c>
      <c r="N49" s="75">
        <v>1006.9537353515625</v>
      </c>
      <c r="O49" s="76"/>
      <c r="P49" s="77"/>
      <c r="Q49" s="77"/>
      <c r="R49" s="101"/>
      <c r="S49" s="49">
        <v>0</v>
      </c>
      <c r="T49" s="49">
        <v>1</v>
      </c>
      <c r="U49" s="50">
        <v>0</v>
      </c>
      <c r="V49" s="50">
        <v>0.004695</v>
      </c>
      <c r="W49" s="50">
        <v>0.011737</v>
      </c>
      <c r="X49" s="50">
        <v>0.473657</v>
      </c>
      <c r="Y49" s="50">
        <v>0</v>
      </c>
      <c r="Z49" s="50">
        <v>0</v>
      </c>
      <c r="AA49" s="72">
        <v>49</v>
      </c>
      <c r="AB49" s="72"/>
      <c r="AC49" s="73"/>
      <c r="AD49" s="89" t="s">
        <v>614</v>
      </c>
      <c r="AE49" s="89"/>
      <c r="AF49" s="89"/>
      <c r="AG49" s="89"/>
      <c r="AH49" s="89"/>
      <c r="AI49" s="89"/>
      <c r="AJ49" s="98">
        <v>44209.72888888889</v>
      </c>
      <c r="AK49" s="95" t="str">
        <f>HYPERLINK("https://yt3.ggpht.com/ytc/AAUvwnir2Ns0AvMZHJ-4HckvygM4MgI5_7oJWqM9O2oT=s88-c-k-c0x00ffffff-no-rj")</f>
        <v>https://yt3.ggpht.com/ytc/AAUvwnir2Ns0AvMZHJ-4HckvygM4MgI5_7oJWqM9O2oT=s88-c-k-c0x00ffffff-no-rj</v>
      </c>
      <c r="AL49" s="89">
        <v>0</v>
      </c>
      <c r="AM49" s="89">
        <v>0</v>
      </c>
      <c r="AN49" s="89">
        <v>0</v>
      </c>
      <c r="AO49" s="89" t="b">
        <v>0</v>
      </c>
      <c r="AP49" s="89">
        <v>0</v>
      </c>
      <c r="AQ49" s="89"/>
      <c r="AR49" s="89"/>
      <c r="AS49" s="89" t="s">
        <v>736</v>
      </c>
      <c r="AT49" s="95" t="str">
        <f>HYPERLINK("https://www.youtube.com/channel/UCPO2vYJeMPUThpD2I7nA5KQ")</f>
        <v>https://www.youtube.com/channel/UCPO2vYJeMPUThpD2I7nA5KQ</v>
      </c>
      <c r="AU49" s="89" t="str">
        <f>REPLACE(INDEX(GroupVertices[Group],MATCH(Vertices[[#This Row],[Vertex]],GroupVertices[Vertex],0)),1,1,"")</f>
        <v>1</v>
      </c>
      <c r="AV49" s="49">
        <v>0</v>
      </c>
      <c r="AW49" s="50">
        <v>0</v>
      </c>
      <c r="AX49" s="49">
        <v>0</v>
      </c>
      <c r="AY49" s="50">
        <v>0</v>
      </c>
      <c r="AZ49" s="49">
        <v>0</v>
      </c>
      <c r="BA49" s="50">
        <v>0</v>
      </c>
      <c r="BB49" s="49">
        <v>1</v>
      </c>
      <c r="BC49" s="50">
        <v>100</v>
      </c>
      <c r="BD49" s="49">
        <v>1</v>
      </c>
      <c r="BE49" s="49"/>
      <c r="BF49" s="49"/>
      <c r="BG49" s="49"/>
      <c r="BH49" s="49"/>
      <c r="BI49" s="49"/>
      <c r="BJ49" s="49"/>
      <c r="BK49" s="127" t="s">
        <v>666</v>
      </c>
      <c r="BL49" s="127" t="s">
        <v>666</v>
      </c>
      <c r="BM49" s="127" t="s">
        <v>666</v>
      </c>
      <c r="BN49" s="127" t="s">
        <v>666</v>
      </c>
      <c r="BO49" s="2"/>
      <c r="BP49" s="3"/>
      <c r="BQ49" s="3"/>
      <c r="BR49" s="3"/>
      <c r="BS49" s="3"/>
    </row>
    <row r="50" spans="1:71" ht="15">
      <c r="A50" s="65" t="s">
        <v>320</v>
      </c>
      <c r="B50" s="66"/>
      <c r="C50" s="66"/>
      <c r="D50" s="67">
        <v>150</v>
      </c>
      <c r="E50" s="69"/>
      <c r="F50" s="108" t="str">
        <f>HYPERLINK("https://yt3.ggpht.com/ytc/AAUvwnhC4H8GBcYOGOZsLj0ltwQsdiQPaG9u7k2Y2nxGIA=s88-c-k-c0x00ffffff-no-rj")</f>
        <v>https://yt3.ggpht.com/ytc/AAUvwnhC4H8GBcYOGOZsLj0ltwQsdiQPaG9u7k2Y2nxGIA=s88-c-k-c0x00ffffff-no-rj</v>
      </c>
      <c r="G50" s="66"/>
      <c r="H50" s="70" t="s">
        <v>599</v>
      </c>
      <c r="I50" s="71"/>
      <c r="J50" s="71" t="s">
        <v>159</v>
      </c>
      <c r="K50" s="70" t="s">
        <v>599</v>
      </c>
      <c r="L50" s="74">
        <v>1</v>
      </c>
      <c r="M50" s="75">
        <v>1801.10107421875</v>
      </c>
      <c r="N50" s="75">
        <v>1269.9942626953125</v>
      </c>
      <c r="O50" s="76"/>
      <c r="P50" s="77"/>
      <c r="Q50" s="77"/>
      <c r="R50" s="101"/>
      <c r="S50" s="49">
        <v>0</v>
      </c>
      <c r="T50" s="49">
        <v>1</v>
      </c>
      <c r="U50" s="50">
        <v>0</v>
      </c>
      <c r="V50" s="50">
        <v>0.004695</v>
      </c>
      <c r="W50" s="50">
        <v>0.011737</v>
      </c>
      <c r="X50" s="50">
        <v>0.473657</v>
      </c>
      <c r="Y50" s="50">
        <v>0</v>
      </c>
      <c r="Z50" s="50">
        <v>0</v>
      </c>
      <c r="AA50" s="72">
        <v>50</v>
      </c>
      <c r="AB50" s="72"/>
      <c r="AC50" s="73"/>
      <c r="AD50" s="89" t="s">
        <v>599</v>
      </c>
      <c r="AE50" s="89"/>
      <c r="AF50" s="89"/>
      <c r="AG50" s="89"/>
      <c r="AH50" s="89"/>
      <c r="AI50" s="89"/>
      <c r="AJ50" s="98">
        <v>43389.25351851852</v>
      </c>
      <c r="AK50" s="95" t="str">
        <f>HYPERLINK("https://yt3.ggpht.com/ytc/AAUvwnhC4H8GBcYOGOZsLj0ltwQsdiQPaG9u7k2Y2nxGIA=s88-c-k-c0x00ffffff-no-rj")</f>
        <v>https://yt3.ggpht.com/ytc/AAUvwnhC4H8GBcYOGOZsLj0ltwQsdiQPaG9u7k2Y2nxGIA=s88-c-k-c0x00ffffff-no-rj</v>
      </c>
      <c r="AL50" s="89">
        <v>0</v>
      </c>
      <c r="AM50" s="89">
        <v>0</v>
      </c>
      <c r="AN50" s="89">
        <v>0</v>
      </c>
      <c r="AO50" s="89" t="b">
        <v>0</v>
      </c>
      <c r="AP50" s="89">
        <v>0</v>
      </c>
      <c r="AQ50" s="89"/>
      <c r="AR50" s="89"/>
      <c r="AS50" s="89" t="s">
        <v>736</v>
      </c>
      <c r="AT50" s="95" t="str">
        <f>HYPERLINK("https://www.youtube.com/channel/UCh-2TKI04EBmj1G6P1OB6Pw")</f>
        <v>https://www.youtube.com/channel/UCh-2TKI04EBmj1G6P1OB6Pw</v>
      </c>
      <c r="AU50" s="89" t="str">
        <f>REPLACE(INDEX(GroupVertices[Group],MATCH(Vertices[[#This Row],[Vertex]],GroupVertices[Vertex],0)),1,1,"")</f>
        <v>1</v>
      </c>
      <c r="AV50" s="49">
        <v>0</v>
      </c>
      <c r="AW50" s="50">
        <v>0</v>
      </c>
      <c r="AX50" s="49">
        <v>0</v>
      </c>
      <c r="AY50" s="50">
        <v>0</v>
      </c>
      <c r="AZ50" s="49">
        <v>0</v>
      </c>
      <c r="BA50" s="50">
        <v>0</v>
      </c>
      <c r="BB50" s="49">
        <v>0</v>
      </c>
      <c r="BC50" s="50">
        <v>0</v>
      </c>
      <c r="BD50" s="49">
        <v>0</v>
      </c>
      <c r="BE50" s="49"/>
      <c r="BF50" s="49"/>
      <c r="BG50" s="49"/>
      <c r="BH50" s="49"/>
      <c r="BI50" s="49"/>
      <c r="BJ50" s="49"/>
      <c r="BK50" s="127" t="s">
        <v>666</v>
      </c>
      <c r="BL50" s="127" t="s">
        <v>666</v>
      </c>
      <c r="BM50" s="127" t="s">
        <v>666</v>
      </c>
      <c r="BN50" s="127" t="s">
        <v>666</v>
      </c>
      <c r="BO50" s="2"/>
      <c r="BP50" s="3"/>
      <c r="BQ50" s="3"/>
      <c r="BR50" s="3"/>
      <c r="BS50" s="3"/>
    </row>
    <row r="51" spans="1:71" ht="15">
      <c r="A51" s="65" t="s">
        <v>287</v>
      </c>
      <c r="B51" s="66"/>
      <c r="C51" s="66"/>
      <c r="D51" s="67">
        <v>150</v>
      </c>
      <c r="E51" s="69"/>
      <c r="F51" s="108" t="str">
        <f>HYPERLINK("https://yt3.ggpht.com/ytc/AAUvwnir0HXNHv-8FcP2E6aqoQaqsL2rkMY36dwkAZiw=s88-c-k-c0x00ffffff-no-rj")</f>
        <v>https://yt3.ggpht.com/ytc/AAUvwnir0HXNHv-8FcP2E6aqoQaqsL2rkMY36dwkAZiw=s88-c-k-c0x00ffffff-no-rj</v>
      </c>
      <c r="G51" s="66"/>
      <c r="H51" s="70" t="s">
        <v>566</v>
      </c>
      <c r="I51" s="71"/>
      <c r="J51" s="71" t="s">
        <v>159</v>
      </c>
      <c r="K51" s="70" t="s">
        <v>566</v>
      </c>
      <c r="L51" s="74">
        <v>1</v>
      </c>
      <c r="M51" s="75">
        <v>4902.63037109375</v>
      </c>
      <c r="N51" s="75">
        <v>8381.2958984375</v>
      </c>
      <c r="O51" s="76"/>
      <c r="P51" s="77"/>
      <c r="Q51" s="77"/>
      <c r="R51" s="101"/>
      <c r="S51" s="49">
        <v>0</v>
      </c>
      <c r="T51" s="49">
        <v>1</v>
      </c>
      <c r="U51" s="50">
        <v>0</v>
      </c>
      <c r="V51" s="50">
        <v>0.003937</v>
      </c>
      <c r="W51" s="50">
        <v>0.004527</v>
      </c>
      <c r="X51" s="50">
        <v>0.486308</v>
      </c>
      <c r="Y51" s="50">
        <v>0</v>
      </c>
      <c r="Z51" s="50">
        <v>0</v>
      </c>
      <c r="AA51" s="72">
        <v>51</v>
      </c>
      <c r="AB51" s="72"/>
      <c r="AC51" s="73"/>
      <c r="AD51" s="89" t="s">
        <v>566</v>
      </c>
      <c r="AE51" s="89" t="s">
        <v>705</v>
      </c>
      <c r="AF51" s="89"/>
      <c r="AG51" s="89"/>
      <c r="AH51" s="89"/>
      <c r="AI51" s="89"/>
      <c r="AJ51" s="98">
        <v>42977.977106481485</v>
      </c>
      <c r="AK51" s="95" t="str">
        <f>HYPERLINK("https://yt3.ggpht.com/ytc/AAUvwnir0HXNHv-8FcP2E6aqoQaqsL2rkMY36dwkAZiw=s88-c-k-c0x00ffffff-no-rj")</f>
        <v>https://yt3.ggpht.com/ytc/AAUvwnir0HXNHv-8FcP2E6aqoQaqsL2rkMY36dwkAZiw=s88-c-k-c0x00ffffff-no-rj</v>
      </c>
      <c r="AL51" s="89">
        <v>19</v>
      </c>
      <c r="AM51" s="89">
        <v>0</v>
      </c>
      <c r="AN51" s="89">
        <v>7</v>
      </c>
      <c r="AO51" s="89" t="b">
        <v>0</v>
      </c>
      <c r="AP51" s="89">
        <v>1</v>
      </c>
      <c r="AQ51" s="89"/>
      <c r="AR51" s="89"/>
      <c r="AS51" s="89" t="s">
        <v>736</v>
      </c>
      <c r="AT51" s="95" t="str">
        <f>HYPERLINK("https://www.youtube.com/channel/UCVWdrNV8bxniNzRsFK-sBtg")</f>
        <v>https://www.youtube.com/channel/UCVWdrNV8bxniNzRsFK-sBtg</v>
      </c>
      <c r="AU51" s="89" t="str">
        <f>REPLACE(INDEX(GroupVertices[Group],MATCH(Vertices[[#This Row],[Vertex]],GroupVertices[Vertex],0)),1,1,"")</f>
        <v>2</v>
      </c>
      <c r="AV51" s="49">
        <v>0</v>
      </c>
      <c r="AW51" s="50">
        <v>0</v>
      </c>
      <c r="AX51" s="49">
        <v>0</v>
      </c>
      <c r="AY51" s="50">
        <v>0</v>
      </c>
      <c r="AZ51" s="49">
        <v>0</v>
      </c>
      <c r="BA51" s="50">
        <v>0</v>
      </c>
      <c r="BB51" s="49">
        <v>5</v>
      </c>
      <c r="BC51" s="50">
        <v>100</v>
      </c>
      <c r="BD51" s="49">
        <v>5</v>
      </c>
      <c r="BE51" s="49"/>
      <c r="BF51" s="49"/>
      <c r="BG51" s="49"/>
      <c r="BH51" s="49"/>
      <c r="BI51" s="49"/>
      <c r="BJ51" s="49"/>
      <c r="BK51" s="127" t="s">
        <v>809</v>
      </c>
      <c r="BL51" s="127" t="s">
        <v>809</v>
      </c>
      <c r="BM51" s="127" t="s">
        <v>666</v>
      </c>
      <c r="BN51" s="127" t="s">
        <v>666</v>
      </c>
      <c r="BO51" s="2"/>
      <c r="BP51" s="3"/>
      <c r="BQ51" s="3"/>
      <c r="BR51" s="3"/>
      <c r="BS51" s="3"/>
    </row>
    <row r="52" spans="1:71" ht="15">
      <c r="A52" s="65" t="s">
        <v>354</v>
      </c>
      <c r="B52" s="66"/>
      <c r="C52" s="66"/>
      <c r="D52" s="67">
        <v>150</v>
      </c>
      <c r="E52" s="69"/>
      <c r="F52" s="108" t="str">
        <f>HYPERLINK("https://yt3.ggpht.com/ytc/AAUvwnh_W37oijKp-jb123pHLzUtLf5LLN8ZpnzjG6aW=s88-c-k-c0x00ffffff-no-rj")</f>
        <v>https://yt3.ggpht.com/ytc/AAUvwnh_W37oijKp-jb123pHLzUtLf5LLN8ZpnzjG6aW=s88-c-k-c0x00ffffff-no-rj</v>
      </c>
      <c r="G52" s="66"/>
      <c r="H52" s="70" t="s">
        <v>627</v>
      </c>
      <c r="I52" s="71"/>
      <c r="J52" s="71" t="s">
        <v>159</v>
      </c>
      <c r="K52" s="70" t="s">
        <v>627</v>
      </c>
      <c r="L52" s="74">
        <v>1</v>
      </c>
      <c r="M52" s="75">
        <v>5461.5849609375</v>
      </c>
      <c r="N52" s="75">
        <v>2799.825927734375</v>
      </c>
      <c r="O52" s="76"/>
      <c r="P52" s="77"/>
      <c r="Q52" s="77"/>
      <c r="R52" s="49"/>
      <c r="S52" s="49">
        <v>0</v>
      </c>
      <c r="T52" s="49">
        <v>1</v>
      </c>
      <c r="U52" s="50">
        <v>0</v>
      </c>
      <c r="V52" s="50">
        <v>0.043478</v>
      </c>
      <c r="W52" s="50">
        <v>0</v>
      </c>
      <c r="X52" s="50">
        <v>0.549991</v>
      </c>
      <c r="Y52" s="50">
        <v>0</v>
      </c>
      <c r="Z52" s="50">
        <v>0</v>
      </c>
      <c r="AA52" s="72">
        <v>52</v>
      </c>
      <c r="AB52" s="72"/>
      <c r="AC52" s="73"/>
      <c r="AD52" s="89" t="s">
        <v>627</v>
      </c>
      <c r="AE52" s="89" t="s">
        <v>728</v>
      </c>
      <c r="AF52" s="89"/>
      <c r="AG52" s="89"/>
      <c r="AH52" s="89"/>
      <c r="AI52" s="89"/>
      <c r="AJ52" s="98">
        <v>42650.89895833333</v>
      </c>
      <c r="AK52" s="95" t="str">
        <f>HYPERLINK("https://yt3.ggpht.com/ytc/AAUvwnh_W37oijKp-jb123pHLzUtLf5LLN8ZpnzjG6aW=s88-c-k-c0x00ffffff-no-rj")</f>
        <v>https://yt3.ggpht.com/ytc/AAUvwnh_W37oijKp-jb123pHLzUtLf5LLN8ZpnzjG6aW=s88-c-k-c0x00ffffff-no-rj</v>
      </c>
      <c r="AL52" s="89">
        <v>0</v>
      </c>
      <c r="AM52" s="89">
        <v>0</v>
      </c>
      <c r="AN52" s="89">
        <v>3</v>
      </c>
      <c r="AO52" s="89" t="b">
        <v>0</v>
      </c>
      <c r="AP52" s="89">
        <v>0</v>
      </c>
      <c r="AQ52" s="89"/>
      <c r="AR52" s="89"/>
      <c r="AS52" s="89" t="s">
        <v>736</v>
      </c>
      <c r="AT52" s="95" t="str">
        <f>HYPERLINK("https://www.youtube.com/channel/UCAmn8fQuS8x3TBLBRXr4QYQ")</f>
        <v>https://www.youtube.com/channel/UCAmn8fQuS8x3TBLBRXr4QYQ</v>
      </c>
      <c r="AU52" s="89" t="str">
        <f>REPLACE(INDEX(GroupVertices[Group],MATCH(Vertices[[#This Row],[Vertex]],GroupVertices[Vertex],0)),1,1,"")</f>
        <v>4</v>
      </c>
      <c r="AV52" s="49">
        <v>1</v>
      </c>
      <c r="AW52" s="50">
        <v>33.333333333333336</v>
      </c>
      <c r="AX52" s="49">
        <v>0</v>
      </c>
      <c r="AY52" s="50">
        <v>0</v>
      </c>
      <c r="AZ52" s="49">
        <v>0</v>
      </c>
      <c r="BA52" s="50">
        <v>0</v>
      </c>
      <c r="BB52" s="49">
        <v>2</v>
      </c>
      <c r="BC52" s="50">
        <v>66.66666666666667</v>
      </c>
      <c r="BD52" s="49">
        <v>3</v>
      </c>
      <c r="BE52" s="49"/>
      <c r="BF52" s="49"/>
      <c r="BG52" s="49"/>
      <c r="BH52" s="49"/>
      <c r="BI52" s="49"/>
      <c r="BJ52" s="49"/>
      <c r="BK52" s="127" t="s">
        <v>1074</v>
      </c>
      <c r="BL52" s="127" t="s">
        <v>1074</v>
      </c>
      <c r="BM52" s="127" t="s">
        <v>1157</v>
      </c>
      <c r="BN52" s="127" t="s">
        <v>1157</v>
      </c>
      <c r="BO52" s="2"/>
      <c r="BP52" s="3"/>
      <c r="BQ52" s="3"/>
      <c r="BR52" s="3"/>
      <c r="BS52" s="3"/>
    </row>
    <row r="53" spans="1:71" ht="15">
      <c r="A53" s="65" t="s">
        <v>232</v>
      </c>
      <c r="B53" s="66"/>
      <c r="C53" s="66"/>
      <c r="D53" s="67">
        <v>150</v>
      </c>
      <c r="E53" s="69"/>
      <c r="F53" s="108" t="str">
        <f>HYPERLINK("https://yt3.ggpht.com/ytc/AAUvwnj1FjgpBc2pexO8AYR8H0y8QSiqLdu5758v6DAy2A=s88-c-k-c0x00ffffff-no-rj")</f>
        <v>https://yt3.ggpht.com/ytc/AAUvwnj1FjgpBc2pexO8AYR8H0y8QSiqLdu5758v6DAy2A=s88-c-k-c0x00ffffff-no-rj</v>
      </c>
      <c r="G53" s="66"/>
      <c r="H53" s="70" t="s">
        <v>511</v>
      </c>
      <c r="I53" s="71"/>
      <c r="J53" s="71" t="s">
        <v>159</v>
      </c>
      <c r="K53" s="70" t="s">
        <v>511</v>
      </c>
      <c r="L53" s="74">
        <v>1</v>
      </c>
      <c r="M53" s="75">
        <v>4807.8759765625</v>
      </c>
      <c r="N53" s="75">
        <v>3944.692138671875</v>
      </c>
      <c r="O53" s="76"/>
      <c r="P53" s="77"/>
      <c r="Q53" s="77"/>
      <c r="R53" s="101"/>
      <c r="S53" s="49">
        <v>0</v>
      </c>
      <c r="T53" s="49">
        <v>1</v>
      </c>
      <c r="U53" s="50">
        <v>0</v>
      </c>
      <c r="V53" s="50">
        <v>0.033333</v>
      </c>
      <c r="W53" s="50">
        <v>0</v>
      </c>
      <c r="X53" s="50">
        <v>0.600776</v>
      </c>
      <c r="Y53" s="50">
        <v>0</v>
      </c>
      <c r="Z53" s="50">
        <v>0</v>
      </c>
      <c r="AA53" s="72">
        <v>53</v>
      </c>
      <c r="AB53" s="72"/>
      <c r="AC53" s="73"/>
      <c r="AD53" s="89" t="s">
        <v>511</v>
      </c>
      <c r="AE53" s="89" t="s">
        <v>690</v>
      </c>
      <c r="AF53" s="89"/>
      <c r="AG53" s="89"/>
      <c r="AH53" s="89"/>
      <c r="AI53" s="89"/>
      <c r="AJ53" s="98">
        <v>42409.30537037037</v>
      </c>
      <c r="AK53" s="95" t="str">
        <f>HYPERLINK("https://yt3.ggpht.com/ytc/AAUvwnj1FjgpBc2pexO8AYR8H0y8QSiqLdu5758v6DAy2A=s88-c-k-c0x00ffffff-no-rj")</f>
        <v>https://yt3.ggpht.com/ytc/AAUvwnj1FjgpBc2pexO8AYR8H0y8QSiqLdu5758v6DAy2A=s88-c-k-c0x00ffffff-no-rj</v>
      </c>
      <c r="AL53" s="89">
        <v>0</v>
      </c>
      <c r="AM53" s="89">
        <v>0</v>
      </c>
      <c r="AN53" s="89">
        <v>0</v>
      </c>
      <c r="AO53" s="89" t="b">
        <v>0</v>
      </c>
      <c r="AP53" s="89">
        <v>0</v>
      </c>
      <c r="AQ53" s="89"/>
      <c r="AR53" s="89"/>
      <c r="AS53" s="89" t="s">
        <v>736</v>
      </c>
      <c r="AT53" s="95" t="str">
        <f>HYPERLINK("https://www.youtube.com/channel/UCSLzh_2e-fC7yrOAj39TAAw")</f>
        <v>https://www.youtube.com/channel/UCSLzh_2e-fC7yrOAj39TAAw</v>
      </c>
      <c r="AU53" s="89" t="str">
        <f>REPLACE(INDEX(GroupVertices[Group],MATCH(Vertices[[#This Row],[Vertex]],GroupVertices[Vertex],0)),1,1,"")</f>
        <v>4</v>
      </c>
      <c r="AV53" s="49">
        <v>0</v>
      </c>
      <c r="AW53" s="50">
        <v>0</v>
      </c>
      <c r="AX53" s="49">
        <v>0</v>
      </c>
      <c r="AY53" s="50">
        <v>0</v>
      </c>
      <c r="AZ53" s="49">
        <v>0</v>
      </c>
      <c r="BA53" s="50">
        <v>0</v>
      </c>
      <c r="BB53" s="49">
        <v>5</v>
      </c>
      <c r="BC53" s="50">
        <v>100</v>
      </c>
      <c r="BD53" s="49">
        <v>5</v>
      </c>
      <c r="BE53" s="49"/>
      <c r="BF53" s="49"/>
      <c r="BG53" s="49"/>
      <c r="BH53" s="49"/>
      <c r="BI53" s="49"/>
      <c r="BJ53" s="49"/>
      <c r="BK53" s="127" t="s">
        <v>666</v>
      </c>
      <c r="BL53" s="127" t="s">
        <v>666</v>
      </c>
      <c r="BM53" s="127" t="s">
        <v>666</v>
      </c>
      <c r="BN53" s="127" t="s">
        <v>666</v>
      </c>
      <c r="BO53" s="2"/>
      <c r="BP53" s="3"/>
      <c r="BQ53" s="3"/>
      <c r="BR53" s="3"/>
      <c r="BS53" s="3"/>
    </row>
    <row r="54" spans="1:71" ht="15">
      <c r="A54" s="65" t="s">
        <v>345</v>
      </c>
      <c r="B54" s="66"/>
      <c r="C54" s="66"/>
      <c r="D54" s="67">
        <v>150</v>
      </c>
      <c r="E54" s="69"/>
      <c r="F54" s="108" t="str">
        <f>HYPERLINK("https://yt3.ggpht.com/ytc/AAUvwnhNlBZLjqpkOpwoKigLT5Dlyo_2tLE1vOnmWg=s88-c-k-c0x00ffffff-no-rj")</f>
        <v>https://yt3.ggpht.com/ytc/AAUvwnhNlBZLjqpkOpwoKigLT5Dlyo_2tLE1vOnmWg=s88-c-k-c0x00ffffff-no-rj</v>
      </c>
      <c r="G54" s="66"/>
      <c r="H54" s="70" t="s">
        <v>624</v>
      </c>
      <c r="I54" s="71"/>
      <c r="J54" s="71" t="s">
        <v>159</v>
      </c>
      <c r="K54" s="70" t="s">
        <v>624</v>
      </c>
      <c r="L54" s="74">
        <v>1</v>
      </c>
      <c r="M54" s="75">
        <v>2250.521728515625</v>
      </c>
      <c r="N54" s="75">
        <v>1073.4207763671875</v>
      </c>
      <c r="O54" s="76"/>
      <c r="P54" s="77"/>
      <c r="Q54" s="77"/>
      <c r="R54" s="101"/>
      <c r="S54" s="49">
        <v>0</v>
      </c>
      <c r="T54" s="49">
        <v>1</v>
      </c>
      <c r="U54" s="50">
        <v>0</v>
      </c>
      <c r="V54" s="50">
        <v>0.004695</v>
      </c>
      <c r="W54" s="50">
        <v>0.011737</v>
      </c>
      <c r="X54" s="50">
        <v>0.473657</v>
      </c>
      <c r="Y54" s="50">
        <v>0</v>
      </c>
      <c r="Z54" s="50">
        <v>0</v>
      </c>
      <c r="AA54" s="72">
        <v>54</v>
      </c>
      <c r="AB54" s="72"/>
      <c r="AC54" s="73"/>
      <c r="AD54" s="89" t="s">
        <v>624</v>
      </c>
      <c r="AE54" s="89"/>
      <c r="AF54" s="89"/>
      <c r="AG54" s="89"/>
      <c r="AH54" s="89"/>
      <c r="AI54" s="89"/>
      <c r="AJ54" s="98">
        <v>43148.33640046296</v>
      </c>
      <c r="AK54" s="95" t="str">
        <f>HYPERLINK("https://yt3.ggpht.com/ytc/AAUvwnhNlBZLjqpkOpwoKigLT5Dlyo_2tLE1vOnmWg=s88-c-k-c0x00ffffff-no-rj")</f>
        <v>https://yt3.ggpht.com/ytc/AAUvwnhNlBZLjqpkOpwoKigLT5Dlyo_2tLE1vOnmWg=s88-c-k-c0x00ffffff-no-rj</v>
      </c>
      <c r="AL54" s="89">
        <v>0</v>
      </c>
      <c r="AM54" s="89">
        <v>0</v>
      </c>
      <c r="AN54" s="89">
        <v>15</v>
      </c>
      <c r="AO54" s="89" t="b">
        <v>0</v>
      </c>
      <c r="AP54" s="89">
        <v>0</v>
      </c>
      <c r="AQ54" s="89"/>
      <c r="AR54" s="89"/>
      <c r="AS54" s="89" t="s">
        <v>736</v>
      </c>
      <c r="AT54" s="95" t="str">
        <f>HYPERLINK("https://www.youtube.com/channel/UCchgbiZujU7ZKwdY5B2hoeA")</f>
        <v>https://www.youtube.com/channel/UCchgbiZujU7ZKwdY5B2hoeA</v>
      </c>
      <c r="AU54" s="89" t="str">
        <f>REPLACE(INDEX(GroupVertices[Group],MATCH(Vertices[[#This Row],[Vertex]],GroupVertices[Vertex],0)),1,1,"")</f>
        <v>1</v>
      </c>
      <c r="AV54" s="49">
        <v>0</v>
      </c>
      <c r="AW54" s="50">
        <v>0</v>
      </c>
      <c r="AX54" s="49">
        <v>3</v>
      </c>
      <c r="AY54" s="50">
        <v>4.477611940298507</v>
      </c>
      <c r="AZ54" s="49">
        <v>0</v>
      </c>
      <c r="BA54" s="50">
        <v>0</v>
      </c>
      <c r="BB54" s="49">
        <v>64</v>
      </c>
      <c r="BC54" s="50">
        <v>95.5223880597015</v>
      </c>
      <c r="BD54" s="49">
        <v>67</v>
      </c>
      <c r="BE54" s="49"/>
      <c r="BF54" s="49"/>
      <c r="BG54" s="49"/>
      <c r="BH54" s="49"/>
      <c r="BI54" s="49"/>
      <c r="BJ54" s="49"/>
      <c r="BK54" s="127" t="s">
        <v>1075</v>
      </c>
      <c r="BL54" s="127" t="s">
        <v>1075</v>
      </c>
      <c r="BM54" s="127" t="s">
        <v>1158</v>
      </c>
      <c r="BN54" s="127" t="s">
        <v>1158</v>
      </c>
      <c r="BO54" s="2"/>
      <c r="BP54" s="3"/>
      <c r="BQ54" s="3"/>
      <c r="BR54" s="3"/>
      <c r="BS54" s="3"/>
    </row>
    <row r="55" spans="1:71" ht="15">
      <c r="A55" s="65" t="s">
        <v>270</v>
      </c>
      <c r="B55" s="66"/>
      <c r="C55" s="66"/>
      <c r="D55" s="67">
        <v>392.8571428571429</v>
      </c>
      <c r="E55" s="69"/>
      <c r="F55" s="108" t="str">
        <f>HYPERLINK("https://yt3.ggpht.com/ytc/AAUvwniBrLeVv2dubUv8rWjOe6ohD8Y61iJjMFJ3ZQ=s88-c-k-c0x00ffffff-no-rj")</f>
        <v>https://yt3.ggpht.com/ytc/AAUvwniBrLeVv2dubUv8rWjOe6ohD8Y61iJjMFJ3ZQ=s88-c-k-c0x00ffffff-no-rj</v>
      </c>
      <c r="G55" s="66"/>
      <c r="H55" s="70" t="s">
        <v>549</v>
      </c>
      <c r="I55" s="71"/>
      <c r="J55" s="71" t="s">
        <v>75</v>
      </c>
      <c r="K55" s="70" t="s">
        <v>549</v>
      </c>
      <c r="L55" s="74">
        <v>334.26666666666665</v>
      </c>
      <c r="M55" s="75">
        <v>7958.33349609375</v>
      </c>
      <c r="N55" s="75">
        <v>2568.384765625</v>
      </c>
      <c r="O55" s="76"/>
      <c r="P55" s="77"/>
      <c r="Q55" s="77"/>
      <c r="R55" s="101"/>
      <c r="S55" s="49">
        <v>2</v>
      </c>
      <c r="T55" s="49">
        <v>1</v>
      </c>
      <c r="U55" s="50">
        <v>358</v>
      </c>
      <c r="V55" s="50">
        <v>0.004785</v>
      </c>
      <c r="W55" s="50">
        <v>0.01206</v>
      </c>
      <c r="X55" s="50">
        <v>1.405766</v>
      </c>
      <c r="Y55" s="50">
        <v>0</v>
      </c>
      <c r="Z55" s="50">
        <v>0</v>
      </c>
      <c r="AA55" s="72">
        <v>55</v>
      </c>
      <c r="AB55" s="72"/>
      <c r="AC55" s="73"/>
      <c r="AD55" s="89" t="s">
        <v>549</v>
      </c>
      <c r="AE55" s="89"/>
      <c r="AF55" s="89"/>
      <c r="AG55" s="89"/>
      <c r="AH55" s="89"/>
      <c r="AI55" s="89"/>
      <c r="AJ55" s="98">
        <v>43178.47723379629</v>
      </c>
      <c r="AK55" s="95" t="str">
        <f>HYPERLINK("https://yt3.ggpht.com/ytc/AAUvwniBrLeVv2dubUv8rWjOe6ohD8Y61iJjMFJ3ZQ=s88-c-k-c0x00ffffff-no-rj")</f>
        <v>https://yt3.ggpht.com/ytc/AAUvwniBrLeVv2dubUv8rWjOe6ohD8Y61iJjMFJ3ZQ=s88-c-k-c0x00ffffff-no-rj</v>
      </c>
      <c r="AL55" s="89">
        <v>0</v>
      </c>
      <c r="AM55" s="89">
        <v>0</v>
      </c>
      <c r="AN55" s="89">
        <v>0</v>
      </c>
      <c r="AO55" s="89" t="b">
        <v>0</v>
      </c>
      <c r="AP55" s="89">
        <v>0</v>
      </c>
      <c r="AQ55" s="89"/>
      <c r="AR55" s="89"/>
      <c r="AS55" s="89" t="s">
        <v>736</v>
      </c>
      <c r="AT55" s="95" t="str">
        <f>HYPERLINK("https://www.youtube.com/channel/UCEVgc19AwijyWr7r4Ujk9LQ")</f>
        <v>https://www.youtube.com/channel/UCEVgc19AwijyWr7r4Ujk9LQ</v>
      </c>
      <c r="AU55" s="89" t="str">
        <f>REPLACE(INDEX(GroupVertices[Group],MATCH(Vertices[[#This Row],[Vertex]],GroupVertices[Vertex],0)),1,1,"")</f>
        <v>7</v>
      </c>
      <c r="AV55" s="49">
        <v>0</v>
      </c>
      <c r="AW55" s="50">
        <v>0</v>
      </c>
      <c r="AX55" s="49">
        <v>0</v>
      </c>
      <c r="AY55" s="50">
        <v>0</v>
      </c>
      <c r="AZ55" s="49">
        <v>0</v>
      </c>
      <c r="BA55" s="50">
        <v>0</v>
      </c>
      <c r="BB55" s="49">
        <v>2</v>
      </c>
      <c r="BC55" s="50">
        <v>100</v>
      </c>
      <c r="BD55" s="49">
        <v>2</v>
      </c>
      <c r="BE55" s="49"/>
      <c r="BF55" s="49"/>
      <c r="BG55" s="49"/>
      <c r="BH55" s="49"/>
      <c r="BI55" s="49"/>
      <c r="BJ55" s="49"/>
      <c r="BK55" s="127" t="s">
        <v>1076</v>
      </c>
      <c r="BL55" s="127" t="s">
        <v>1076</v>
      </c>
      <c r="BM55" s="127" t="s">
        <v>666</v>
      </c>
      <c r="BN55" s="127" t="s">
        <v>666</v>
      </c>
      <c r="BO55" s="2"/>
      <c r="BP55" s="3"/>
      <c r="BQ55" s="3"/>
      <c r="BR55" s="3"/>
      <c r="BS55" s="3"/>
    </row>
    <row r="56" spans="1:71" ht="15">
      <c r="A56" s="65" t="s">
        <v>250</v>
      </c>
      <c r="B56" s="66"/>
      <c r="C56" s="66"/>
      <c r="D56" s="67">
        <v>150</v>
      </c>
      <c r="E56" s="69"/>
      <c r="F56" s="108" t="str">
        <f>HYPERLINK("https://yt3.ggpht.com/ytc/AAUvwngJ9nhWIJOEZP445Be8Z3ue0giz5C04HSyScDGh=s88-c-k-c0x00ffffff-no-rj")</f>
        <v>https://yt3.ggpht.com/ytc/AAUvwngJ9nhWIJOEZP445Be8Z3ue0giz5C04HSyScDGh=s88-c-k-c0x00ffffff-no-rj</v>
      </c>
      <c r="G56" s="66"/>
      <c r="H56" s="70" t="s">
        <v>529</v>
      </c>
      <c r="I56" s="71"/>
      <c r="J56" s="71" t="s">
        <v>159</v>
      </c>
      <c r="K56" s="70" t="s">
        <v>529</v>
      </c>
      <c r="L56" s="74">
        <v>1</v>
      </c>
      <c r="M56" s="75">
        <v>7150.1875</v>
      </c>
      <c r="N56" s="75">
        <v>8123.12548828125</v>
      </c>
      <c r="O56" s="76"/>
      <c r="P56" s="77"/>
      <c r="Q56" s="77"/>
      <c r="R56" s="101"/>
      <c r="S56" s="49">
        <v>0</v>
      </c>
      <c r="T56" s="49">
        <v>1</v>
      </c>
      <c r="U56" s="50">
        <v>0</v>
      </c>
      <c r="V56" s="50">
        <v>0.022727</v>
      </c>
      <c r="W56" s="50">
        <v>0</v>
      </c>
      <c r="X56" s="50">
        <v>0.549699</v>
      </c>
      <c r="Y56" s="50">
        <v>0</v>
      </c>
      <c r="Z56" s="50">
        <v>0</v>
      </c>
      <c r="AA56" s="72">
        <v>56</v>
      </c>
      <c r="AB56" s="72"/>
      <c r="AC56" s="73"/>
      <c r="AD56" s="89" t="s">
        <v>529</v>
      </c>
      <c r="AE56" s="89"/>
      <c r="AF56" s="89"/>
      <c r="AG56" s="89"/>
      <c r="AH56" s="89"/>
      <c r="AI56" s="89"/>
      <c r="AJ56" s="98">
        <v>44234.93047453704</v>
      </c>
      <c r="AK56" s="95" t="str">
        <f>HYPERLINK("https://yt3.ggpht.com/ytc/AAUvwngJ9nhWIJOEZP445Be8Z3ue0giz5C04HSyScDGh=s88-c-k-c0x00ffffff-no-rj")</f>
        <v>https://yt3.ggpht.com/ytc/AAUvwngJ9nhWIJOEZP445Be8Z3ue0giz5C04HSyScDGh=s88-c-k-c0x00ffffff-no-rj</v>
      </c>
      <c r="AL56" s="89">
        <v>0</v>
      </c>
      <c r="AM56" s="89">
        <v>0</v>
      </c>
      <c r="AN56" s="89">
        <v>6</v>
      </c>
      <c r="AO56" s="89" t="b">
        <v>0</v>
      </c>
      <c r="AP56" s="89">
        <v>0</v>
      </c>
      <c r="AQ56" s="89"/>
      <c r="AR56" s="89"/>
      <c r="AS56" s="89" t="s">
        <v>736</v>
      </c>
      <c r="AT56" s="95" t="str">
        <f>HYPERLINK("https://www.youtube.com/channel/UCHprdtYyCzc5-fcSNXCUd7A")</f>
        <v>https://www.youtube.com/channel/UCHprdtYyCzc5-fcSNXCUd7A</v>
      </c>
      <c r="AU56" s="89" t="str">
        <f>REPLACE(INDEX(GroupVertices[Group],MATCH(Vertices[[#This Row],[Vertex]],GroupVertices[Vertex],0)),1,1,"")</f>
        <v>3</v>
      </c>
      <c r="AV56" s="49">
        <v>2</v>
      </c>
      <c r="AW56" s="50">
        <v>9.523809523809524</v>
      </c>
      <c r="AX56" s="49">
        <v>0</v>
      </c>
      <c r="AY56" s="50">
        <v>0</v>
      </c>
      <c r="AZ56" s="49">
        <v>0</v>
      </c>
      <c r="BA56" s="50">
        <v>0</v>
      </c>
      <c r="BB56" s="49">
        <v>19</v>
      </c>
      <c r="BC56" s="50">
        <v>90.47619047619048</v>
      </c>
      <c r="BD56" s="49">
        <v>21</v>
      </c>
      <c r="BE56" s="49"/>
      <c r="BF56" s="49"/>
      <c r="BG56" s="49"/>
      <c r="BH56" s="49"/>
      <c r="BI56" s="49"/>
      <c r="BJ56" s="49"/>
      <c r="BK56" s="127" t="s">
        <v>1077</v>
      </c>
      <c r="BL56" s="127" t="s">
        <v>1077</v>
      </c>
      <c r="BM56" s="127" t="s">
        <v>1159</v>
      </c>
      <c r="BN56" s="127" t="s">
        <v>1159</v>
      </c>
      <c r="BO56" s="2"/>
      <c r="BP56" s="3"/>
      <c r="BQ56" s="3"/>
      <c r="BR56" s="3"/>
      <c r="BS56" s="3"/>
    </row>
    <row r="57" spans="1:71" ht="15">
      <c r="A57" s="65" t="s">
        <v>248</v>
      </c>
      <c r="B57" s="66"/>
      <c r="C57" s="66"/>
      <c r="D57" s="67">
        <v>150</v>
      </c>
      <c r="E57" s="69"/>
      <c r="F57" s="108" t="str">
        <f>HYPERLINK("https://yt3.ggpht.com/ytc/AAUvwnjMyUjqSKQCdQAWO4-pTb9of7EEP8nFYjId3g=s88-c-k-c0x00ffffff-no-rj")</f>
        <v>https://yt3.ggpht.com/ytc/AAUvwnjMyUjqSKQCdQAWO4-pTb9of7EEP8nFYjId3g=s88-c-k-c0x00ffffff-no-rj</v>
      </c>
      <c r="G57" s="66"/>
      <c r="H57" s="70" t="s">
        <v>527</v>
      </c>
      <c r="I57" s="71"/>
      <c r="J57" s="71" t="s">
        <v>159</v>
      </c>
      <c r="K57" s="70" t="s">
        <v>527</v>
      </c>
      <c r="L57" s="74">
        <v>1</v>
      </c>
      <c r="M57" s="75">
        <v>7474.59228515625</v>
      </c>
      <c r="N57" s="75">
        <v>6890.79052734375</v>
      </c>
      <c r="O57" s="76"/>
      <c r="P57" s="77"/>
      <c r="Q57" s="77"/>
      <c r="R57" s="101"/>
      <c r="S57" s="49">
        <v>0</v>
      </c>
      <c r="T57" s="49">
        <v>1</v>
      </c>
      <c r="U57" s="50">
        <v>0</v>
      </c>
      <c r="V57" s="50">
        <v>0.022727</v>
      </c>
      <c r="W57" s="50">
        <v>0</v>
      </c>
      <c r="X57" s="50">
        <v>0.549699</v>
      </c>
      <c r="Y57" s="50">
        <v>0</v>
      </c>
      <c r="Z57" s="50">
        <v>0</v>
      </c>
      <c r="AA57" s="72">
        <v>57</v>
      </c>
      <c r="AB57" s="72"/>
      <c r="AC57" s="73"/>
      <c r="AD57" s="89" t="s">
        <v>527</v>
      </c>
      <c r="AE57" s="89"/>
      <c r="AF57" s="89"/>
      <c r="AG57" s="89"/>
      <c r="AH57" s="89"/>
      <c r="AI57" s="89"/>
      <c r="AJ57" s="98">
        <v>44223.08053240741</v>
      </c>
      <c r="AK57" s="95" t="str">
        <f>HYPERLINK("https://yt3.ggpht.com/ytc/AAUvwnjMyUjqSKQCdQAWO4-pTb9of7EEP8nFYjId3g=s88-c-k-c0x00ffffff-no-rj")</f>
        <v>https://yt3.ggpht.com/ytc/AAUvwnjMyUjqSKQCdQAWO4-pTb9of7EEP8nFYjId3g=s88-c-k-c0x00ffffff-no-rj</v>
      </c>
      <c r="AL57" s="89">
        <v>0</v>
      </c>
      <c r="AM57" s="89">
        <v>0</v>
      </c>
      <c r="AN57" s="89">
        <v>0</v>
      </c>
      <c r="AO57" s="89" t="b">
        <v>0</v>
      </c>
      <c r="AP57" s="89">
        <v>0</v>
      </c>
      <c r="AQ57" s="89"/>
      <c r="AR57" s="89"/>
      <c r="AS57" s="89" t="s">
        <v>736</v>
      </c>
      <c r="AT57" s="95" t="str">
        <f>HYPERLINK("https://www.youtube.com/channel/UCvE3AycU51EI-M1VKvfL2QA")</f>
        <v>https://www.youtube.com/channel/UCvE3AycU51EI-M1VKvfL2QA</v>
      </c>
      <c r="AU57" s="89" t="str">
        <f>REPLACE(INDEX(GroupVertices[Group],MATCH(Vertices[[#This Row],[Vertex]],GroupVertices[Vertex],0)),1,1,"")</f>
        <v>3</v>
      </c>
      <c r="AV57" s="49">
        <v>1</v>
      </c>
      <c r="AW57" s="50">
        <v>50</v>
      </c>
      <c r="AX57" s="49">
        <v>0</v>
      </c>
      <c r="AY57" s="50">
        <v>0</v>
      </c>
      <c r="AZ57" s="49">
        <v>0</v>
      </c>
      <c r="BA57" s="50">
        <v>0</v>
      </c>
      <c r="BB57" s="49">
        <v>1</v>
      </c>
      <c r="BC57" s="50">
        <v>50</v>
      </c>
      <c r="BD57" s="49">
        <v>2</v>
      </c>
      <c r="BE57" s="49"/>
      <c r="BF57" s="49"/>
      <c r="BG57" s="49"/>
      <c r="BH57" s="49"/>
      <c r="BI57" s="49"/>
      <c r="BJ57" s="49"/>
      <c r="BK57" s="127" t="s">
        <v>782</v>
      </c>
      <c r="BL57" s="127" t="s">
        <v>782</v>
      </c>
      <c r="BM57" s="127" t="s">
        <v>666</v>
      </c>
      <c r="BN57" s="127" t="s">
        <v>666</v>
      </c>
      <c r="BO57" s="2"/>
      <c r="BP57" s="3"/>
      <c r="BQ57" s="3"/>
      <c r="BR57" s="3"/>
      <c r="BS57" s="3"/>
    </row>
    <row r="58" spans="1:71" ht="15">
      <c r="A58" s="65" t="s">
        <v>263</v>
      </c>
      <c r="B58" s="66"/>
      <c r="C58" s="66"/>
      <c r="D58" s="67">
        <v>150</v>
      </c>
      <c r="E58" s="69"/>
      <c r="F58" s="108" t="str">
        <f>HYPERLINK("https://yt3.ggpht.com/ytc/AAUvwniZIrdyuobnOiIK-yni0Zzq192m6uGJMn3qO4sC=s88-c-k-c0x00ffffff-no-rj")</f>
        <v>https://yt3.ggpht.com/ytc/AAUvwniZIrdyuobnOiIK-yni0Zzq192m6uGJMn3qO4sC=s88-c-k-c0x00ffffff-no-rj</v>
      </c>
      <c r="G58" s="66"/>
      <c r="H58" s="70" t="s">
        <v>542</v>
      </c>
      <c r="I58" s="71"/>
      <c r="J58" s="71" t="s">
        <v>159</v>
      </c>
      <c r="K58" s="70" t="s">
        <v>542</v>
      </c>
      <c r="L58" s="74">
        <v>1</v>
      </c>
      <c r="M58" s="75">
        <v>305.1112060546875</v>
      </c>
      <c r="N58" s="75">
        <v>2202.948486328125</v>
      </c>
      <c r="O58" s="76"/>
      <c r="P58" s="77"/>
      <c r="Q58" s="77"/>
      <c r="R58" s="101"/>
      <c r="S58" s="49">
        <v>0</v>
      </c>
      <c r="T58" s="49">
        <v>1</v>
      </c>
      <c r="U58" s="50">
        <v>0</v>
      </c>
      <c r="V58" s="50">
        <v>0.004695</v>
      </c>
      <c r="W58" s="50">
        <v>0.011737</v>
      </c>
      <c r="X58" s="50">
        <v>0.473657</v>
      </c>
      <c r="Y58" s="50">
        <v>0</v>
      </c>
      <c r="Z58" s="50">
        <v>0</v>
      </c>
      <c r="AA58" s="72">
        <v>58</v>
      </c>
      <c r="AB58" s="72"/>
      <c r="AC58" s="73"/>
      <c r="AD58" s="89" t="s">
        <v>542</v>
      </c>
      <c r="AE58" s="89"/>
      <c r="AF58" s="89"/>
      <c r="AG58" s="89"/>
      <c r="AH58" s="89"/>
      <c r="AI58" s="89"/>
      <c r="AJ58" s="98">
        <v>42729.64179398148</v>
      </c>
      <c r="AK58" s="95" t="str">
        <f>HYPERLINK("https://yt3.ggpht.com/ytc/AAUvwniZIrdyuobnOiIK-yni0Zzq192m6uGJMn3qO4sC=s88-c-k-c0x00ffffff-no-rj")</f>
        <v>https://yt3.ggpht.com/ytc/AAUvwniZIrdyuobnOiIK-yni0Zzq192m6uGJMn3qO4sC=s88-c-k-c0x00ffffff-no-rj</v>
      </c>
      <c r="AL58" s="89">
        <v>0</v>
      </c>
      <c r="AM58" s="89">
        <v>0</v>
      </c>
      <c r="AN58" s="89">
        <v>1</v>
      </c>
      <c r="AO58" s="89" t="b">
        <v>0</v>
      </c>
      <c r="AP58" s="89">
        <v>0</v>
      </c>
      <c r="AQ58" s="89"/>
      <c r="AR58" s="89"/>
      <c r="AS58" s="89" t="s">
        <v>736</v>
      </c>
      <c r="AT58" s="95" t="str">
        <f>HYPERLINK("https://www.youtube.com/channel/UCnOEYCZM5jwEFOFP1NYz82A")</f>
        <v>https://www.youtube.com/channel/UCnOEYCZM5jwEFOFP1NYz82A</v>
      </c>
      <c r="AU58" s="89" t="str">
        <f>REPLACE(INDEX(GroupVertices[Group],MATCH(Vertices[[#This Row],[Vertex]],GroupVertices[Vertex],0)),1,1,"")</f>
        <v>1</v>
      </c>
      <c r="AV58" s="49">
        <v>3</v>
      </c>
      <c r="AW58" s="50">
        <v>30</v>
      </c>
      <c r="AX58" s="49">
        <v>0</v>
      </c>
      <c r="AY58" s="50">
        <v>0</v>
      </c>
      <c r="AZ58" s="49">
        <v>0</v>
      </c>
      <c r="BA58" s="50">
        <v>0</v>
      </c>
      <c r="BB58" s="49">
        <v>7</v>
      </c>
      <c r="BC58" s="50">
        <v>70</v>
      </c>
      <c r="BD58" s="49">
        <v>10</v>
      </c>
      <c r="BE58" s="49"/>
      <c r="BF58" s="49"/>
      <c r="BG58" s="49"/>
      <c r="BH58" s="49"/>
      <c r="BI58" s="49"/>
      <c r="BJ58" s="49"/>
      <c r="BK58" s="127" t="s">
        <v>1078</v>
      </c>
      <c r="BL58" s="127" t="s">
        <v>1078</v>
      </c>
      <c r="BM58" s="127" t="s">
        <v>1160</v>
      </c>
      <c r="BN58" s="127" t="s">
        <v>1160</v>
      </c>
      <c r="BO58" s="2"/>
      <c r="BP58" s="3"/>
      <c r="BQ58" s="3"/>
      <c r="BR58" s="3"/>
      <c r="BS58" s="3"/>
    </row>
    <row r="59" spans="1:71" ht="15">
      <c r="A59" s="65" t="s">
        <v>289</v>
      </c>
      <c r="B59" s="66"/>
      <c r="C59" s="66"/>
      <c r="D59" s="67">
        <v>150</v>
      </c>
      <c r="E59" s="69"/>
      <c r="F59" s="108" t="str">
        <f>HYPERLINK("https://yt3.ggpht.com/ytc/AAUvwnjpFFy5SAUkuvUehl5c5q8LXu4gFriuVkYRnw=s88-c-k-c0x00ffffff-no-rj")</f>
        <v>https://yt3.ggpht.com/ytc/AAUvwnjpFFy5SAUkuvUehl5c5q8LXu4gFriuVkYRnw=s88-c-k-c0x00ffffff-no-rj</v>
      </c>
      <c r="G59" s="66"/>
      <c r="H59" s="70" t="s">
        <v>568</v>
      </c>
      <c r="I59" s="71"/>
      <c r="J59" s="71" t="s">
        <v>159</v>
      </c>
      <c r="K59" s="70" t="s">
        <v>568</v>
      </c>
      <c r="L59" s="74">
        <v>1</v>
      </c>
      <c r="M59" s="75">
        <v>6461.6083984375</v>
      </c>
      <c r="N59" s="75">
        <v>9002.6767578125</v>
      </c>
      <c r="O59" s="76"/>
      <c r="P59" s="77"/>
      <c r="Q59" s="77"/>
      <c r="R59" s="101"/>
      <c r="S59" s="49">
        <v>0</v>
      </c>
      <c r="T59" s="49">
        <v>1</v>
      </c>
      <c r="U59" s="50">
        <v>0</v>
      </c>
      <c r="V59" s="50">
        <v>0.003937</v>
      </c>
      <c r="W59" s="50">
        <v>0.004527</v>
      </c>
      <c r="X59" s="50">
        <v>0.486308</v>
      </c>
      <c r="Y59" s="50">
        <v>0</v>
      </c>
      <c r="Z59" s="50">
        <v>0</v>
      </c>
      <c r="AA59" s="72">
        <v>59</v>
      </c>
      <c r="AB59" s="72"/>
      <c r="AC59" s="73"/>
      <c r="AD59" s="89" t="s">
        <v>568</v>
      </c>
      <c r="AE59" s="89"/>
      <c r="AF59" s="89"/>
      <c r="AG59" s="89"/>
      <c r="AH59" s="89"/>
      <c r="AI59" s="89"/>
      <c r="AJ59" s="98">
        <v>44039.295625</v>
      </c>
      <c r="AK59" s="95" t="str">
        <f>HYPERLINK("https://yt3.ggpht.com/ytc/AAUvwnjpFFy5SAUkuvUehl5c5q8LXu4gFriuVkYRnw=s88-c-k-c0x00ffffff-no-rj")</f>
        <v>https://yt3.ggpht.com/ytc/AAUvwnjpFFy5SAUkuvUehl5c5q8LXu4gFriuVkYRnw=s88-c-k-c0x00ffffff-no-rj</v>
      </c>
      <c r="AL59" s="89">
        <v>0</v>
      </c>
      <c r="AM59" s="89">
        <v>0</v>
      </c>
      <c r="AN59" s="89">
        <v>0</v>
      </c>
      <c r="AO59" s="89" t="b">
        <v>0</v>
      </c>
      <c r="AP59" s="89">
        <v>0</v>
      </c>
      <c r="AQ59" s="89"/>
      <c r="AR59" s="89"/>
      <c r="AS59" s="89" t="s">
        <v>736</v>
      </c>
      <c r="AT59" s="95" t="str">
        <f>HYPERLINK("https://www.youtube.com/channel/UCnr_NEU1KQ6uBsB0-pj7Z2Q")</f>
        <v>https://www.youtube.com/channel/UCnr_NEU1KQ6uBsB0-pj7Z2Q</v>
      </c>
      <c r="AU59" s="89" t="str">
        <f>REPLACE(INDEX(GroupVertices[Group],MATCH(Vertices[[#This Row],[Vertex]],GroupVertices[Vertex],0)),1,1,"")</f>
        <v>2</v>
      </c>
      <c r="AV59" s="49">
        <v>0</v>
      </c>
      <c r="AW59" s="50">
        <v>0</v>
      </c>
      <c r="AX59" s="49">
        <v>0</v>
      </c>
      <c r="AY59" s="50">
        <v>0</v>
      </c>
      <c r="AZ59" s="49">
        <v>0</v>
      </c>
      <c r="BA59" s="50">
        <v>0</v>
      </c>
      <c r="BB59" s="49">
        <v>2</v>
      </c>
      <c r="BC59" s="50">
        <v>100</v>
      </c>
      <c r="BD59" s="49">
        <v>2</v>
      </c>
      <c r="BE59" s="49"/>
      <c r="BF59" s="49"/>
      <c r="BG59" s="49"/>
      <c r="BH59" s="49"/>
      <c r="BI59" s="49"/>
      <c r="BJ59" s="49"/>
      <c r="BK59" s="127" t="s">
        <v>666</v>
      </c>
      <c r="BL59" s="127" t="s">
        <v>666</v>
      </c>
      <c r="BM59" s="127" t="s">
        <v>666</v>
      </c>
      <c r="BN59" s="127" t="s">
        <v>666</v>
      </c>
      <c r="BO59" s="2"/>
      <c r="BP59" s="3"/>
      <c r="BQ59" s="3"/>
      <c r="BR59" s="3"/>
      <c r="BS59" s="3"/>
    </row>
    <row r="60" spans="1:71" ht="15">
      <c r="A60" s="65" t="s">
        <v>336</v>
      </c>
      <c r="B60" s="66"/>
      <c r="C60" s="66"/>
      <c r="D60" s="67">
        <v>150</v>
      </c>
      <c r="E60" s="69"/>
      <c r="F60" s="108" t="str">
        <f>HYPERLINK("https://yt3.ggpht.com/ytc/AAUvwng16vW--E5QpP_e2AB25FxwAzWzDD6pMrJ1YwaU=s88-c-k-c0x00ffffff-no-rj")</f>
        <v>https://yt3.ggpht.com/ytc/AAUvwng16vW--E5QpP_e2AB25FxwAzWzDD6pMrJ1YwaU=s88-c-k-c0x00ffffff-no-rj</v>
      </c>
      <c r="G60" s="66"/>
      <c r="H60" s="70" t="s">
        <v>615</v>
      </c>
      <c r="I60" s="71"/>
      <c r="J60" s="71" t="s">
        <v>159</v>
      </c>
      <c r="K60" s="70" t="s">
        <v>615</v>
      </c>
      <c r="L60" s="74">
        <v>1</v>
      </c>
      <c r="M60" s="75">
        <v>723.85107421875</v>
      </c>
      <c r="N60" s="75">
        <v>4017.861328125</v>
      </c>
      <c r="O60" s="76"/>
      <c r="P60" s="77"/>
      <c r="Q60" s="77"/>
      <c r="R60" s="101"/>
      <c r="S60" s="49">
        <v>0</v>
      </c>
      <c r="T60" s="49">
        <v>1</v>
      </c>
      <c r="U60" s="50">
        <v>0</v>
      </c>
      <c r="V60" s="50">
        <v>0.004695</v>
      </c>
      <c r="W60" s="50">
        <v>0.011737</v>
      </c>
      <c r="X60" s="50">
        <v>0.473657</v>
      </c>
      <c r="Y60" s="50">
        <v>0</v>
      </c>
      <c r="Z60" s="50">
        <v>0</v>
      </c>
      <c r="AA60" s="72">
        <v>60</v>
      </c>
      <c r="AB60" s="72"/>
      <c r="AC60" s="73"/>
      <c r="AD60" s="89" t="s">
        <v>615</v>
      </c>
      <c r="AE60" s="89"/>
      <c r="AF60" s="89"/>
      <c r="AG60" s="89"/>
      <c r="AH60" s="89"/>
      <c r="AI60" s="89"/>
      <c r="AJ60" s="98">
        <v>44113.293078703704</v>
      </c>
      <c r="AK60" s="95" t="str">
        <f>HYPERLINK("https://yt3.ggpht.com/ytc/AAUvwng16vW--E5QpP_e2AB25FxwAzWzDD6pMrJ1YwaU=s88-c-k-c0x00ffffff-no-rj")</f>
        <v>https://yt3.ggpht.com/ytc/AAUvwng16vW--E5QpP_e2AB25FxwAzWzDD6pMrJ1YwaU=s88-c-k-c0x00ffffff-no-rj</v>
      </c>
      <c r="AL60" s="89">
        <v>0</v>
      </c>
      <c r="AM60" s="89">
        <v>0</v>
      </c>
      <c r="AN60" s="89">
        <v>0</v>
      </c>
      <c r="AO60" s="89" t="b">
        <v>0</v>
      </c>
      <c r="AP60" s="89">
        <v>0</v>
      </c>
      <c r="AQ60" s="89"/>
      <c r="AR60" s="89"/>
      <c r="AS60" s="89" t="s">
        <v>736</v>
      </c>
      <c r="AT60" s="95" t="str">
        <f>HYPERLINK("https://www.youtube.com/channel/UChTJoaRW4cXLkDd7UQsILEw")</f>
        <v>https://www.youtube.com/channel/UChTJoaRW4cXLkDd7UQsILEw</v>
      </c>
      <c r="AU60" s="89" t="str">
        <f>REPLACE(INDEX(GroupVertices[Group],MATCH(Vertices[[#This Row],[Vertex]],GroupVertices[Vertex],0)),1,1,"")</f>
        <v>1</v>
      </c>
      <c r="AV60" s="49">
        <v>0</v>
      </c>
      <c r="AW60" s="50">
        <v>0</v>
      </c>
      <c r="AX60" s="49">
        <v>0</v>
      </c>
      <c r="AY60" s="50">
        <v>0</v>
      </c>
      <c r="AZ60" s="49">
        <v>0</v>
      </c>
      <c r="BA60" s="50">
        <v>0</v>
      </c>
      <c r="BB60" s="49">
        <v>9</v>
      </c>
      <c r="BC60" s="50">
        <v>100</v>
      </c>
      <c r="BD60" s="49">
        <v>9</v>
      </c>
      <c r="BE60" s="49"/>
      <c r="BF60" s="49"/>
      <c r="BG60" s="49"/>
      <c r="BH60" s="49"/>
      <c r="BI60" s="49"/>
      <c r="BJ60" s="49"/>
      <c r="BK60" s="127" t="s">
        <v>1079</v>
      </c>
      <c r="BL60" s="127" t="s">
        <v>1079</v>
      </c>
      <c r="BM60" s="127" t="s">
        <v>1161</v>
      </c>
      <c r="BN60" s="127" t="s">
        <v>1161</v>
      </c>
      <c r="BO60" s="2"/>
      <c r="BP60" s="3"/>
      <c r="BQ60" s="3"/>
      <c r="BR60" s="3"/>
      <c r="BS60" s="3"/>
    </row>
    <row r="61" spans="1:71" ht="15">
      <c r="A61" s="65" t="s">
        <v>283</v>
      </c>
      <c r="B61" s="66"/>
      <c r="C61" s="66"/>
      <c r="D61" s="67">
        <v>150</v>
      </c>
      <c r="E61" s="69"/>
      <c r="F61" s="108" t="str">
        <f>HYPERLINK("https://yt3.ggpht.com/ytc/AAUvwnjxmpDF8hs3Iwg76ZXiIDkt2IpETqGGPbLwPuw9xg=s88-c-k-c0x00ffffff-no-rj")</f>
        <v>https://yt3.ggpht.com/ytc/AAUvwnjxmpDF8hs3Iwg76ZXiIDkt2IpETqGGPbLwPuw9xg=s88-c-k-c0x00ffffff-no-rj</v>
      </c>
      <c r="G61" s="66"/>
      <c r="H61" s="70" t="s">
        <v>562</v>
      </c>
      <c r="I61" s="71"/>
      <c r="J61" s="71" t="s">
        <v>159</v>
      </c>
      <c r="K61" s="70" t="s">
        <v>562</v>
      </c>
      <c r="L61" s="74">
        <v>1</v>
      </c>
      <c r="M61" s="75">
        <v>4104.06591796875</v>
      </c>
      <c r="N61" s="75">
        <v>5477.92578125</v>
      </c>
      <c r="O61" s="76"/>
      <c r="P61" s="77"/>
      <c r="Q61" s="77"/>
      <c r="R61" s="101"/>
      <c r="S61" s="49">
        <v>0</v>
      </c>
      <c r="T61" s="49">
        <v>1</v>
      </c>
      <c r="U61" s="50">
        <v>0</v>
      </c>
      <c r="V61" s="50">
        <v>0.003937</v>
      </c>
      <c r="W61" s="50">
        <v>0.004527</v>
      </c>
      <c r="X61" s="50">
        <v>0.486308</v>
      </c>
      <c r="Y61" s="50">
        <v>0</v>
      </c>
      <c r="Z61" s="50">
        <v>0</v>
      </c>
      <c r="AA61" s="72">
        <v>61</v>
      </c>
      <c r="AB61" s="72"/>
      <c r="AC61" s="73"/>
      <c r="AD61" s="89" t="s">
        <v>562</v>
      </c>
      <c r="AE61" s="89" t="s">
        <v>703</v>
      </c>
      <c r="AF61" s="89"/>
      <c r="AG61" s="89"/>
      <c r="AH61" s="89"/>
      <c r="AI61" s="89"/>
      <c r="AJ61" s="98">
        <v>43546.05578703704</v>
      </c>
      <c r="AK61" s="95" t="str">
        <f>HYPERLINK("https://yt3.ggpht.com/ytc/AAUvwnjxmpDF8hs3Iwg76ZXiIDkt2IpETqGGPbLwPuw9xg=s88-c-k-c0x00ffffff-no-rj")</f>
        <v>https://yt3.ggpht.com/ytc/AAUvwnjxmpDF8hs3Iwg76ZXiIDkt2IpETqGGPbLwPuw9xg=s88-c-k-c0x00ffffff-no-rj</v>
      </c>
      <c r="AL61" s="89">
        <v>0</v>
      </c>
      <c r="AM61" s="89">
        <v>0</v>
      </c>
      <c r="AN61" s="89">
        <v>12</v>
      </c>
      <c r="AO61" s="89" t="b">
        <v>0</v>
      </c>
      <c r="AP61" s="89">
        <v>0</v>
      </c>
      <c r="AQ61" s="89"/>
      <c r="AR61" s="89"/>
      <c r="AS61" s="89" t="s">
        <v>736</v>
      </c>
      <c r="AT61" s="95" t="str">
        <f>HYPERLINK("https://www.youtube.com/channel/UCcR3lvb6rzItuTw9H5_I2TQ")</f>
        <v>https://www.youtube.com/channel/UCcR3lvb6rzItuTw9H5_I2TQ</v>
      </c>
      <c r="AU61" s="89" t="str">
        <f>REPLACE(INDEX(GroupVertices[Group],MATCH(Vertices[[#This Row],[Vertex]],GroupVertices[Vertex],0)),1,1,"")</f>
        <v>2</v>
      </c>
      <c r="AV61" s="49">
        <v>0</v>
      </c>
      <c r="AW61" s="50">
        <v>0</v>
      </c>
      <c r="AX61" s="49">
        <v>0</v>
      </c>
      <c r="AY61" s="50">
        <v>0</v>
      </c>
      <c r="AZ61" s="49">
        <v>0</v>
      </c>
      <c r="BA61" s="50">
        <v>0</v>
      </c>
      <c r="BB61" s="49">
        <v>1</v>
      </c>
      <c r="BC61" s="50">
        <v>100</v>
      </c>
      <c r="BD61" s="49">
        <v>1</v>
      </c>
      <c r="BE61" s="49"/>
      <c r="BF61" s="49"/>
      <c r="BG61" s="49"/>
      <c r="BH61" s="49"/>
      <c r="BI61" s="49"/>
      <c r="BJ61" s="49"/>
      <c r="BK61" s="127" t="s">
        <v>666</v>
      </c>
      <c r="BL61" s="127" t="s">
        <v>666</v>
      </c>
      <c r="BM61" s="127" t="s">
        <v>666</v>
      </c>
      <c r="BN61" s="127" t="s">
        <v>666</v>
      </c>
      <c r="BO61" s="2"/>
      <c r="BP61" s="3"/>
      <c r="BQ61" s="3"/>
      <c r="BR61" s="3"/>
      <c r="BS61" s="3"/>
    </row>
    <row r="62" spans="1:71" ht="15">
      <c r="A62" s="65" t="s">
        <v>242</v>
      </c>
      <c r="B62" s="66"/>
      <c r="C62" s="66"/>
      <c r="D62" s="67">
        <v>150</v>
      </c>
      <c r="E62" s="69"/>
      <c r="F62" s="108" t="str">
        <f>HYPERLINK("https://yt3.ggpht.com/ytc/AAUvwnjLLRAv8LJbO25SskKqeJ3nFyHyxHWPzn-ILEAG=s88-c-k-c0x00ffffff-no-rj")</f>
        <v>https://yt3.ggpht.com/ytc/AAUvwnjLLRAv8LJbO25SskKqeJ3nFyHyxHWPzn-ILEAG=s88-c-k-c0x00ffffff-no-rj</v>
      </c>
      <c r="G62" s="66"/>
      <c r="H62" s="70" t="s">
        <v>521</v>
      </c>
      <c r="I62" s="71"/>
      <c r="J62" s="71" t="s">
        <v>159</v>
      </c>
      <c r="K62" s="70" t="s">
        <v>521</v>
      </c>
      <c r="L62" s="74">
        <v>1</v>
      </c>
      <c r="M62" s="75">
        <v>8699.130859375</v>
      </c>
      <c r="N62" s="75">
        <v>9267.58984375</v>
      </c>
      <c r="O62" s="76"/>
      <c r="P62" s="77"/>
      <c r="Q62" s="77"/>
      <c r="R62" s="101"/>
      <c r="S62" s="49">
        <v>0</v>
      </c>
      <c r="T62" s="49">
        <v>1</v>
      </c>
      <c r="U62" s="50">
        <v>0</v>
      </c>
      <c r="V62" s="50">
        <v>0.022727</v>
      </c>
      <c r="W62" s="50">
        <v>0</v>
      </c>
      <c r="X62" s="50">
        <v>0.549699</v>
      </c>
      <c r="Y62" s="50">
        <v>0</v>
      </c>
      <c r="Z62" s="50">
        <v>0</v>
      </c>
      <c r="AA62" s="72">
        <v>62</v>
      </c>
      <c r="AB62" s="72"/>
      <c r="AC62" s="73"/>
      <c r="AD62" s="89" t="s">
        <v>521</v>
      </c>
      <c r="AE62" s="89"/>
      <c r="AF62" s="89"/>
      <c r="AG62" s="89"/>
      <c r="AH62" s="89"/>
      <c r="AI62" s="89"/>
      <c r="AJ62" s="98">
        <v>43504.825740740744</v>
      </c>
      <c r="AK62" s="95" t="str">
        <f>HYPERLINK("https://yt3.ggpht.com/ytc/AAUvwnjLLRAv8LJbO25SskKqeJ3nFyHyxHWPzn-ILEAG=s88-c-k-c0x00ffffff-no-rj")</f>
        <v>https://yt3.ggpht.com/ytc/AAUvwnjLLRAv8LJbO25SskKqeJ3nFyHyxHWPzn-ILEAG=s88-c-k-c0x00ffffff-no-rj</v>
      </c>
      <c r="AL62" s="89">
        <v>0</v>
      </c>
      <c r="AM62" s="89">
        <v>0</v>
      </c>
      <c r="AN62" s="89">
        <v>2</v>
      </c>
      <c r="AO62" s="89" t="b">
        <v>0</v>
      </c>
      <c r="AP62" s="89">
        <v>0</v>
      </c>
      <c r="AQ62" s="89"/>
      <c r="AR62" s="89"/>
      <c r="AS62" s="89" t="s">
        <v>736</v>
      </c>
      <c r="AT62" s="95" t="str">
        <f>HYPERLINK("https://www.youtube.com/channel/UCNpJn9ONNVoW_DGiP6khUFg")</f>
        <v>https://www.youtube.com/channel/UCNpJn9ONNVoW_DGiP6khUFg</v>
      </c>
      <c r="AU62" s="89" t="str">
        <f>REPLACE(INDEX(GroupVertices[Group],MATCH(Vertices[[#This Row],[Vertex]],GroupVertices[Vertex],0)),1,1,"")</f>
        <v>3</v>
      </c>
      <c r="AV62" s="49">
        <v>1</v>
      </c>
      <c r="AW62" s="50">
        <v>25</v>
      </c>
      <c r="AX62" s="49">
        <v>0</v>
      </c>
      <c r="AY62" s="50">
        <v>0</v>
      </c>
      <c r="AZ62" s="49">
        <v>0</v>
      </c>
      <c r="BA62" s="50">
        <v>0</v>
      </c>
      <c r="BB62" s="49">
        <v>3</v>
      </c>
      <c r="BC62" s="50">
        <v>75</v>
      </c>
      <c r="BD62" s="49">
        <v>4</v>
      </c>
      <c r="BE62" s="49"/>
      <c r="BF62" s="49"/>
      <c r="BG62" s="49"/>
      <c r="BH62" s="49"/>
      <c r="BI62" s="49"/>
      <c r="BJ62" s="49"/>
      <c r="BK62" s="127" t="s">
        <v>1080</v>
      </c>
      <c r="BL62" s="127" t="s">
        <v>1080</v>
      </c>
      <c r="BM62" s="127" t="s">
        <v>1162</v>
      </c>
      <c r="BN62" s="127" t="s">
        <v>1162</v>
      </c>
      <c r="BO62" s="2"/>
      <c r="BP62" s="3"/>
      <c r="BQ62" s="3"/>
      <c r="BR62" s="3"/>
      <c r="BS62" s="3"/>
    </row>
    <row r="63" spans="1:71" ht="15">
      <c r="A63" s="65" t="s">
        <v>233</v>
      </c>
      <c r="B63" s="66"/>
      <c r="C63" s="66"/>
      <c r="D63" s="67">
        <v>271.42857142857144</v>
      </c>
      <c r="E63" s="69"/>
      <c r="F63" s="108" t="str">
        <f>HYPERLINK("https://yt3.ggpht.com/ytc/AAUvwnjr2aMs16lLYzE2R4g20ZT8WvLCrTduIva6EklkUQ=s88-c-k-c0x00ffffff-no-rj")</f>
        <v>https://yt3.ggpht.com/ytc/AAUvwnjr2aMs16lLYzE2R4g20ZT8WvLCrTduIva6EklkUQ=s88-c-k-c0x00ffffff-no-rj</v>
      </c>
      <c r="G63" s="66"/>
      <c r="H63" s="70" t="s">
        <v>512</v>
      </c>
      <c r="I63" s="71"/>
      <c r="J63" s="71" t="s">
        <v>159</v>
      </c>
      <c r="K63" s="70" t="s">
        <v>512</v>
      </c>
      <c r="L63" s="74">
        <v>167.63333333333333</v>
      </c>
      <c r="M63" s="75">
        <v>4897.4765625</v>
      </c>
      <c r="N63" s="75">
        <v>2975.044189453125</v>
      </c>
      <c r="O63" s="76"/>
      <c r="P63" s="77"/>
      <c r="Q63" s="77"/>
      <c r="R63" s="101"/>
      <c r="S63" s="49">
        <v>1</v>
      </c>
      <c r="T63" s="49">
        <v>1</v>
      </c>
      <c r="U63" s="50">
        <v>18</v>
      </c>
      <c r="V63" s="50">
        <v>0.047619</v>
      </c>
      <c r="W63" s="50">
        <v>0</v>
      </c>
      <c r="X63" s="50">
        <v>1.06065</v>
      </c>
      <c r="Y63" s="50">
        <v>0</v>
      </c>
      <c r="Z63" s="50">
        <v>0</v>
      </c>
      <c r="AA63" s="72">
        <v>63</v>
      </c>
      <c r="AB63" s="72"/>
      <c r="AC63" s="73"/>
      <c r="AD63" s="89" t="s">
        <v>512</v>
      </c>
      <c r="AE63" s="89"/>
      <c r="AF63" s="89"/>
      <c r="AG63" s="89"/>
      <c r="AH63" s="89"/>
      <c r="AI63" s="89"/>
      <c r="AJ63" s="98">
        <v>41116.237905092596</v>
      </c>
      <c r="AK63" s="95" t="str">
        <f>HYPERLINK("https://yt3.ggpht.com/ytc/AAUvwnjr2aMs16lLYzE2R4g20ZT8WvLCrTduIva6EklkUQ=s88-c-k-c0x00ffffff-no-rj")</f>
        <v>https://yt3.ggpht.com/ytc/AAUvwnjr2aMs16lLYzE2R4g20ZT8WvLCrTduIva6EklkUQ=s88-c-k-c0x00ffffff-no-rj</v>
      </c>
      <c r="AL63" s="89">
        <v>145</v>
      </c>
      <c r="AM63" s="89">
        <v>0</v>
      </c>
      <c r="AN63" s="89">
        <v>14</v>
      </c>
      <c r="AO63" s="89" t="b">
        <v>0</v>
      </c>
      <c r="AP63" s="89">
        <v>3</v>
      </c>
      <c r="AQ63" s="89"/>
      <c r="AR63" s="89"/>
      <c r="AS63" s="89" t="s">
        <v>736</v>
      </c>
      <c r="AT63" s="95" t="str">
        <f>HYPERLINK("https://www.youtube.com/channel/UCwSB6LON4E0a7yTaZxepNZA")</f>
        <v>https://www.youtube.com/channel/UCwSB6LON4E0a7yTaZxepNZA</v>
      </c>
      <c r="AU63" s="89" t="str">
        <f>REPLACE(INDEX(GroupVertices[Group],MATCH(Vertices[[#This Row],[Vertex]],GroupVertices[Vertex],0)),1,1,"")</f>
        <v>4</v>
      </c>
      <c r="AV63" s="49">
        <v>1</v>
      </c>
      <c r="AW63" s="50">
        <v>50</v>
      </c>
      <c r="AX63" s="49">
        <v>0</v>
      </c>
      <c r="AY63" s="50">
        <v>0</v>
      </c>
      <c r="AZ63" s="49">
        <v>0</v>
      </c>
      <c r="BA63" s="50">
        <v>0</v>
      </c>
      <c r="BB63" s="49">
        <v>1</v>
      </c>
      <c r="BC63" s="50">
        <v>50</v>
      </c>
      <c r="BD63" s="49">
        <v>2</v>
      </c>
      <c r="BE63" s="49"/>
      <c r="BF63" s="49"/>
      <c r="BG63" s="49"/>
      <c r="BH63" s="49"/>
      <c r="BI63" s="49"/>
      <c r="BJ63" s="49"/>
      <c r="BK63" s="127" t="s">
        <v>1081</v>
      </c>
      <c r="BL63" s="127" t="s">
        <v>1081</v>
      </c>
      <c r="BM63" s="127" t="s">
        <v>1163</v>
      </c>
      <c r="BN63" s="127" t="s">
        <v>1163</v>
      </c>
      <c r="BO63" s="2"/>
      <c r="BP63" s="3"/>
      <c r="BQ63" s="3"/>
      <c r="BR63" s="3"/>
      <c r="BS63" s="3"/>
    </row>
    <row r="64" spans="1:71" ht="15">
      <c r="A64" s="65" t="s">
        <v>282</v>
      </c>
      <c r="B64" s="66"/>
      <c r="C64" s="66"/>
      <c r="D64" s="67">
        <v>150</v>
      </c>
      <c r="E64" s="69"/>
      <c r="F64" s="108" t="str">
        <f>HYPERLINK("https://yt3.ggpht.com/ytc/AAUvwni1ucQUjPCZ8HawhJ2dfvKQmO50hY3bmw9WulVvjZw=s88-c-k-c0x00ffffff-no-rj")</f>
        <v>https://yt3.ggpht.com/ytc/AAUvwni1ucQUjPCZ8HawhJ2dfvKQmO50hY3bmw9WulVvjZw=s88-c-k-c0x00ffffff-no-rj</v>
      </c>
      <c r="G64" s="66"/>
      <c r="H64" s="70" t="s">
        <v>561</v>
      </c>
      <c r="I64" s="71"/>
      <c r="J64" s="71" t="s">
        <v>159</v>
      </c>
      <c r="K64" s="70" t="s">
        <v>561</v>
      </c>
      <c r="L64" s="74">
        <v>1</v>
      </c>
      <c r="M64" s="75">
        <v>5489.02001953125</v>
      </c>
      <c r="N64" s="75">
        <v>9838.6123046875</v>
      </c>
      <c r="O64" s="76"/>
      <c r="P64" s="77"/>
      <c r="Q64" s="77"/>
      <c r="R64" s="101"/>
      <c r="S64" s="49">
        <v>0</v>
      </c>
      <c r="T64" s="49">
        <v>1</v>
      </c>
      <c r="U64" s="50">
        <v>0</v>
      </c>
      <c r="V64" s="50">
        <v>0.003937</v>
      </c>
      <c r="W64" s="50">
        <v>0.004527</v>
      </c>
      <c r="X64" s="50">
        <v>0.486308</v>
      </c>
      <c r="Y64" s="50">
        <v>0</v>
      </c>
      <c r="Z64" s="50">
        <v>0</v>
      </c>
      <c r="AA64" s="72">
        <v>64</v>
      </c>
      <c r="AB64" s="72"/>
      <c r="AC64" s="73"/>
      <c r="AD64" s="89" t="s">
        <v>561</v>
      </c>
      <c r="AE64" s="89"/>
      <c r="AF64" s="89"/>
      <c r="AG64" s="89"/>
      <c r="AH64" s="89"/>
      <c r="AI64" s="89"/>
      <c r="AJ64" s="98">
        <v>40852.874606481484</v>
      </c>
      <c r="AK64" s="95" t="str">
        <f>HYPERLINK("https://yt3.ggpht.com/ytc/AAUvwni1ucQUjPCZ8HawhJ2dfvKQmO50hY3bmw9WulVvjZw=s88-c-k-c0x00ffffff-no-rj")</f>
        <v>https://yt3.ggpht.com/ytc/AAUvwni1ucQUjPCZ8HawhJ2dfvKQmO50hY3bmw9WulVvjZw=s88-c-k-c0x00ffffff-no-rj</v>
      </c>
      <c r="AL64" s="89">
        <v>0</v>
      </c>
      <c r="AM64" s="89">
        <v>0</v>
      </c>
      <c r="AN64" s="89">
        <v>3</v>
      </c>
      <c r="AO64" s="89" t="b">
        <v>0</v>
      </c>
      <c r="AP64" s="89">
        <v>0</v>
      </c>
      <c r="AQ64" s="89"/>
      <c r="AR64" s="89"/>
      <c r="AS64" s="89" t="s">
        <v>736</v>
      </c>
      <c r="AT64" s="95" t="str">
        <f>HYPERLINK("https://www.youtube.com/channel/UCxnol9Dl-jD2QSEVc2EZxzg")</f>
        <v>https://www.youtube.com/channel/UCxnol9Dl-jD2QSEVc2EZxzg</v>
      </c>
      <c r="AU64" s="89" t="str">
        <f>REPLACE(INDEX(GroupVertices[Group],MATCH(Vertices[[#This Row],[Vertex]],GroupVertices[Vertex],0)),1,1,"")</f>
        <v>2</v>
      </c>
      <c r="AV64" s="49">
        <v>1</v>
      </c>
      <c r="AW64" s="50">
        <v>20</v>
      </c>
      <c r="AX64" s="49">
        <v>0</v>
      </c>
      <c r="AY64" s="50">
        <v>0</v>
      </c>
      <c r="AZ64" s="49">
        <v>0</v>
      </c>
      <c r="BA64" s="50">
        <v>0</v>
      </c>
      <c r="BB64" s="49">
        <v>4</v>
      </c>
      <c r="BC64" s="50">
        <v>80</v>
      </c>
      <c r="BD64" s="49">
        <v>5</v>
      </c>
      <c r="BE64" s="49"/>
      <c r="BF64" s="49"/>
      <c r="BG64" s="49"/>
      <c r="BH64" s="49"/>
      <c r="BI64" s="49"/>
      <c r="BJ64" s="49"/>
      <c r="BK64" s="127" t="s">
        <v>1082</v>
      </c>
      <c r="BL64" s="127" t="s">
        <v>1082</v>
      </c>
      <c r="BM64" s="127" t="s">
        <v>1164</v>
      </c>
      <c r="BN64" s="127" t="s">
        <v>1164</v>
      </c>
      <c r="BO64" s="2"/>
      <c r="BP64" s="3"/>
      <c r="BQ64" s="3"/>
      <c r="BR64" s="3"/>
      <c r="BS64" s="3"/>
    </row>
    <row r="65" spans="1:71" ht="15">
      <c r="A65" s="65" t="s">
        <v>229</v>
      </c>
      <c r="B65" s="66"/>
      <c r="C65" s="66"/>
      <c r="D65" s="67">
        <v>150</v>
      </c>
      <c r="E65" s="69"/>
      <c r="F65" s="108" t="str">
        <f>HYPERLINK("https://yt3.ggpht.com/ytc/AAUvwnjUomN233M2zUpYDoVZWeVX_wb271311L7_FMFa0w=s88-c-k-c0x00ffffff-no-rj")</f>
        <v>https://yt3.ggpht.com/ytc/AAUvwnjUomN233M2zUpYDoVZWeVX_wb271311L7_FMFa0w=s88-c-k-c0x00ffffff-no-rj</v>
      </c>
      <c r="G65" s="66"/>
      <c r="H65" s="70" t="s">
        <v>508</v>
      </c>
      <c r="I65" s="71"/>
      <c r="J65" s="71" t="s">
        <v>159</v>
      </c>
      <c r="K65" s="70" t="s">
        <v>508</v>
      </c>
      <c r="L65" s="74">
        <v>1</v>
      </c>
      <c r="M65" s="75">
        <v>5742.50732421875</v>
      </c>
      <c r="N65" s="75">
        <v>1792.7548828125</v>
      </c>
      <c r="O65" s="76"/>
      <c r="P65" s="77"/>
      <c r="Q65" s="77"/>
      <c r="R65" s="101"/>
      <c r="S65" s="49">
        <v>0</v>
      </c>
      <c r="T65" s="49">
        <v>1</v>
      </c>
      <c r="U65" s="50">
        <v>0</v>
      </c>
      <c r="V65" s="50">
        <v>0.043478</v>
      </c>
      <c r="W65" s="50">
        <v>0</v>
      </c>
      <c r="X65" s="50">
        <v>0.549991</v>
      </c>
      <c r="Y65" s="50">
        <v>0</v>
      </c>
      <c r="Z65" s="50">
        <v>0</v>
      </c>
      <c r="AA65" s="72">
        <v>65</v>
      </c>
      <c r="AB65" s="72"/>
      <c r="AC65" s="73"/>
      <c r="AD65" s="89" t="s">
        <v>508</v>
      </c>
      <c r="AE65" s="89"/>
      <c r="AF65" s="89"/>
      <c r="AG65" s="89"/>
      <c r="AH65" s="89"/>
      <c r="AI65" s="89"/>
      <c r="AJ65" s="98">
        <v>40534.13497685185</v>
      </c>
      <c r="AK65" s="95" t="str">
        <f>HYPERLINK("https://yt3.ggpht.com/ytc/AAUvwnjUomN233M2zUpYDoVZWeVX_wb271311L7_FMFa0w=s88-c-k-c0x00ffffff-no-rj")</f>
        <v>https://yt3.ggpht.com/ytc/AAUvwnjUomN233M2zUpYDoVZWeVX_wb271311L7_FMFa0w=s88-c-k-c0x00ffffff-no-rj</v>
      </c>
      <c r="AL65" s="89">
        <v>0</v>
      </c>
      <c r="AM65" s="89">
        <v>0</v>
      </c>
      <c r="AN65" s="89">
        <v>0</v>
      </c>
      <c r="AO65" s="89" t="b">
        <v>1</v>
      </c>
      <c r="AP65" s="89">
        <v>0</v>
      </c>
      <c r="AQ65" s="89"/>
      <c r="AR65" s="89"/>
      <c r="AS65" s="89" t="s">
        <v>736</v>
      </c>
      <c r="AT65" s="95" t="str">
        <f>HYPERLINK("https://www.youtube.com/channel/UCAwNUJZntOgEy085kqcyyTg")</f>
        <v>https://www.youtube.com/channel/UCAwNUJZntOgEy085kqcyyTg</v>
      </c>
      <c r="AU65" s="89" t="str">
        <f>REPLACE(INDEX(GroupVertices[Group],MATCH(Vertices[[#This Row],[Vertex]],GroupVertices[Vertex],0)),1,1,"")</f>
        <v>4</v>
      </c>
      <c r="AV65" s="49">
        <v>0</v>
      </c>
      <c r="AW65" s="50">
        <v>0</v>
      </c>
      <c r="AX65" s="49">
        <v>0</v>
      </c>
      <c r="AY65" s="50">
        <v>0</v>
      </c>
      <c r="AZ65" s="49">
        <v>0</v>
      </c>
      <c r="BA65" s="50">
        <v>0</v>
      </c>
      <c r="BB65" s="49">
        <v>12</v>
      </c>
      <c r="BC65" s="50">
        <v>100</v>
      </c>
      <c r="BD65" s="49">
        <v>12</v>
      </c>
      <c r="BE65" s="49"/>
      <c r="BF65" s="49"/>
      <c r="BG65" s="49"/>
      <c r="BH65" s="49"/>
      <c r="BI65" s="49"/>
      <c r="BJ65" s="49"/>
      <c r="BK65" s="127" t="s">
        <v>1083</v>
      </c>
      <c r="BL65" s="127" t="s">
        <v>1083</v>
      </c>
      <c r="BM65" s="127" t="s">
        <v>1165</v>
      </c>
      <c r="BN65" s="127" t="s">
        <v>1165</v>
      </c>
      <c r="BO65" s="2"/>
      <c r="BP65" s="3"/>
      <c r="BQ65" s="3"/>
      <c r="BR65" s="3"/>
      <c r="BS65" s="3"/>
    </row>
    <row r="66" spans="1:71" ht="15">
      <c r="A66" s="65" t="s">
        <v>340</v>
      </c>
      <c r="B66" s="66"/>
      <c r="C66" s="66"/>
      <c r="D66" s="67">
        <v>150</v>
      </c>
      <c r="E66" s="69"/>
      <c r="F66" s="108" t="str">
        <f>HYPERLINK("https://yt3.ggpht.com/ytc/AAUvwngkK_1D3SXMCcxWu7ghMPOUpBPOxpwzjVtpGztoVQ=s88-c-k-c0x00ffffff-no-rj")</f>
        <v>https://yt3.ggpht.com/ytc/AAUvwngkK_1D3SXMCcxWu7ghMPOUpBPOxpwzjVtpGztoVQ=s88-c-k-c0x00ffffff-no-rj</v>
      </c>
      <c r="G66" s="66"/>
      <c r="H66" s="70" t="s">
        <v>619</v>
      </c>
      <c r="I66" s="71"/>
      <c r="J66" s="71" t="s">
        <v>159</v>
      </c>
      <c r="K66" s="70" t="s">
        <v>619</v>
      </c>
      <c r="L66" s="74">
        <v>1</v>
      </c>
      <c r="M66" s="75">
        <v>928.1841430664062</v>
      </c>
      <c r="N66" s="75">
        <v>2783.322998046875</v>
      </c>
      <c r="O66" s="76"/>
      <c r="P66" s="77"/>
      <c r="Q66" s="77"/>
      <c r="R66" s="101"/>
      <c r="S66" s="49">
        <v>0</v>
      </c>
      <c r="T66" s="49">
        <v>1</v>
      </c>
      <c r="U66" s="50">
        <v>0</v>
      </c>
      <c r="V66" s="50">
        <v>0.004695</v>
      </c>
      <c r="W66" s="50">
        <v>0.011737</v>
      </c>
      <c r="X66" s="50">
        <v>0.473657</v>
      </c>
      <c r="Y66" s="50">
        <v>0</v>
      </c>
      <c r="Z66" s="50">
        <v>0</v>
      </c>
      <c r="AA66" s="72">
        <v>66</v>
      </c>
      <c r="AB66" s="72"/>
      <c r="AC66" s="73"/>
      <c r="AD66" s="89" t="s">
        <v>619</v>
      </c>
      <c r="AE66" s="89" t="s">
        <v>722</v>
      </c>
      <c r="AF66" s="89"/>
      <c r="AG66" s="89"/>
      <c r="AH66" s="89"/>
      <c r="AI66" s="89"/>
      <c r="AJ66" s="98">
        <v>42804.700694444444</v>
      </c>
      <c r="AK66" s="95" t="str">
        <f>HYPERLINK("https://yt3.ggpht.com/ytc/AAUvwngkK_1D3SXMCcxWu7ghMPOUpBPOxpwzjVtpGztoVQ=s88-c-k-c0x00ffffff-no-rj")</f>
        <v>https://yt3.ggpht.com/ytc/AAUvwngkK_1D3SXMCcxWu7ghMPOUpBPOxpwzjVtpGztoVQ=s88-c-k-c0x00ffffff-no-rj</v>
      </c>
      <c r="AL66" s="89">
        <v>335</v>
      </c>
      <c r="AM66" s="89">
        <v>0</v>
      </c>
      <c r="AN66" s="89">
        <v>3</v>
      </c>
      <c r="AO66" s="89" t="b">
        <v>0</v>
      </c>
      <c r="AP66" s="89">
        <v>18</v>
      </c>
      <c r="AQ66" s="89"/>
      <c r="AR66" s="89"/>
      <c r="AS66" s="89" t="s">
        <v>736</v>
      </c>
      <c r="AT66" s="95" t="str">
        <f>HYPERLINK("https://www.youtube.com/channel/UCGG7n9NThURR_CUkef32Y9Q")</f>
        <v>https://www.youtube.com/channel/UCGG7n9NThURR_CUkef32Y9Q</v>
      </c>
      <c r="AU66" s="89" t="str">
        <f>REPLACE(INDEX(GroupVertices[Group],MATCH(Vertices[[#This Row],[Vertex]],GroupVertices[Vertex],0)),1,1,"")</f>
        <v>1</v>
      </c>
      <c r="AV66" s="49">
        <v>0</v>
      </c>
      <c r="AW66" s="50">
        <v>0</v>
      </c>
      <c r="AX66" s="49">
        <v>0</v>
      </c>
      <c r="AY66" s="50">
        <v>0</v>
      </c>
      <c r="AZ66" s="49">
        <v>0</v>
      </c>
      <c r="BA66" s="50">
        <v>0</v>
      </c>
      <c r="BB66" s="49">
        <v>2</v>
      </c>
      <c r="BC66" s="50">
        <v>100</v>
      </c>
      <c r="BD66" s="49">
        <v>2</v>
      </c>
      <c r="BE66" s="49"/>
      <c r="BF66" s="49"/>
      <c r="BG66" s="49"/>
      <c r="BH66" s="49"/>
      <c r="BI66" s="49"/>
      <c r="BJ66" s="49"/>
      <c r="BK66" s="127" t="s">
        <v>1084</v>
      </c>
      <c r="BL66" s="127" t="s">
        <v>1084</v>
      </c>
      <c r="BM66" s="127" t="s">
        <v>666</v>
      </c>
      <c r="BN66" s="127" t="s">
        <v>666</v>
      </c>
      <c r="BO66" s="2"/>
      <c r="BP66" s="3"/>
      <c r="BQ66" s="3"/>
      <c r="BR66" s="3"/>
      <c r="BS66" s="3"/>
    </row>
    <row r="67" spans="1:71" ht="15">
      <c r="A67" s="65" t="s">
        <v>237</v>
      </c>
      <c r="B67" s="66"/>
      <c r="C67" s="66"/>
      <c r="D67" s="67">
        <v>150</v>
      </c>
      <c r="E67" s="69"/>
      <c r="F67" s="108" t="str">
        <f>HYPERLINK("https://yt3.ggpht.com/ytc/AAUvwnj8QLiarwbs2FNJaaTBVlLsp_9i6n1IAguF6w=s88-c-k-c0x00ffffff-no-rj")</f>
        <v>https://yt3.ggpht.com/ytc/AAUvwnj8QLiarwbs2FNJaaTBVlLsp_9i6n1IAguF6w=s88-c-k-c0x00ffffff-no-rj</v>
      </c>
      <c r="G67" s="66"/>
      <c r="H67" s="70" t="s">
        <v>516</v>
      </c>
      <c r="I67" s="71"/>
      <c r="J67" s="71" t="s">
        <v>159</v>
      </c>
      <c r="K67" s="70" t="s">
        <v>516</v>
      </c>
      <c r="L67" s="74">
        <v>1</v>
      </c>
      <c r="M67" s="75">
        <v>7857.26904296875</v>
      </c>
      <c r="N67" s="75">
        <v>4107.16455078125</v>
      </c>
      <c r="O67" s="76"/>
      <c r="P67" s="77"/>
      <c r="Q67" s="77"/>
      <c r="R67" s="101"/>
      <c r="S67" s="49">
        <v>0</v>
      </c>
      <c r="T67" s="49">
        <v>1</v>
      </c>
      <c r="U67" s="50">
        <v>0</v>
      </c>
      <c r="V67" s="50">
        <v>0.022727</v>
      </c>
      <c r="W67" s="50">
        <v>0</v>
      </c>
      <c r="X67" s="50">
        <v>0.549699</v>
      </c>
      <c r="Y67" s="50">
        <v>0</v>
      </c>
      <c r="Z67" s="50">
        <v>0</v>
      </c>
      <c r="AA67" s="72">
        <v>67</v>
      </c>
      <c r="AB67" s="72"/>
      <c r="AC67" s="73"/>
      <c r="AD67" s="89" t="s">
        <v>516</v>
      </c>
      <c r="AE67" s="89"/>
      <c r="AF67" s="89"/>
      <c r="AG67" s="89"/>
      <c r="AH67" s="89"/>
      <c r="AI67" s="89"/>
      <c r="AJ67" s="98">
        <v>42780.63148148148</v>
      </c>
      <c r="AK67" s="95" t="str">
        <f>HYPERLINK("https://yt3.ggpht.com/ytc/AAUvwnj8QLiarwbs2FNJaaTBVlLsp_9i6n1IAguF6w=s88-c-k-c0x00ffffff-no-rj")</f>
        <v>https://yt3.ggpht.com/ytc/AAUvwnj8QLiarwbs2FNJaaTBVlLsp_9i6n1IAguF6w=s88-c-k-c0x00ffffff-no-rj</v>
      </c>
      <c r="AL67" s="89">
        <v>0</v>
      </c>
      <c r="AM67" s="89">
        <v>0</v>
      </c>
      <c r="AN67" s="89">
        <v>1</v>
      </c>
      <c r="AO67" s="89" t="b">
        <v>0</v>
      </c>
      <c r="AP67" s="89">
        <v>0</v>
      </c>
      <c r="AQ67" s="89"/>
      <c r="AR67" s="89"/>
      <c r="AS67" s="89" t="s">
        <v>736</v>
      </c>
      <c r="AT67" s="95" t="str">
        <f>HYPERLINK("https://www.youtube.com/channel/UC5f6Lx2sf0O43HKt0G5_4YA")</f>
        <v>https://www.youtube.com/channel/UC5f6Lx2sf0O43HKt0G5_4YA</v>
      </c>
      <c r="AU67" s="89" t="str">
        <f>REPLACE(INDEX(GroupVertices[Group],MATCH(Vertices[[#This Row],[Vertex]],GroupVertices[Vertex],0)),1,1,"")</f>
        <v>3</v>
      </c>
      <c r="AV67" s="49">
        <v>1</v>
      </c>
      <c r="AW67" s="50">
        <v>50</v>
      </c>
      <c r="AX67" s="49">
        <v>0</v>
      </c>
      <c r="AY67" s="50">
        <v>0</v>
      </c>
      <c r="AZ67" s="49">
        <v>0</v>
      </c>
      <c r="BA67" s="50">
        <v>0</v>
      </c>
      <c r="BB67" s="49">
        <v>1</v>
      </c>
      <c r="BC67" s="50">
        <v>50</v>
      </c>
      <c r="BD67" s="49">
        <v>2</v>
      </c>
      <c r="BE67" s="49"/>
      <c r="BF67" s="49"/>
      <c r="BG67" s="49"/>
      <c r="BH67" s="49"/>
      <c r="BI67" s="49"/>
      <c r="BJ67" s="49"/>
      <c r="BK67" s="127" t="s">
        <v>865</v>
      </c>
      <c r="BL67" s="127" t="s">
        <v>865</v>
      </c>
      <c r="BM67" s="127" t="s">
        <v>666</v>
      </c>
      <c r="BN67" s="127" t="s">
        <v>666</v>
      </c>
      <c r="BO67" s="2"/>
      <c r="BP67" s="3"/>
      <c r="BQ67" s="3"/>
      <c r="BR67" s="3"/>
      <c r="BS67" s="3"/>
    </row>
    <row r="68" spans="1:71" ht="15">
      <c r="A68" s="65" t="s">
        <v>293</v>
      </c>
      <c r="B68" s="66"/>
      <c r="C68" s="66"/>
      <c r="D68" s="67">
        <v>150</v>
      </c>
      <c r="E68" s="69"/>
      <c r="F68" s="108" t="str">
        <f>HYPERLINK("https://yt3.ggpht.com/ytc/AAUvwnjxEvSBrhVY5g52fQ_tpo8l-7bd0biViZAx4rm2=s88-c-k-c0x00ffffff-no-rj")</f>
        <v>https://yt3.ggpht.com/ytc/AAUvwnjxEvSBrhVY5g52fQ_tpo8l-7bd0biViZAx4rm2=s88-c-k-c0x00ffffff-no-rj</v>
      </c>
      <c r="G68" s="66"/>
      <c r="H68" s="70" t="s">
        <v>572</v>
      </c>
      <c r="I68" s="71"/>
      <c r="J68" s="71" t="s">
        <v>159</v>
      </c>
      <c r="K68" s="70" t="s">
        <v>572</v>
      </c>
      <c r="L68" s="74">
        <v>1</v>
      </c>
      <c r="M68" s="75">
        <v>5912.17578125</v>
      </c>
      <c r="N68" s="75">
        <v>4206.40087890625</v>
      </c>
      <c r="O68" s="76"/>
      <c r="P68" s="77"/>
      <c r="Q68" s="77"/>
      <c r="R68" s="101"/>
      <c r="S68" s="49">
        <v>0</v>
      </c>
      <c r="T68" s="49">
        <v>1</v>
      </c>
      <c r="U68" s="50">
        <v>0</v>
      </c>
      <c r="V68" s="50">
        <v>0.003937</v>
      </c>
      <c r="W68" s="50">
        <v>0.004527</v>
      </c>
      <c r="X68" s="50">
        <v>0.486308</v>
      </c>
      <c r="Y68" s="50">
        <v>0</v>
      </c>
      <c r="Z68" s="50">
        <v>0</v>
      </c>
      <c r="AA68" s="72">
        <v>68</v>
      </c>
      <c r="AB68" s="72"/>
      <c r="AC68" s="73"/>
      <c r="AD68" s="89" t="s">
        <v>572</v>
      </c>
      <c r="AE68" s="89"/>
      <c r="AF68" s="89"/>
      <c r="AG68" s="89"/>
      <c r="AH68" s="89"/>
      <c r="AI68" s="89"/>
      <c r="AJ68" s="98">
        <v>44116.92028935185</v>
      </c>
      <c r="AK68" s="95" t="str">
        <f>HYPERLINK("https://yt3.ggpht.com/ytc/AAUvwnjxEvSBrhVY5g52fQ_tpo8l-7bd0biViZAx4rm2=s88-c-k-c0x00ffffff-no-rj")</f>
        <v>https://yt3.ggpht.com/ytc/AAUvwnjxEvSBrhVY5g52fQ_tpo8l-7bd0biViZAx4rm2=s88-c-k-c0x00ffffff-no-rj</v>
      </c>
      <c r="AL68" s="89">
        <v>0</v>
      </c>
      <c r="AM68" s="89">
        <v>0</v>
      </c>
      <c r="AN68" s="89">
        <v>0</v>
      </c>
      <c r="AO68" s="89" t="b">
        <v>0</v>
      </c>
      <c r="AP68" s="89">
        <v>0</v>
      </c>
      <c r="AQ68" s="89"/>
      <c r="AR68" s="89"/>
      <c r="AS68" s="89" t="s">
        <v>736</v>
      </c>
      <c r="AT68" s="95" t="str">
        <f>HYPERLINK("https://www.youtube.com/channel/UCGiyitvsoE0mvDymzZTN55A")</f>
        <v>https://www.youtube.com/channel/UCGiyitvsoE0mvDymzZTN55A</v>
      </c>
      <c r="AU68" s="89" t="str">
        <f>REPLACE(INDEX(GroupVertices[Group],MATCH(Vertices[[#This Row],[Vertex]],GroupVertices[Vertex],0)),1,1,"")</f>
        <v>2</v>
      </c>
      <c r="AV68" s="49">
        <v>0</v>
      </c>
      <c r="AW68" s="50">
        <v>0</v>
      </c>
      <c r="AX68" s="49">
        <v>0</v>
      </c>
      <c r="AY68" s="50">
        <v>0</v>
      </c>
      <c r="AZ68" s="49">
        <v>0</v>
      </c>
      <c r="BA68" s="50">
        <v>0</v>
      </c>
      <c r="BB68" s="49">
        <v>1</v>
      </c>
      <c r="BC68" s="50">
        <v>100</v>
      </c>
      <c r="BD68" s="49">
        <v>1</v>
      </c>
      <c r="BE68" s="49"/>
      <c r="BF68" s="49"/>
      <c r="BG68" s="49"/>
      <c r="BH68" s="49"/>
      <c r="BI68" s="49"/>
      <c r="BJ68" s="49"/>
      <c r="BK68" s="127" t="s">
        <v>666</v>
      </c>
      <c r="BL68" s="127" t="s">
        <v>666</v>
      </c>
      <c r="BM68" s="127" t="s">
        <v>666</v>
      </c>
      <c r="BN68" s="127" t="s">
        <v>666</v>
      </c>
      <c r="BO68" s="2"/>
      <c r="BP68" s="3"/>
      <c r="BQ68" s="3"/>
      <c r="BR68" s="3"/>
      <c r="BS68" s="3"/>
    </row>
    <row r="69" spans="1:71" ht="15">
      <c r="A69" s="65" t="s">
        <v>308</v>
      </c>
      <c r="B69" s="66"/>
      <c r="C69" s="66"/>
      <c r="D69" s="67">
        <v>150</v>
      </c>
      <c r="E69" s="69"/>
      <c r="F69" s="108" t="str">
        <f>HYPERLINK("https://yt3.ggpht.com/ytc/AAUvwnhds9Y-vJyK-TMFOA1zkDPqfW9P6qSKK4k5qk02Bw=s88-c-k-c0x00ffffff-no-rj")</f>
        <v>https://yt3.ggpht.com/ytc/AAUvwnhds9Y-vJyK-TMFOA1zkDPqfW9P6qSKK4k5qk02Bw=s88-c-k-c0x00ffffff-no-rj</v>
      </c>
      <c r="G69" s="66"/>
      <c r="H69" s="70" t="s">
        <v>587</v>
      </c>
      <c r="I69" s="71"/>
      <c r="J69" s="71" t="s">
        <v>159</v>
      </c>
      <c r="K69" s="70" t="s">
        <v>587</v>
      </c>
      <c r="L69" s="74">
        <v>1</v>
      </c>
      <c r="M69" s="75">
        <v>1276.4166259765625</v>
      </c>
      <c r="N69" s="75">
        <v>4597.12548828125</v>
      </c>
      <c r="O69" s="76"/>
      <c r="P69" s="77"/>
      <c r="Q69" s="77"/>
      <c r="R69" s="101"/>
      <c r="S69" s="49">
        <v>0</v>
      </c>
      <c r="T69" s="49">
        <v>1</v>
      </c>
      <c r="U69" s="50">
        <v>0</v>
      </c>
      <c r="V69" s="50">
        <v>0.004695</v>
      </c>
      <c r="W69" s="50">
        <v>0.011737</v>
      </c>
      <c r="X69" s="50">
        <v>0.473657</v>
      </c>
      <c r="Y69" s="50">
        <v>0</v>
      </c>
      <c r="Z69" s="50">
        <v>0</v>
      </c>
      <c r="AA69" s="72">
        <v>69</v>
      </c>
      <c r="AB69" s="72"/>
      <c r="AC69" s="73"/>
      <c r="AD69" s="89" t="s">
        <v>587</v>
      </c>
      <c r="AE69" s="89" t="s">
        <v>717</v>
      </c>
      <c r="AF69" s="89"/>
      <c r="AG69" s="89"/>
      <c r="AH69" s="89"/>
      <c r="AI69" s="89"/>
      <c r="AJ69" s="98">
        <v>43735.382372685184</v>
      </c>
      <c r="AK69" s="95" t="str">
        <f>HYPERLINK("https://yt3.ggpht.com/ytc/AAUvwnhds9Y-vJyK-TMFOA1zkDPqfW9P6qSKK4k5qk02Bw=s88-c-k-c0x00ffffff-no-rj")</f>
        <v>https://yt3.ggpht.com/ytc/AAUvwnhds9Y-vJyK-TMFOA1zkDPqfW9P6qSKK4k5qk02Bw=s88-c-k-c0x00ffffff-no-rj</v>
      </c>
      <c r="AL69" s="89">
        <v>0</v>
      </c>
      <c r="AM69" s="89">
        <v>0</v>
      </c>
      <c r="AN69" s="89">
        <v>1</v>
      </c>
      <c r="AO69" s="89" t="b">
        <v>0</v>
      </c>
      <c r="AP69" s="89">
        <v>0</v>
      </c>
      <c r="AQ69" s="89"/>
      <c r="AR69" s="89"/>
      <c r="AS69" s="89" t="s">
        <v>736</v>
      </c>
      <c r="AT69" s="95" t="str">
        <f>HYPERLINK("https://www.youtube.com/channel/UCanNtkxGuVo8RHmoYXqQdPQ")</f>
        <v>https://www.youtube.com/channel/UCanNtkxGuVo8RHmoYXqQdPQ</v>
      </c>
      <c r="AU69" s="89" t="str">
        <f>REPLACE(INDEX(GroupVertices[Group],MATCH(Vertices[[#This Row],[Vertex]],GroupVertices[Vertex],0)),1,1,"")</f>
        <v>1</v>
      </c>
      <c r="AV69" s="49">
        <v>1</v>
      </c>
      <c r="AW69" s="50">
        <v>33.333333333333336</v>
      </c>
      <c r="AX69" s="49">
        <v>0</v>
      </c>
      <c r="AY69" s="50">
        <v>0</v>
      </c>
      <c r="AZ69" s="49">
        <v>0</v>
      </c>
      <c r="BA69" s="50">
        <v>0</v>
      </c>
      <c r="BB69" s="49">
        <v>2</v>
      </c>
      <c r="BC69" s="50">
        <v>66.66666666666667</v>
      </c>
      <c r="BD69" s="49">
        <v>3</v>
      </c>
      <c r="BE69" s="49"/>
      <c r="BF69" s="49"/>
      <c r="BG69" s="49"/>
      <c r="BH69" s="49"/>
      <c r="BI69" s="49"/>
      <c r="BJ69" s="49"/>
      <c r="BK69" s="127" t="s">
        <v>1085</v>
      </c>
      <c r="BL69" s="127" t="s">
        <v>1085</v>
      </c>
      <c r="BM69" s="127" t="s">
        <v>1166</v>
      </c>
      <c r="BN69" s="127" t="s">
        <v>1166</v>
      </c>
      <c r="BO69" s="2"/>
      <c r="BP69" s="3"/>
      <c r="BQ69" s="3"/>
      <c r="BR69" s="3"/>
      <c r="BS69" s="3"/>
    </row>
    <row r="70" spans="1:71" ht="15">
      <c r="A70" s="65" t="s">
        <v>285</v>
      </c>
      <c r="B70" s="66"/>
      <c r="C70" s="66"/>
      <c r="D70" s="67">
        <v>150</v>
      </c>
      <c r="E70" s="69"/>
      <c r="F70" s="108" t="str">
        <f>HYPERLINK("https://yt3.ggpht.com/ytc/AAUvwnjJZtZ5seX68BQbnO7qNmjmoHdc6MPVi3eWvBQibw=s88-c-k-c0x00ffffff-no-rj")</f>
        <v>https://yt3.ggpht.com/ytc/AAUvwnjJZtZ5seX68BQbnO7qNmjmoHdc6MPVi3eWvBQibw=s88-c-k-c0x00ffffff-no-rj</v>
      </c>
      <c r="G70" s="66"/>
      <c r="H70" s="70" t="s">
        <v>564</v>
      </c>
      <c r="I70" s="71"/>
      <c r="J70" s="71" t="s">
        <v>159</v>
      </c>
      <c r="K70" s="70" t="s">
        <v>564</v>
      </c>
      <c r="L70" s="74">
        <v>1</v>
      </c>
      <c r="M70" s="75">
        <v>6221.30712890625</v>
      </c>
      <c r="N70" s="75">
        <v>7171.6201171875</v>
      </c>
      <c r="O70" s="76"/>
      <c r="P70" s="77"/>
      <c r="Q70" s="77"/>
      <c r="R70" s="101"/>
      <c r="S70" s="49">
        <v>0</v>
      </c>
      <c r="T70" s="49">
        <v>1</v>
      </c>
      <c r="U70" s="50">
        <v>0</v>
      </c>
      <c r="V70" s="50">
        <v>0.003937</v>
      </c>
      <c r="W70" s="50">
        <v>0.004527</v>
      </c>
      <c r="X70" s="50">
        <v>0.486308</v>
      </c>
      <c r="Y70" s="50">
        <v>0</v>
      </c>
      <c r="Z70" s="50">
        <v>0</v>
      </c>
      <c r="AA70" s="72">
        <v>70</v>
      </c>
      <c r="AB70" s="72"/>
      <c r="AC70" s="73"/>
      <c r="AD70" s="89" t="s">
        <v>564</v>
      </c>
      <c r="AE70" s="89"/>
      <c r="AF70" s="89"/>
      <c r="AG70" s="89"/>
      <c r="AH70" s="89"/>
      <c r="AI70" s="89"/>
      <c r="AJ70" s="98">
        <v>43450.76263888889</v>
      </c>
      <c r="AK70" s="95" t="str">
        <f>HYPERLINK("https://yt3.ggpht.com/ytc/AAUvwnjJZtZ5seX68BQbnO7qNmjmoHdc6MPVi3eWvBQibw=s88-c-k-c0x00ffffff-no-rj")</f>
        <v>https://yt3.ggpht.com/ytc/AAUvwnjJZtZ5seX68BQbnO7qNmjmoHdc6MPVi3eWvBQibw=s88-c-k-c0x00ffffff-no-rj</v>
      </c>
      <c r="AL70" s="89">
        <v>501</v>
      </c>
      <c r="AM70" s="89">
        <v>0</v>
      </c>
      <c r="AN70" s="89">
        <v>9</v>
      </c>
      <c r="AO70" s="89" t="b">
        <v>0</v>
      </c>
      <c r="AP70" s="89">
        <v>13</v>
      </c>
      <c r="AQ70" s="89"/>
      <c r="AR70" s="89"/>
      <c r="AS70" s="89" t="s">
        <v>736</v>
      </c>
      <c r="AT70" s="95" t="str">
        <f>HYPERLINK("https://www.youtube.com/channel/UCPb6pOgqpY3ye-z9595hDyA")</f>
        <v>https://www.youtube.com/channel/UCPb6pOgqpY3ye-z9595hDyA</v>
      </c>
      <c r="AU70" s="89" t="str">
        <f>REPLACE(INDEX(GroupVertices[Group],MATCH(Vertices[[#This Row],[Vertex]],GroupVertices[Vertex],0)),1,1,"")</f>
        <v>2</v>
      </c>
      <c r="AV70" s="49">
        <v>0</v>
      </c>
      <c r="AW70" s="50">
        <v>0</v>
      </c>
      <c r="AX70" s="49">
        <v>0</v>
      </c>
      <c r="AY70" s="50">
        <v>0</v>
      </c>
      <c r="AZ70" s="49">
        <v>0</v>
      </c>
      <c r="BA70" s="50">
        <v>0</v>
      </c>
      <c r="BB70" s="49">
        <v>2</v>
      </c>
      <c r="BC70" s="50">
        <v>100</v>
      </c>
      <c r="BD70" s="49">
        <v>2</v>
      </c>
      <c r="BE70" s="49"/>
      <c r="BF70" s="49"/>
      <c r="BG70" s="49"/>
      <c r="BH70" s="49"/>
      <c r="BI70" s="49"/>
      <c r="BJ70" s="49"/>
      <c r="BK70" s="127" t="s">
        <v>1086</v>
      </c>
      <c r="BL70" s="127" t="s">
        <v>1086</v>
      </c>
      <c r="BM70" s="127" t="s">
        <v>666</v>
      </c>
      <c r="BN70" s="127" t="s">
        <v>666</v>
      </c>
      <c r="BO70" s="2"/>
      <c r="BP70" s="3"/>
      <c r="BQ70" s="3"/>
      <c r="BR70" s="3"/>
      <c r="BS70" s="3"/>
    </row>
    <row r="71" spans="1:71" ht="15">
      <c r="A71" s="65" t="s">
        <v>269</v>
      </c>
      <c r="B71" s="66"/>
      <c r="C71" s="66"/>
      <c r="D71" s="67">
        <v>150</v>
      </c>
      <c r="E71" s="69"/>
      <c r="F71" s="108" t="str">
        <f>HYPERLINK("https://yt3.ggpht.com/ytc/AAUvwni_1NMqBa2j0G1rJtnGnY2PyfY1ni2ilZ3NeoyQ=s88-c-k-c0x00ffffff-no-rj")</f>
        <v>https://yt3.ggpht.com/ytc/AAUvwni_1NMqBa2j0G1rJtnGnY2PyfY1ni2ilZ3NeoyQ=s88-c-k-c0x00ffffff-no-rj</v>
      </c>
      <c r="G71" s="66"/>
      <c r="H71" s="70" t="s">
        <v>548</v>
      </c>
      <c r="I71" s="71"/>
      <c r="J71" s="71" t="s">
        <v>159</v>
      </c>
      <c r="K71" s="70" t="s">
        <v>548</v>
      </c>
      <c r="L71" s="74">
        <v>1</v>
      </c>
      <c r="M71" s="75">
        <v>8483.7587890625</v>
      </c>
      <c r="N71" s="75">
        <v>3485.923095703125</v>
      </c>
      <c r="O71" s="76"/>
      <c r="P71" s="77"/>
      <c r="Q71" s="77"/>
      <c r="R71" s="101"/>
      <c r="S71" s="49">
        <v>0</v>
      </c>
      <c r="T71" s="49">
        <v>1</v>
      </c>
      <c r="U71" s="50">
        <v>0</v>
      </c>
      <c r="V71" s="50">
        <v>0.003344</v>
      </c>
      <c r="W71" s="50">
        <v>0.001396</v>
      </c>
      <c r="X71" s="50">
        <v>0.5483</v>
      </c>
      <c r="Y71" s="50">
        <v>0</v>
      </c>
      <c r="Z71" s="50">
        <v>0</v>
      </c>
      <c r="AA71" s="72">
        <v>71</v>
      </c>
      <c r="AB71" s="72"/>
      <c r="AC71" s="73"/>
      <c r="AD71" s="89" t="s">
        <v>548</v>
      </c>
      <c r="AE71" s="89"/>
      <c r="AF71" s="89"/>
      <c r="AG71" s="89"/>
      <c r="AH71" s="89"/>
      <c r="AI71" s="89"/>
      <c r="AJ71" s="98">
        <v>43666.3699537037</v>
      </c>
      <c r="AK71" s="95" t="str">
        <f>HYPERLINK("https://yt3.ggpht.com/ytc/AAUvwni_1NMqBa2j0G1rJtnGnY2PyfY1ni2ilZ3NeoyQ=s88-c-k-c0x00ffffff-no-rj")</f>
        <v>https://yt3.ggpht.com/ytc/AAUvwni_1NMqBa2j0G1rJtnGnY2PyfY1ni2ilZ3NeoyQ=s88-c-k-c0x00ffffff-no-rj</v>
      </c>
      <c r="AL71" s="89">
        <v>434</v>
      </c>
      <c r="AM71" s="89">
        <v>0</v>
      </c>
      <c r="AN71" s="89">
        <v>21</v>
      </c>
      <c r="AO71" s="89" t="b">
        <v>0</v>
      </c>
      <c r="AP71" s="89">
        <v>6</v>
      </c>
      <c r="AQ71" s="89"/>
      <c r="AR71" s="89"/>
      <c r="AS71" s="89" t="s">
        <v>736</v>
      </c>
      <c r="AT71" s="95" t="str">
        <f>HYPERLINK("https://www.youtube.com/channel/UCx54iSl43fUz1XysXN5bugg")</f>
        <v>https://www.youtube.com/channel/UCx54iSl43fUz1XysXN5bugg</v>
      </c>
      <c r="AU71" s="89" t="str">
        <f>REPLACE(INDEX(GroupVertices[Group],MATCH(Vertices[[#This Row],[Vertex]],GroupVertices[Vertex],0)),1,1,"")</f>
        <v>7</v>
      </c>
      <c r="AV71" s="49">
        <v>0</v>
      </c>
      <c r="AW71" s="50">
        <v>0</v>
      </c>
      <c r="AX71" s="49">
        <v>0</v>
      </c>
      <c r="AY71" s="50">
        <v>0</v>
      </c>
      <c r="AZ71" s="49">
        <v>0</v>
      </c>
      <c r="BA71" s="50">
        <v>0</v>
      </c>
      <c r="BB71" s="49">
        <v>1</v>
      </c>
      <c r="BC71" s="50">
        <v>100</v>
      </c>
      <c r="BD71" s="49">
        <v>1</v>
      </c>
      <c r="BE71" s="49"/>
      <c r="BF71" s="49"/>
      <c r="BG71" s="49"/>
      <c r="BH71" s="49"/>
      <c r="BI71" s="49"/>
      <c r="BJ71" s="49"/>
      <c r="BK71" s="127" t="s">
        <v>1087</v>
      </c>
      <c r="BL71" s="127" t="s">
        <v>1087</v>
      </c>
      <c r="BM71" s="127" t="s">
        <v>666</v>
      </c>
      <c r="BN71" s="127" t="s">
        <v>666</v>
      </c>
      <c r="BO71" s="2"/>
      <c r="BP71" s="3"/>
      <c r="BQ71" s="3"/>
      <c r="BR71" s="3"/>
      <c r="BS71" s="3"/>
    </row>
    <row r="72" spans="1:71" ht="15">
      <c r="A72" s="65" t="s">
        <v>278</v>
      </c>
      <c r="B72" s="66"/>
      <c r="C72" s="66"/>
      <c r="D72" s="67">
        <v>271.42857142857144</v>
      </c>
      <c r="E72" s="69"/>
      <c r="F72" s="108" t="str">
        <f>HYPERLINK("https://yt3.ggpht.com/ytc/AAUvwnhlHAWfL4u58ry-yK5MMpJV2oIsKq1_v1DEh2CP=s88-c-k-c0x00ffffff-no-rj")</f>
        <v>https://yt3.ggpht.com/ytc/AAUvwnhlHAWfL4u58ry-yK5MMpJV2oIsKq1_v1DEh2CP=s88-c-k-c0x00ffffff-no-rj</v>
      </c>
      <c r="G72" s="66"/>
      <c r="H72" s="70" t="s">
        <v>557</v>
      </c>
      <c r="I72" s="71"/>
      <c r="J72" s="71" t="s">
        <v>159</v>
      </c>
      <c r="K72" s="70" t="s">
        <v>557</v>
      </c>
      <c r="L72" s="74">
        <v>167.63333333333333</v>
      </c>
      <c r="M72" s="75">
        <v>1581.2294921875</v>
      </c>
      <c r="N72" s="75">
        <v>7153.60693359375</v>
      </c>
      <c r="O72" s="76"/>
      <c r="P72" s="77"/>
      <c r="Q72" s="77"/>
      <c r="R72" s="101"/>
      <c r="S72" s="49">
        <v>1</v>
      </c>
      <c r="T72" s="49">
        <v>1</v>
      </c>
      <c r="U72" s="50">
        <v>56.666667</v>
      </c>
      <c r="V72" s="50">
        <v>0.004739</v>
      </c>
      <c r="W72" s="50">
        <v>0.012285</v>
      </c>
      <c r="X72" s="50">
        <v>0.782964</v>
      </c>
      <c r="Y72" s="50">
        <v>0</v>
      </c>
      <c r="Z72" s="50">
        <v>0</v>
      </c>
      <c r="AA72" s="72">
        <v>72</v>
      </c>
      <c r="AB72" s="72"/>
      <c r="AC72" s="73"/>
      <c r="AD72" s="89" t="s">
        <v>557</v>
      </c>
      <c r="AE72" s="89"/>
      <c r="AF72" s="89"/>
      <c r="AG72" s="89"/>
      <c r="AH72" s="89"/>
      <c r="AI72" s="89"/>
      <c r="AJ72" s="98">
        <v>38965.766805555555</v>
      </c>
      <c r="AK72" s="95" t="str">
        <f>HYPERLINK("https://yt3.ggpht.com/ytc/AAUvwnhlHAWfL4u58ry-yK5MMpJV2oIsKq1_v1DEh2CP=s88-c-k-c0x00ffffff-no-rj")</f>
        <v>https://yt3.ggpht.com/ytc/AAUvwnhlHAWfL4u58ry-yK5MMpJV2oIsKq1_v1DEh2CP=s88-c-k-c0x00ffffff-no-rj</v>
      </c>
      <c r="AL72" s="89">
        <v>1074</v>
      </c>
      <c r="AM72" s="89">
        <v>0</v>
      </c>
      <c r="AN72" s="89">
        <v>4</v>
      </c>
      <c r="AO72" s="89" t="b">
        <v>0</v>
      </c>
      <c r="AP72" s="89">
        <v>12</v>
      </c>
      <c r="AQ72" s="89"/>
      <c r="AR72" s="89"/>
      <c r="AS72" s="89" t="s">
        <v>736</v>
      </c>
      <c r="AT72" s="95" t="str">
        <f>HYPERLINK("https://www.youtube.com/channel/UClAJGOLHfWZyl6ZKqLEnJHg")</f>
        <v>https://www.youtube.com/channel/UClAJGOLHfWZyl6ZKqLEnJHg</v>
      </c>
      <c r="AU72" s="89" t="str">
        <f>REPLACE(INDEX(GroupVertices[Group],MATCH(Vertices[[#This Row],[Vertex]],GroupVertices[Vertex],0)),1,1,"")</f>
        <v>1</v>
      </c>
      <c r="AV72" s="49">
        <v>1</v>
      </c>
      <c r="AW72" s="50">
        <v>10</v>
      </c>
      <c r="AX72" s="49">
        <v>1</v>
      </c>
      <c r="AY72" s="50">
        <v>10</v>
      </c>
      <c r="AZ72" s="49">
        <v>0</v>
      </c>
      <c r="BA72" s="50">
        <v>0</v>
      </c>
      <c r="BB72" s="49">
        <v>8</v>
      </c>
      <c r="BC72" s="50">
        <v>80</v>
      </c>
      <c r="BD72" s="49">
        <v>10</v>
      </c>
      <c r="BE72" s="49"/>
      <c r="BF72" s="49"/>
      <c r="BG72" s="49"/>
      <c r="BH72" s="49"/>
      <c r="BI72" s="49"/>
      <c r="BJ72" s="49"/>
      <c r="BK72" s="127" t="s">
        <v>1088</v>
      </c>
      <c r="BL72" s="127" t="s">
        <v>1088</v>
      </c>
      <c r="BM72" s="127" t="s">
        <v>1167</v>
      </c>
      <c r="BN72" s="127" t="s">
        <v>1167</v>
      </c>
      <c r="BO72" s="2"/>
      <c r="BP72" s="3"/>
      <c r="BQ72" s="3"/>
      <c r="BR72" s="3"/>
      <c r="BS72" s="3"/>
    </row>
    <row r="73" spans="1:71" ht="15">
      <c r="A73" s="65" t="s">
        <v>321</v>
      </c>
      <c r="B73" s="66"/>
      <c r="C73" s="66"/>
      <c r="D73" s="67">
        <v>150</v>
      </c>
      <c r="E73" s="69"/>
      <c r="F73" s="108" t="str">
        <f>HYPERLINK("https://yt3.ggpht.com/ytc/AAUvwng2uDj3DN0PqanVeHRtSINPJNR5wKDUb6mEsHTn=s88-c-k-c0x00ffffff-no-rj")</f>
        <v>https://yt3.ggpht.com/ytc/AAUvwng2uDj3DN0PqanVeHRtSINPJNR5wKDUb6mEsHTn=s88-c-k-c0x00ffffff-no-rj</v>
      </c>
      <c r="G73" s="66"/>
      <c r="H73" s="70" t="s">
        <v>600</v>
      </c>
      <c r="I73" s="71"/>
      <c r="J73" s="71" t="s">
        <v>159</v>
      </c>
      <c r="K73" s="70" t="s">
        <v>600</v>
      </c>
      <c r="L73" s="74">
        <v>1</v>
      </c>
      <c r="M73" s="75">
        <v>1735.242431640625</v>
      </c>
      <c r="N73" s="75">
        <v>6243.103515625</v>
      </c>
      <c r="O73" s="76"/>
      <c r="P73" s="77"/>
      <c r="Q73" s="77"/>
      <c r="R73" s="101"/>
      <c r="S73" s="49">
        <v>0</v>
      </c>
      <c r="T73" s="49">
        <v>2</v>
      </c>
      <c r="U73" s="50">
        <v>0</v>
      </c>
      <c r="V73" s="50">
        <v>0.004739</v>
      </c>
      <c r="W73" s="50">
        <v>0.01355</v>
      </c>
      <c r="X73" s="50">
        <v>0.773657</v>
      </c>
      <c r="Y73" s="50">
        <v>0.5</v>
      </c>
      <c r="Z73" s="50">
        <v>0</v>
      </c>
      <c r="AA73" s="72">
        <v>73</v>
      </c>
      <c r="AB73" s="72"/>
      <c r="AC73" s="73"/>
      <c r="AD73" s="89" t="s">
        <v>600</v>
      </c>
      <c r="AE73" s="89"/>
      <c r="AF73" s="89"/>
      <c r="AG73" s="89"/>
      <c r="AH73" s="89"/>
      <c r="AI73" s="89"/>
      <c r="AJ73" s="98">
        <v>42635.291284722225</v>
      </c>
      <c r="AK73" s="95" t="str">
        <f>HYPERLINK("https://yt3.ggpht.com/ytc/AAUvwng2uDj3DN0PqanVeHRtSINPJNR5wKDUb6mEsHTn=s88-c-k-c0x00ffffff-no-rj")</f>
        <v>https://yt3.ggpht.com/ytc/AAUvwng2uDj3DN0PqanVeHRtSINPJNR5wKDUb6mEsHTn=s88-c-k-c0x00ffffff-no-rj</v>
      </c>
      <c r="AL73" s="89">
        <v>0</v>
      </c>
      <c r="AM73" s="89">
        <v>0</v>
      </c>
      <c r="AN73" s="89">
        <v>3</v>
      </c>
      <c r="AO73" s="89" t="b">
        <v>0</v>
      </c>
      <c r="AP73" s="89">
        <v>0</v>
      </c>
      <c r="AQ73" s="89"/>
      <c r="AR73" s="89"/>
      <c r="AS73" s="89" t="s">
        <v>736</v>
      </c>
      <c r="AT73" s="95" t="str">
        <f>HYPERLINK("https://www.youtube.com/channel/UC1l0Bbv3upJ90bFKIfT2JCA")</f>
        <v>https://www.youtube.com/channel/UC1l0Bbv3upJ90bFKIfT2JCA</v>
      </c>
      <c r="AU73" s="89" t="str">
        <f>REPLACE(INDEX(GroupVertices[Group],MATCH(Vertices[[#This Row],[Vertex]],GroupVertices[Vertex],0)),1,1,"")</f>
        <v>1</v>
      </c>
      <c r="AV73" s="49">
        <v>1</v>
      </c>
      <c r="AW73" s="50">
        <v>6.666666666666667</v>
      </c>
      <c r="AX73" s="49">
        <v>0</v>
      </c>
      <c r="AY73" s="50">
        <v>0</v>
      </c>
      <c r="AZ73" s="49">
        <v>0</v>
      </c>
      <c r="BA73" s="50">
        <v>0</v>
      </c>
      <c r="BB73" s="49">
        <v>14</v>
      </c>
      <c r="BC73" s="50">
        <v>93.33333333333333</v>
      </c>
      <c r="BD73" s="49">
        <v>15</v>
      </c>
      <c r="BE73" s="49"/>
      <c r="BF73" s="49"/>
      <c r="BG73" s="49"/>
      <c r="BH73" s="49"/>
      <c r="BI73" s="49"/>
      <c r="BJ73" s="49"/>
      <c r="BK73" s="127" t="s">
        <v>1089</v>
      </c>
      <c r="BL73" s="127" t="s">
        <v>1089</v>
      </c>
      <c r="BM73" s="127" t="s">
        <v>1168</v>
      </c>
      <c r="BN73" s="127" t="s">
        <v>1168</v>
      </c>
      <c r="BO73" s="2"/>
      <c r="BP73" s="3"/>
      <c r="BQ73" s="3"/>
      <c r="BR73" s="3"/>
      <c r="BS73" s="3"/>
    </row>
    <row r="74" spans="1:71" ht="15">
      <c r="A74" s="65" t="s">
        <v>266</v>
      </c>
      <c r="B74" s="66"/>
      <c r="C74" s="66"/>
      <c r="D74" s="67">
        <v>392.8571428571429</v>
      </c>
      <c r="E74" s="69"/>
      <c r="F74" s="108" t="str">
        <f>HYPERLINK("https://yt3.ggpht.com/ytc/AAUvwnjSUiWAEkc1FBf9zIxje-1c7kqE6Gt7WhvBPEK9gA=s88-c-k-c0x00ffffff-no-rj")</f>
        <v>https://yt3.ggpht.com/ytc/AAUvwnjSUiWAEkc1FBf9zIxje-1c7kqE6Gt7WhvBPEK9gA=s88-c-k-c0x00ffffff-no-rj</v>
      </c>
      <c r="G74" s="66"/>
      <c r="H74" s="70" t="s">
        <v>545</v>
      </c>
      <c r="I74" s="71"/>
      <c r="J74" s="71" t="s">
        <v>75</v>
      </c>
      <c r="K74" s="70" t="s">
        <v>545</v>
      </c>
      <c r="L74" s="74">
        <v>334.26666666666665</v>
      </c>
      <c r="M74" s="75">
        <v>2167.7451171875</v>
      </c>
      <c r="N74" s="75">
        <v>7260.99853515625</v>
      </c>
      <c r="O74" s="76"/>
      <c r="P74" s="77"/>
      <c r="Q74" s="77"/>
      <c r="R74" s="101"/>
      <c r="S74" s="49">
        <v>2</v>
      </c>
      <c r="T74" s="49">
        <v>1</v>
      </c>
      <c r="U74" s="50">
        <v>103.266667</v>
      </c>
      <c r="V74" s="50">
        <v>0.004785</v>
      </c>
      <c r="W74" s="50">
        <v>0.012982</v>
      </c>
      <c r="X74" s="50">
        <v>1.090283</v>
      </c>
      <c r="Y74" s="50">
        <v>0</v>
      </c>
      <c r="Z74" s="50">
        <v>0</v>
      </c>
      <c r="AA74" s="72">
        <v>74</v>
      </c>
      <c r="AB74" s="72"/>
      <c r="AC74" s="73"/>
      <c r="AD74" s="89" t="s">
        <v>545</v>
      </c>
      <c r="AE74" s="89"/>
      <c r="AF74" s="89"/>
      <c r="AG74" s="89"/>
      <c r="AH74" s="89"/>
      <c r="AI74" s="89"/>
      <c r="AJ74" s="98">
        <v>40844.560381944444</v>
      </c>
      <c r="AK74" s="95" t="str">
        <f>HYPERLINK("https://yt3.ggpht.com/ytc/AAUvwnjSUiWAEkc1FBf9zIxje-1c7kqE6Gt7WhvBPEK9gA=s88-c-k-c0x00ffffff-no-rj")</f>
        <v>https://yt3.ggpht.com/ytc/AAUvwnjSUiWAEkc1FBf9zIxje-1c7kqE6Gt7WhvBPEK9gA=s88-c-k-c0x00ffffff-no-rj</v>
      </c>
      <c r="AL74" s="89">
        <v>0</v>
      </c>
      <c r="AM74" s="89">
        <v>0</v>
      </c>
      <c r="AN74" s="89">
        <v>5</v>
      </c>
      <c r="AO74" s="89" t="b">
        <v>0</v>
      </c>
      <c r="AP74" s="89">
        <v>0</v>
      </c>
      <c r="AQ74" s="89"/>
      <c r="AR74" s="89"/>
      <c r="AS74" s="89" t="s">
        <v>736</v>
      </c>
      <c r="AT74" s="95" t="str">
        <f>HYPERLINK("https://www.youtube.com/channel/UC2TB_zzNN7L2i_WPEaWM-LQ")</f>
        <v>https://www.youtube.com/channel/UC2TB_zzNN7L2i_WPEaWM-LQ</v>
      </c>
      <c r="AU74" s="89" t="str">
        <f>REPLACE(INDEX(GroupVertices[Group],MATCH(Vertices[[#This Row],[Vertex]],GroupVertices[Vertex],0)),1,1,"")</f>
        <v>1</v>
      </c>
      <c r="AV74" s="49">
        <v>1</v>
      </c>
      <c r="AW74" s="50">
        <v>6.666666666666667</v>
      </c>
      <c r="AX74" s="49">
        <v>0</v>
      </c>
      <c r="AY74" s="50">
        <v>0</v>
      </c>
      <c r="AZ74" s="49">
        <v>0</v>
      </c>
      <c r="BA74" s="50">
        <v>0</v>
      </c>
      <c r="BB74" s="49">
        <v>14</v>
      </c>
      <c r="BC74" s="50">
        <v>93.33333333333333</v>
      </c>
      <c r="BD74" s="49">
        <v>15</v>
      </c>
      <c r="BE74" s="49"/>
      <c r="BF74" s="49"/>
      <c r="BG74" s="49"/>
      <c r="BH74" s="49"/>
      <c r="BI74" s="49"/>
      <c r="BJ74" s="49"/>
      <c r="BK74" s="127" t="s">
        <v>1090</v>
      </c>
      <c r="BL74" s="127" t="s">
        <v>1090</v>
      </c>
      <c r="BM74" s="127" t="s">
        <v>1169</v>
      </c>
      <c r="BN74" s="127" t="s">
        <v>1169</v>
      </c>
      <c r="BO74" s="2"/>
      <c r="BP74" s="3"/>
      <c r="BQ74" s="3"/>
      <c r="BR74" s="3"/>
      <c r="BS74" s="3"/>
    </row>
    <row r="75" spans="1:71" ht="15">
      <c r="A75" s="65" t="s">
        <v>226</v>
      </c>
      <c r="B75" s="66"/>
      <c r="C75" s="66"/>
      <c r="D75" s="67">
        <v>150</v>
      </c>
      <c r="E75" s="69"/>
      <c r="F75" s="108" t="str">
        <f>HYPERLINK("https://yt3.ggpht.com/ytc/AAUvwng-gYO4Ph5kuXOnJkuBfnWK5BTI94c-ENtPY6QBxx8=s88-c-k-c0x00ffffff-no-rj")</f>
        <v>https://yt3.ggpht.com/ytc/AAUvwng-gYO4Ph5kuXOnJkuBfnWK5BTI94c-ENtPY6QBxx8=s88-c-k-c0x00ffffff-no-rj</v>
      </c>
      <c r="G75" s="66"/>
      <c r="H75" s="70" t="s">
        <v>505</v>
      </c>
      <c r="I75" s="71"/>
      <c r="J75" s="71" t="s">
        <v>159</v>
      </c>
      <c r="K75" s="70" t="s">
        <v>505</v>
      </c>
      <c r="L75" s="74">
        <v>1</v>
      </c>
      <c r="M75" s="75">
        <v>5725.20654296875</v>
      </c>
      <c r="N75" s="75">
        <v>308.96929931640625</v>
      </c>
      <c r="O75" s="76"/>
      <c r="P75" s="77"/>
      <c r="Q75" s="77"/>
      <c r="R75" s="101"/>
      <c r="S75" s="49">
        <v>0</v>
      </c>
      <c r="T75" s="49">
        <v>1</v>
      </c>
      <c r="U75" s="50">
        <v>0</v>
      </c>
      <c r="V75" s="50">
        <v>0.035714</v>
      </c>
      <c r="W75" s="50">
        <v>0</v>
      </c>
      <c r="X75" s="50">
        <v>0.590026</v>
      </c>
      <c r="Y75" s="50">
        <v>0</v>
      </c>
      <c r="Z75" s="50">
        <v>0</v>
      </c>
      <c r="AA75" s="72">
        <v>75</v>
      </c>
      <c r="AB75" s="72"/>
      <c r="AC75" s="73"/>
      <c r="AD75" s="89" t="s">
        <v>505</v>
      </c>
      <c r="AE75" s="89" t="s">
        <v>687</v>
      </c>
      <c r="AF75" s="89"/>
      <c r="AG75" s="89"/>
      <c r="AH75" s="89"/>
      <c r="AI75" s="89" t="s">
        <v>730</v>
      </c>
      <c r="AJ75" s="98">
        <v>40609.78885416667</v>
      </c>
      <c r="AK75" s="95" t="str">
        <f>HYPERLINK("https://yt3.ggpht.com/ytc/AAUvwng-gYO4Ph5kuXOnJkuBfnWK5BTI94c-ENtPY6QBxx8=s88-c-k-c0x00ffffff-no-rj")</f>
        <v>https://yt3.ggpht.com/ytc/AAUvwng-gYO4Ph5kuXOnJkuBfnWK5BTI94c-ENtPY6QBxx8=s88-c-k-c0x00ffffff-no-rj</v>
      </c>
      <c r="AL75" s="89">
        <v>34809</v>
      </c>
      <c r="AM75" s="89">
        <v>0</v>
      </c>
      <c r="AN75" s="89">
        <v>178</v>
      </c>
      <c r="AO75" s="89" t="b">
        <v>0</v>
      </c>
      <c r="AP75" s="89">
        <v>13</v>
      </c>
      <c r="AQ75" s="89"/>
      <c r="AR75" s="89"/>
      <c r="AS75" s="89" t="s">
        <v>736</v>
      </c>
      <c r="AT75" s="95" t="str">
        <f>HYPERLINK("https://www.youtube.com/channel/UCIfypgNfXhTaHAQru-uUyxg")</f>
        <v>https://www.youtube.com/channel/UCIfypgNfXhTaHAQru-uUyxg</v>
      </c>
      <c r="AU75" s="89" t="str">
        <f>REPLACE(INDEX(GroupVertices[Group],MATCH(Vertices[[#This Row],[Vertex]],GroupVertices[Vertex],0)),1,1,"")</f>
        <v>4</v>
      </c>
      <c r="AV75" s="49">
        <v>0</v>
      </c>
      <c r="AW75" s="50">
        <v>0</v>
      </c>
      <c r="AX75" s="49">
        <v>0</v>
      </c>
      <c r="AY75" s="50">
        <v>0</v>
      </c>
      <c r="AZ75" s="49">
        <v>0</v>
      </c>
      <c r="BA75" s="50">
        <v>0</v>
      </c>
      <c r="BB75" s="49">
        <v>2</v>
      </c>
      <c r="BC75" s="50">
        <v>100</v>
      </c>
      <c r="BD75" s="49">
        <v>2</v>
      </c>
      <c r="BE75" s="49"/>
      <c r="BF75" s="49"/>
      <c r="BG75" s="49"/>
      <c r="BH75" s="49"/>
      <c r="BI75" s="49"/>
      <c r="BJ75" s="49"/>
      <c r="BK75" s="127" t="s">
        <v>795</v>
      </c>
      <c r="BL75" s="127" t="s">
        <v>795</v>
      </c>
      <c r="BM75" s="127" t="s">
        <v>666</v>
      </c>
      <c r="BN75" s="127" t="s">
        <v>666</v>
      </c>
      <c r="BO75" s="2"/>
      <c r="BP75" s="3"/>
      <c r="BQ75" s="3"/>
      <c r="BR75" s="3"/>
      <c r="BS75" s="3"/>
    </row>
    <row r="76" spans="1:71" ht="15">
      <c r="A76" s="65" t="s">
        <v>303</v>
      </c>
      <c r="B76" s="66"/>
      <c r="C76" s="66"/>
      <c r="D76" s="67">
        <v>150</v>
      </c>
      <c r="E76" s="69"/>
      <c r="F76" s="108" t="str">
        <f>HYPERLINK("https://yt3.ggpht.com/Kc6zkIOQkwRbUwNWaOXWgtwBUCZ5tg1glcTx6WtUJ3vmy4nEzgnPhRBb0Xpm0fLqc4Y4r6ncjQ=s88-c-k-c0x00ffffff-no-rj")</f>
        <v>https://yt3.ggpht.com/Kc6zkIOQkwRbUwNWaOXWgtwBUCZ5tg1glcTx6WtUJ3vmy4nEzgnPhRBb0Xpm0fLqc4Y4r6ncjQ=s88-c-k-c0x00ffffff-no-rj</v>
      </c>
      <c r="G76" s="66"/>
      <c r="H76" s="70" t="s">
        <v>582</v>
      </c>
      <c r="I76" s="71"/>
      <c r="J76" s="71" t="s">
        <v>159</v>
      </c>
      <c r="K76" s="70" t="s">
        <v>582</v>
      </c>
      <c r="L76" s="74">
        <v>1</v>
      </c>
      <c r="M76" s="75">
        <v>5408.17041015625</v>
      </c>
      <c r="N76" s="75">
        <v>4089.1865234375</v>
      </c>
      <c r="O76" s="76"/>
      <c r="P76" s="77"/>
      <c r="Q76" s="77"/>
      <c r="R76" s="101"/>
      <c r="S76" s="49">
        <v>0</v>
      </c>
      <c r="T76" s="49">
        <v>2</v>
      </c>
      <c r="U76" s="50">
        <v>0</v>
      </c>
      <c r="V76" s="50">
        <v>0.005236</v>
      </c>
      <c r="W76" s="50">
        <v>0.016264</v>
      </c>
      <c r="X76" s="50">
        <v>0.809964</v>
      </c>
      <c r="Y76" s="50">
        <v>0.5</v>
      </c>
      <c r="Z76" s="50">
        <v>0</v>
      </c>
      <c r="AA76" s="72">
        <v>76</v>
      </c>
      <c r="AB76" s="72"/>
      <c r="AC76" s="73"/>
      <c r="AD76" s="89" t="s">
        <v>582</v>
      </c>
      <c r="AE76" s="89" t="s">
        <v>714</v>
      </c>
      <c r="AF76" s="89"/>
      <c r="AG76" s="89"/>
      <c r="AH76" s="89"/>
      <c r="AI76" s="89"/>
      <c r="AJ76" s="98">
        <v>41220.690567129626</v>
      </c>
      <c r="AK76" s="95" t="str">
        <f>HYPERLINK("https://yt3.ggpht.com/Kc6zkIOQkwRbUwNWaOXWgtwBUCZ5tg1glcTx6WtUJ3vmy4nEzgnPhRBb0Xpm0fLqc4Y4r6ncjQ=s88-c-k-c0x00ffffff-no-rj")</f>
        <v>https://yt3.ggpht.com/Kc6zkIOQkwRbUwNWaOXWgtwBUCZ5tg1glcTx6WtUJ3vmy4nEzgnPhRBb0Xpm0fLqc4Y4r6ncjQ=s88-c-k-c0x00ffffff-no-rj</v>
      </c>
      <c r="AL76" s="89">
        <v>24</v>
      </c>
      <c r="AM76" s="89">
        <v>0</v>
      </c>
      <c r="AN76" s="89">
        <v>5</v>
      </c>
      <c r="AO76" s="89" t="b">
        <v>0</v>
      </c>
      <c r="AP76" s="89">
        <v>2</v>
      </c>
      <c r="AQ76" s="89"/>
      <c r="AR76" s="89"/>
      <c r="AS76" s="89" t="s">
        <v>736</v>
      </c>
      <c r="AT76" s="95" t="str">
        <f>HYPERLINK("https://www.youtube.com/channel/UCdf__4wGpIoAJUxaHzh52Rg")</f>
        <v>https://www.youtube.com/channel/UCdf__4wGpIoAJUxaHzh52Rg</v>
      </c>
      <c r="AU76" s="89" t="str">
        <f>REPLACE(INDEX(GroupVertices[Group],MATCH(Vertices[[#This Row],[Vertex]],GroupVertices[Vertex],0)),1,1,"")</f>
        <v>2</v>
      </c>
      <c r="AV76" s="49">
        <v>0</v>
      </c>
      <c r="AW76" s="50">
        <v>0</v>
      </c>
      <c r="AX76" s="49">
        <v>0</v>
      </c>
      <c r="AY76" s="50">
        <v>0</v>
      </c>
      <c r="AZ76" s="49">
        <v>0</v>
      </c>
      <c r="BA76" s="50">
        <v>0</v>
      </c>
      <c r="BB76" s="49">
        <v>2</v>
      </c>
      <c r="BC76" s="50">
        <v>100</v>
      </c>
      <c r="BD76" s="49">
        <v>2</v>
      </c>
      <c r="BE76" s="49"/>
      <c r="BF76" s="49"/>
      <c r="BG76" s="49"/>
      <c r="BH76" s="49"/>
      <c r="BI76" s="49"/>
      <c r="BJ76" s="49"/>
      <c r="BK76" s="127" t="s">
        <v>1091</v>
      </c>
      <c r="BL76" s="127" t="s">
        <v>1091</v>
      </c>
      <c r="BM76" s="127" t="s">
        <v>666</v>
      </c>
      <c r="BN76" s="127" t="s">
        <v>666</v>
      </c>
      <c r="BO76" s="2"/>
      <c r="BP76" s="3"/>
      <c r="BQ76" s="3"/>
      <c r="BR76" s="3"/>
      <c r="BS76" s="3"/>
    </row>
    <row r="77" spans="1:71" ht="15">
      <c r="A77" s="65" t="s">
        <v>280</v>
      </c>
      <c r="B77" s="66"/>
      <c r="C77" s="66"/>
      <c r="D77" s="67">
        <v>1000</v>
      </c>
      <c r="E77" s="69"/>
      <c r="F77" s="108" t="str">
        <f>HYPERLINK("https://yt3.ggpht.com/n11YFB9p_4prxpz-0QZJforPYI8qU9aGk97UlHRqj7u-07a7lFe2qNDo0zS2PFENeuiR99Y4JQ=s88-c-k-c0x00ffffff-no-rj")</f>
        <v>https://yt3.ggpht.com/n11YFB9p_4prxpz-0QZJforPYI8qU9aGk97UlHRqj7u-07a7lFe2qNDo0zS2PFENeuiR99Y4JQ=s88-c-k-c0x00ffffff-no-rj</v>
      </c>
      <c r="G77" s="66"/>
      <c r="H77" s="70" t="s">
        <v>559</v>
      </c>
      <c r="I77" s="71"/>
      <c r="J77" s="71" t="s">
        <v>75</v>
      </c>
      <c r="K77" s="70" t="s">
        <v>559</v>
      </c>
      <c r="L77" s="74">
        <v>4500.1</v>
      </c>
      <c r="M77" s="75">
        <v>5405.81201171875</v>
      </c>
      <c r="N77" s="75">
        <v>6954.705078125</v>
      </c>
      <c r="O77" s="76"/>
      <c r="P77" s="77"/>
      <c r="Q77" s="77"/>
      <c r="R77" s="101"/>
      <c r="S77" s="49">
        <v>27</v>
      </c>
      <c r="T77" s="49">
        <v>3</v>
      </c>
      <c r="U77" s="50">
        <v>3376.666667</v>
      </c>
      <c r="V77" s="50">
        <v>0.006098</v>
      </c>
      <c r="W77" s="50">
        <v>0.03912</v>
      </c>
      <c r="X77" s="50">
        <v>11.474038</v>
      </c>
      <c r="Y77" s="50">
        <v>0.007936507936507936</v>
      </c>
      <c r="Z77" s="50">
        <v>0</v>
      </c>
      <c r="AA77" s="72">
        <v>77</v>
      </c>
      <c r="AB77" s="72"/>
      <c r="AC77" s="73"/>
      <c r="AD77" s="89" t="s">
        <v>559</v>
      </c>
      <c r="AE77" s="89" t="s">
        <v>701</v>
      </c>
      <c r="AF77" s="89"/>
      <c r="AG77" s="89"/>
      <c r="AH77" s="89"/>
      <c r="AI77" s="89" t="s">
        <v>735</v>
      </c>
      <c r="AJ77" s="98">
        <v>42570.780011574076</v>
      </c>
      <c r="AK77" s="95" t="str">
        <f>HYPERLINK("https://yt3.ggpht.com/n11YFB9p_4prxpz-0QZJforPYI8qU9aGk97UlHRqj7u-07a7lFe2qNDo0zS2PFENeuiR99Y4JQ=s88-c-k-c0x00ffffff-no-rj")</f>
        <v>https://yt3.ggpht.com/n11YFB9p_4prxpz-0QZJforPYI8qU9aGk97UlHRqj7u-07a7lFe2qNDo0zS2PFENeuiR99Y4JQ=s88-c-k-c0x00ffffff-no-rj</v>
      </c>
      <c r="AL77" s="89">
        <v>3373819</v>
      </c>
      <c r="AM77" s="89">
        <v>0</v>
      </c>
      <c r="AN77" s="89">
        <v>2440</v>
      </c>
      <c r="AO77" s="89" t="b">
        <v>0</v>
      </c>
      <c r="AP77" s="89">
        <v>29</v>
      </c>
      <c r="AQ77" s="89"/>
      <c r="AR77" s="89"/>
      <c r="AS77" s="89" t="s">
        <v>736</v>
      </c>
      <c r="AT77" s="95" t="str">
        <f>HYPERLINK("https://www.youtube.com/channel/UClnojW-58I9WE8weIj_0J9A")</f>
        <v>https://www.youtube.com/channel/UClnojW-58I9WE8weIj_0J9A</v>
      </c>
      <c r="AU77" s="89" t="str">
        <f>REPLACE(INDEX(GroupVertices[Group],MATCH(Vertices[[#This Row],[Vertex]],GroupVertices[Vertex],0)),1,1,"")</f>
        <v>2</v>
      </c>
      <c r="AV77" s="49">
        <v>1</v>
      </c>
      <c r="AW77" s="50">
        <v>2.6315789473684212</v>
      </c>
      <c r="AX77" s="49">
        <v>0</v>
      </c>
      <c r="AY77" s="50">
        <v>0</v>
      </c>
      <c r="AZ77" s="49">
        <v>0</v>
      </c>
      <c r="BA77" s="50">
        <v>0</v>
      </c>
      <c r="BB77" s="49">
        <v>37</v>
      </c>
      <c r="BC77" s="50">
        <v>97.36842105263158</v>
      </c>
      <c r="BD77" s="49">
        <v>38</v>
      </c>
      <c r="BE77" s="49"/>
      <c r="BF77" s="49"/>
      <c r="BG77" s="49"/>
      <c r="BH77" s="49"/>
      <c r="BI77" s="49"/>
      <c r="BJ77" s="49"/>
      <c r="BK77" s="127" t="s">
        <v>1092</v>
      </c>
      <c r="BL77" s="127" t="s">
        <v>1092</v>
      </c>
      <c r="BM77" s="127" t="s">
        <v>1170</v>
      </c>
      <c r="BN77" s="127" t="s">
        <v>1170</v>
      </c>
      <c r="BO77" s="2"/>
      <c r="BP77" s="3"/>
      <c r="BQ77" s="3"/>
      <c r="BR77" s="3"/>
      <c r="BS77" s="3"/>
    </row>
    <row r="78" spans="1:71" ht="15">
      <c r="A78" s="65" t="s">
        <v>236</v>
      </c>
      <c r="B78" s="66"/>
      <c r="C78" s="66"/>
      <c r="D78" s="67">
        <v>150</v>
      </c>
      <c r="E78" s="69"/>
      <c r="F78" s="108" t="str">
        <f>HYPERLINK("https://yt3.ggpht.com/ytc/AAUvwnhvPX-JM5HYx0KeRAgxOVbt7nmaIoNH1Qz2Vw=s88-c-k-c0x00ffffff-no-rj")</f>
        <v>https://yt3.ggpht.com/ytc/AAUvwnhvPX-JM5HYx0KeRAgxOVbt7nmaIoNH1Qz2Vw=s88-c-k-c0x00ffffff-no-rj</v>
      </c>
      <c r="G78" s="66"/>
      <c r="H78" s="70" t="s">
        <v>515</v>
      </c>
      <c r="I78" s="71"/>
      <c r="J78" s="71" t="s">
        <v>159</v>
      </c>
      <c r="K78" s="70" t="s">
        <v>515</v>
      </c>
      <c r="L78" s="74">
        <v>1</v>
      </c>
      <c r="M78" s="75">
        <v>8095.6328125</v>
      </c>
      <c r="N78" s="75">
        <v>9008.2158203125</v>
      </c>
      <c r="O78" s="76"/>
      <c r="P78" s="77"/>
      <c r="Q78" s="77"/>
      <c r="R78" s="101"/>
      <c r="S78" s="49">
        <v>0</v>
      </c>
      <c r="T78" s="49">
        <v>1</v>
      </c>
      <c r="U78" s="50">
        <v>0</v>
      </c>
      <c r="V78" s="50">
        <v>0.022727</v>
      </c>
      <c r="W78" s="50">
        <v>0</v>
      </c>
      <c r="X78" s="50">
        <v>0.549699</v>
      </c>
      <c r="Y78" s="50">
        <v>0</v>
      </c>
      <c r="Z78" s="50">
        <v>0</v>
      </c>
      <c r="AA78" s="72">
        <v>78</v>
      </c>
      <c r="AB78" s="72"/>
      <c r="AC78" s="73"/>
      <c r="AD78" s="89" t="s">
        <v>515</v>
      </c>
      <c r="AE78" s="89"/>
      <c r="AF78" s="89"/>
      <c r="AG78" s="89"/>
      <c r="AH78" s="89"/>
      <c r="AI78" s="89"/>
      <c r="AJ78" s="98">
        <v>41542.33988425926</v>
      </c>
      <c r="AK78" s="95" t="str">
        <f>HYPERLINK("https://yt3.ggpht.com/ytc/AAUvwnhvPX-JM5HYx0KeRAgxOVbt7nmaIoNH1Qz2Vw=s88-c-k-c0x00ffffff-no-rj")</f>
        <v>https://yt3.ggpht.com/ytc/AAUvwnhvPX-JM5HYx0KeRAgxOVbt7nmaIoNH1Qz2Vw=s88-c-k-c0x00ffffff-no-rj</v>
      </c>
      <c r="AL78" s="89">
        <v>0</v>
      </c>
      <c r="AM78" s="89">
        <v>0</v>
      </c>
      <c r="AN78" s="89">
        <v>0</v>
      </c>
      <c r="AO78" s="89" t="b">
        <v>0</v>
      </c>
      <c r="AP78" s="89">
        <v>0</v>
      </c>
      <c r="AQ78" s="89"/>
      <c r="AR78" s="89"/>
      <c r="AS78" s="89" t="s">
        <v>736</v>
      </c>
      <c r="AT78" s="95" t="str">
        <f>HYPERLINK("https://www.youtube.com/channel/UC7rNPh7zNnIm-1yWgTKmYrw")</f>
        <v>https://www.youtube.com/channel/UC7rNPh7zNnIm-1yWgTKmYrw</v>
      </c>
      <c r="AU78" s="89" t="str">
        <f>REPLACE(INDEX(GroupVertices[Group],MATCH(Vertices[[#This Row],[Vertex]],GroupVertices[Vertex],0)),1,1,"")</f>
        <v>3</v>
      </c>
      <c r="AV78" s="49">
        <v>0</v>
      </c>
      <c r="AW78" s="50">
        <v>0</v>
      </c>
      <c r="AX78" s="49">
        <v>0</v>
      </c>
      <c r="AY78" s="50">
        <v>0</v>
      </c>
      <c r="AZ78" s="49">
        <v>0</v>
      </c>
      <c r="BA78" s="50">
        <v>0</v>
      </c>
      <c r="BB78" s="49">
        <v>3</v>
      </c>
      <c r="BC78" s="50">
        <v>100</v>
      </c>
      <c r="BD78" s="49">
        <v>3</v>
      </c>
      <c r="BE78" s="49"/>
      <c r="BF78" s="49"/>
      <c r="BG78" s="49"/>
      <c r="BH78" s="49"/>
      <c r="BI78" s="49"/>
      <c r="BJ78" s="49"/>
      <c r="BK78" s="127" t="s">
        <v>1093</v>
      </c>
      <c r="BL78" s="127" t="s">
        <v>1093</v>
      </c>
      <c r="BM78" s="127" t="s">
        <v>666</v>
      </c>
      <c r="BN78" s="127" t="s">
        <v>666</v>
      </c>
      <c r="BO78" s="2"/>
      <c r="BP78" s="3"/>
      <c r="BQ78" s="3"/>
      <c r="BR78" s="3"/>
      <c r="BS78" s="3"/>
    </row>
    <row r="79" spans="1:71" ht="15">
      <c r="A79" s="65" t="s">
        <v>268</v>
      </c>
      <c r="B79" s="66"/>
      <c r="C79" s="66"/>
      <c r="D79" s="67">
        <v>150</v>
      </c>
      <c r="E79" s="69"/>
      <c r="F79" s="108" t="str">
        <f>HYPERLINK("https://yt3.ggpht.com/ytc/AAUvwnh0NuJAnvRR7sngog03xZR4FSUfMAS4EcXQwOgNIkc=s88-c-k-c0x00ffffff-no-rj")</f>
        <v>https://yt3.ggpht.com/ytc/AAUvwnh0NuJAnvRR7sngog03xZR4FSUfMAS4EcXQwOgNIkc=s88-c-k-c0x00ffffff-no-rj</v>
      </c>
      <c r="G79" s="66"/>
      <c r="H79" s="70" t="s">
        <v>547</v>
      </c>
      <c r="I79" s="71"/>
      <c r="J79" s="71" t="s">
        <v>159</v>
      </c>
      <c r="K79" s="70" t="s">
        <v>547</v>
      </c>
      <c r="L79" s="74">
        <v>1</v>
      </c>
      <c r="M79" s="75">
        <v>7958.33349609375</v>
      </c>
      <c r="N79" s="75">
        <v>3485.923095703125</v>
      </c>
      <c r="O79" s="76"/>
      <c r="P79" s="77"/>
      <c r="Q79" s="77"/>
      <c r="R79" s="101"/>
      <c r="S79" s="49">
        <v>0</v>
      </c>
      <c r="T79" s="49">
        <v>1</v>
      </c>
      <c r="U79" s="50">
        <v>0</v>
      </c>
      <c r="V79" s="50">
        <v>0.003344</v>
      </c>
      <c r="W79" s="50">
        <v>0.001396</v>
      </c>
      <c r="X79" s="50">
        <v>0.5483</v>
      </c>
      <c r="Y79" s="50">
        <v>0</v>
      </c>
      <c r="Z79" s="50">
        <v>0</v>
      </c>
      <c r="AA79" s="72">
        <v>79</v>
      </c>
      <c r="AB79" s="72"/>
      <c r="AC79" s="73"/>
      <c r="AD79" s="89" t="s">
        <v>547</v>
      </c>
      <c r="AE79" s="89"/>
      <c r="AF79" s="89"/>
      <c r="AG79" s="89"/>
      <c r="AH79" s="89"/>
      <c r="AI79" s="89"/>
      <c r="AJ79" s="98">
        <v>42824.04043981482</v>
      </c>
      <c r="AK79" s="95" t="str">
        <f>HYPERLINK("https://yt3.ggpht.com/ytc/AAUvwnh0NuJAnvRR7sngog03xZR4FSUfMAS4EcXQwOgNIkc=s88-c-k-c0x00ffffff-no-rj")</f>
        <v>https://yt3.ggpht.com/ytc/AAUvwnh0NuJAnvRR7sngog03xZR4FSUfMAS4EcXQwOgNIkc=s88-c-k-c0x00ffffff-no-rj</v>
      </c>
      <c r="AL79" s="89">
        <v>0</v>
      </c>
      <c r="AM79" s="89">
        <v>0</v>
      </c>
      <c r="AN79" s="89">
        <v>11</v>
      </c>
      <c r="AO79" s="89" t="b">
        <v>0</v>
      </c>
      <c r="AP79" s="89">
        <v>0</v>
      </c>
      <c r="AQ79" s="89"/>
      <c r="AR79" s="89"/>
      <c r="AS79" s="89" t="s">
        <v>736</v>
      </c>
      <c r="AT79" s="95" t="str">
        <f>HYPERLINK("https://www.youtube.com/channel/UCg_EfW_2gQANwFQOUyaDa2g")</f>
        <v>https://www.youtube.com/channel/UCg_EfW_2gQANwFQOUyaDa2g</v>
      </c>
      <c r="AU79" s="89" t="str">
        <f>REPLACE(INDEX(GroupVertices[Group],MATCH(Vertices[[#This Row],[Vertex]],GroupVertices[Vertex],0)),1,1,"")</f>
        <v>7</v>
      </c>
      <c r="AV79" s="49">
        <v>0</v>
      </c>
      <c r="AW79" s="50">
        <v>0</v>
      </c>
      <c r="AX79" s="49">
        <v>0</v>
      </c>
      <c r="AY79" s="50">
        <v>0</v>
      </c>
      <c r="AZ79" s="49">
        <v>0</v>
      </c>
      <c r="BA79" s="50">
        <v>0</v>
      </c>
      <c r="BB79" s="49">
        <v>2</v>
      </c>
      <c r="BC79" s="50">
        <v>100</v>
      </c>
      <c r="BD79" s="49">
        <v>2</v>
      </c>
      <c r="BE79" s="49"/>
      <c r="BF79" s="49"/>
      <c r="BG79" s="49"/>
      <c r="BH79" s="49"/>
      <c r="BI79" s="49"/>
      <c r="BJ79" s="49"/>
      <c r="BK79" s="127" t="s">
        <v>666</v>
      </c>
      <c r="BL79" s="127" t="s">
        <v>666</v>
      </c>
      <c r="BM79" s="127" t="s">
        <v>666</v>
      </c>
      <c r="BN79" s="127" t="s">
        <v>666</v>
      </c>
      <c r="BO79" s="2"/>
      <c r="BP79" s="3"/>
      <c r="BQ79" s="3"/>
      <c r="BR79" s="3"/>
      <c r="BS79" s="3"/>
    </row>
    <row r="80" spans="1:71" ht="15">
      <c r="A80" s="65" t="s">
        <v>244</v>
      </c>
      <c r="B80" s="66"/>
      <c r="C80" s="66"/>
      <c r="D80" s="67">
        <v>150</v>
      </c>
      <c r="E80" s="69"/>
      <c r="F80" s="108" t="str">
        <f>HYPERLINK("https://yt3.ggpht.com/ytc/AAUvwngnZZ2y-A6fKjo-5Mt6tIDOmTspu985QeV1SSFLsQ=s88-c-k-c0x00ffffff-no-rj")</f>
        <v>https://yt3.ggpht.com/ytc/AAUvwngnZZ2y-A6fKjo-5Mt6tIDOmTspu985QeV1SSFLsQ=s88-c-k-c0x00ffffff-no-rj</v>
      </c>
      <c r="G80" s="66"/>
      <c r="H80" s="70" t="s">
        <v>523</v>
      </c>
      <c r="I80" s="71"/>
      <c r="J80" s="71" t="s">
        <v>159</v>
      </c>
      <c r="K80" s="70" t="s">
        <v>523</v>
      </c>
      <c r="L80" s="74">
        <v>1</v>
      </c>
      <c r="M80" s="75">
        <v>7678.9736328125</v>
      </c>
      <c r="N80" s="75">
        <v>5521.9775390625</v>
      </c>
      <c r="O80" s="76"/>
      <c r="P80" s="77"/>
      <c r="Q80" s="77"/>
      <c r="R80" s="101"/>
      <c r="S80" s="49">
        <v>0</v>
      </c>
      <c r="T80" s="49">
        <v>1</v>
      </c>
      <c r="U80" s="50">
        <v>0</v>
      </c>
      <c r="V80" s="50">
        <v>0.022727</v>
      </c>
      <c r="W80" s="50">
        <v>0</v>
      </c>
      <c r="X80" s="50">
        <v>0.549699</v>
      </c>
      <c r="Y80" s="50">
        <v>0</v>
      </c>
      <c r="Z80" s="50">
        <v>0</v>
      </c>
      <c r="AA80" s="72">
        <v>80</v>
      </c>
      <c r="AB80" s="72"/>
      <c r="AC80" s="73"/>
      <c r="AD80" s="89" t="s">
        <v>523</v>
      </c>
      <c r="AE80" s="89"/>
      <c r="AF80" s="89"/>
      <c r="AG80" s="89"/>
      <c r="AH80" s="89"/>
      <c r="AI80" s="89"/>
      <c r="AJ80" s="98">
        <v>44064.566469907404</v>
      </c>
      <c r="AK80" s="95" t="str">
        <f>HYPERLINK("https://yt3.ggpht.com/ytc/AAUvwngnZZ2y-A6fKjo-5Mt6tIDOmTspu985QeV1SSFLsQ=s88-c-k-c0x00ffffff-no-rj")</f>
        <v>https://yt3.ggpht.com/ytc/AAUvwngnZZ2y-A6fKjo-5Mt6tIDOmTspu985QeV1SSFLsQ=s88-c-k-c0x00ffffff-no-rj</v>
      </c>
      <c r="AL80" s="89">
        <v>0</v>
      </c>
      <c r="AM80" s="89">
        <v>0</v>
      </c>
      <c r="AN80" s="89">
        <v>0</v>
      </c>
      <c r="AO80" s="89" t="b">
        <v>0</v>
      </c>
      <c r="AP80" s="89">
        <v>0</v>
      </c>
      <c r="AQ80" s="89"/>
      <c r="AR80" s="89"/>
      <c r="AS80" s="89" t="s">
        <v>736</v>
      </c>
      <c r="AT80" s="95" t="str">
        <f>HYPERLINK("https://www.youtube.com/channel/UC4v9ixY7tjtvkKVlE8vXygQ")</f>
        <v>https://www.youtube.com/channel/UC4v9ixY7tjtvkKVlE8vXygQ</v>
      </c>
      <c r="AU80" s="89" t="str">
        <f>REPLACE(INDEX(GroupVertices[Group],MATCH(Vertices[[#This Row],[Vertex]],GroupVertices[Vertex],0)),1,1,"")</f>
        <v>3</v>
      </c>
      <c r="AV80" s="49">
        <v>0</v>
      </c>
      <c r="AW80" s="50">
        <v>0</v>
      </c>
      <c r="AX80" s="49">
        <v>1</v>
      </c>
      <c r="AY80" s="50">
        <v>50</v>
      </c>
      <c r="AZ80" s="49">
        <v>0</v>
      </c>
      <c r="BA80" s="50">
        <v>0</v>
      </c>
      <c r="BB80" s="49">
        <v>1</v>
      </c>
      <c r="BC80" s="50">
        <v>50</v>
      </c>
      <c r="BD80" s="49">
        <v>2</v>
      </c>
      <c r="BE80" s="49"/>
      <c r="BF80" s="49"/>
      <c r="BG80" s="49"/>
      <c r="BH80" s="49"/>
      <c r="BI80" s="49"/>
      <c r="BJ80" s="49"/>
      <c r="BK80" s="127" t="s">
        <v>1094</v>
      </c>
      <c r="BL80" s="127" t="s">
        <v>1094</v>
      </c>
      <c r="BM80" s="127" t="s">
        <v>666</v>
      </c>
      <c r="BN80" s="127" t="s">
        <v>666</v>
      </c>
      <c r="BO80" s="2"/>
      <c r="BP80" s="3"/>
      <c r="BQ80" s="3"/>
      <c r="BR80" s="3"/>
      <c r="BS80" s="3"/>
    </row>
    <row r="81" spans="1:71" ht="15">
      <c r="A81" s="65" t="s">
        <v>257</v>
      </c>
      <c r="B81" s="66"/>
      <c r="C81" s="66"/>
      <c r="D81" s="67">
        <v>150</v>
      </c>
      <c r="E81" s="69"/>
      <c r="F81" s="108" t="str">
        <f>HYPERLINK("https://yt3.ggpht.com/ytc/AAUvwnhtEftSlP06iDQlkEtapCB2SteJ20kTHZEN3w=s88-c-k-c0x00ffffff-no-rj")</f>
        <v>https://yt3.ggpht.com/ytc/AAUvwnhtEftSlP06iDQlkEtapCB2SteJ20kTHZEN3w=s88-c-k-c0x00ffffff-no-rj</v>
      </c>
      <c r="G81" s="66"/>
      <c r="H81" s="70" t="s">
        <v>536</v>
      </c>
      <c r="I81" s="71"/>
      <c r="J81" s="71" t="s">
        <v>159</v>
      </c>
      <c r="K81" s="70" t="s">
        <v>536</v>
      </c>
      <c r="L81" s="74">
        <v>1</v>
      </c>
      <c r="M81" s="75">
        <v>3155.8818359375</v>
      </c>
      <c r="N81" s="75">
        <v>9087.6337890625</v>
      </c>
      <c r="O81" s="76"/>
      <c r="P81" s="77"/>
      <c r="Q81" s="77"/>
      <c r="R81" s="101"/>
      <c r="S81" s="49">
        <v>0</v>
      </c>
      <c r="T81" s="49">
        <v>1</v>
      </c>
      <c r="U81" s="50">
        <v>0</v>
      </c>
      <c r="V81" s="50">
        <v>0.003356</v>
      </c>
      <c r="W81" s="50">
        <v>0.00164</v>
      </c>
      <c r="X81" s="50">
        <v>0.473467</v>
      </c>
      <c r="Y81" s="50">
        <v>0</v>
      </c>
      <c r="Z81" s="50">
        <v>0</v>
      </c>
      <c r="AA81" s="72">
        <v>81</v>
      </c>
      <c r="AB81" s="72"/>
      <c r="AC81" s="73"/>
      <c r="AD81" s="89" t="s">
        <v>536</v>
      </c>
      <c r="AE81" s="89"/>
      <c r="AF81" s="89"/>
      <c r="AG81" s="89"/>
      <c r="AH81" s="89"/>
      <c r="AI81" s="89"/>
      <c r="AJ81" s="98">
        <v>43781.48681712963</v>
      </c>
      <c r="AK81" s="95" t="str">
        <f>HYPERLINK("https://yt3.ggpht.com/ytc/AAUvwnhtEftSlP06iDQlkEtapCB2SteJ20kTHZEN3w=s88-c-k-c0x00ffffff-no-rj")</f>
        <v>https://yt3.ggpht.com/ytc/AAUvwnhtEftSlP06iDQlkEtapCB2SteJ20kTHZEN3w=s88-c-k-c0x00ffffff-no-rj</v>
      </c>
      <c r="AL81" s="89">
        <v>0</v>
      </c>
      <c r="AM81" s="89">
        <v>0</v>
      </c>
      <c r="AN81" s="89">
        <v>0</v>
      </c>
      <c r="AO81" s="89" t="b">
        <v>0</v>
      </c>
      <c r="AP81" s="89">
        <v>0</v>
      </c>
      <c r="AQ81" s="89"/>
      <c r="AR81" s="89"/>
      <c r="AS81" s="89" t="s">
        <v>736</v>
      </c>
      <c r="AT81" s="95" t="str">
        <f>HYPERLINK("https://www.youtube.com/channel/UCXoIkjZ6kQ_h-NIKNxbOseg")</f>
        <v>https://www.youtube.com/channel/UCXoIkjZ6kQ_h-NIKNxbOseg</v>
      </c>
      <c r="AU81" s="89" t="str">
        <f>REPLACE(INDEX(GroupVertices[Group],MATCH(Vertices[[#This Row],[Vertex]],GroupVertices[Vertex],0)),1,1,"")</f>
        <v>1</v>
      </c>
      <c r="AV81" s="49">
        <v>0</v>
      </c>
      <c r="AW81" s="50">
        <v>0</v>
      </c>
      <c r="AX81" s="49">
        <v>0</v>
      </c>
      <c r="AY81" s="50">
        <v>0</v>
      </c>
      <c r="AZ81" s="49">
        <v>0</v>
      </c>
      <c r="BA81" s="50">
        <v>0</v>
      </c>
      <c r="BB81" s="49">
        <v>1</v>
      </c>
      <c r="BC81" s="50">
        <v>100</v>
      </c>
      <c r="BD81" s="49">
        <v>1</v>
      </c>
      <c r="BE81" s="49"/>
      <c r="BF81" s="49"/>
      <c r="BG81" s="49"/>
      <c r="BH81" s="49"/>
      <c r="BI81" s="49"/>
      <c r="BJ81" s="49"/>
      <c r="BK81" s="127" t="s">
        <v>1095</v>
      </c>
      <c r="BL81" s="127" t="s">
        <v>1095</v>
      </c>
      <c r="BM81" s="127" t="s">
        <v>666</v>
      </c>
      <c r="BN81" s="127" t="s">
        <v>666</v>
      </c>
      <c r="BO81" s="2"/>
      <c r="BP81" s="3"/>
      <c r="BQ81" s="3"/>
      <c r="BR81" s="3"/>
      <c r="BS81" s="3"/>
    </row>
    <row r="82" spans="1:71" ht="15">
      <c r="A82" s="65" t="s">
        <v>262</v>
      </c>
      <c r="B82" s="66"/>
      <c r="C82" s="66"/>
      <c r="D82" s="67">
        <v>271.42857142857144</v>
      </c>
      <c r="E82" s="69"/>
      <c r="F82" s="108" t="str">
        <f>HYPERLINK("https://yt3.ggpht.com/ytc/AAUvwnj-3N07nk6Esw5UUQCaxftV9T2fQksmsyyefmNk=s88-c-k-c0x00ffffff-no-rj")</f>
        <v>https://yt3.ggpht.com/ytc/AAUvwnj-3N07nk6Esw5UUQCaxftV9T2fQksmsyyefmNk=s88-c-k-c0x00ffffff-no-rj</v>
      </c>
      <c r="G82" s="66"/>
      <c r="H82" s="70" t="s">
        <v>541</v>
      </c>
      <c r="I82" s="71"/>
      <c r="J82" s="71" t="s">
        <v>159</v>
      </c>
      <c r="K82" s="70" t="s">
        <v>541</v>
      </c>
      <c r="L82" s="74">
        <v>167.63333333333333</v>
      </c>
      <c r="M82" s="75">
        <v>2704.78125</v>
      </c>
      <c r="N82" s="75">
        <v>6583.5478515625</v>
      </c>
      <c r="O82" s="76"/>
      <c r="P82" s="77"/>
      <c r="Q82" s="77"/>
      <c r="R82" s="101"/>
      <c r="S82" s="49">
        <v>1</v>
      </c>
      <c r="T82" s="49">
        <v>1</v>
      </c>
      <c r="U82" s="50">
        <v>41.8</v>
      </c>
      <c r="V82" s="50">
        <v>0.004739</v>
      </c>
      <c r="W82" s="50">
        <v>0.012434</v>
      </c>
      <c r="X82" s="50">
        <v>0.780976</v>
      </c>
      <c r="Y82" s="50">
        <v>0</v>
      </c>
      <c r="Z82" s="50">
        <v>0</v>
      </c>
      <c r="AA82" s="72">
        <v>82</v>
      </c>
      <c r="AB82" s="72"/>
      <c r="AC82" s="73"/>
      <c r="AD82" s="89" t="s">
        <v>541</v>
      </c>
      <c r="AE82" s="89" t="s">
        <v>697</v>
      </c>
      <c r="AF82" s="89"/>
      <c r="AG82" s="89"/>
      <c r="AH82" s="89"/>
      <c r="AI82" s="89"/>
      <c r="AJ82" s="98">
        <v>41432.59502314815</v>
      </c>
      <c r="AK82" s="95" t="str">
        <f>HYPERLINK("https://yt3.ggpht.com/ytc/AAUvwnj-3N07nk6Esw5UUQCaxftV9T2fQksmsyyefmNk=s88-c-k-c0x00ffffff-no-rj")</f>
        <v>https://yt3.ggpht.com/ytc/AAUvwnj-3N07nk6Esw5UUQCaxftV9T2fQksmsyyefmNk=s88-c-k-c0x00ffffff-no-rj</v>
      </c>
      <c r="AL82" s="89">
        <v>1280</v>
      </c>
      <c r="AM82" s="89">
        <v>0</v>
      </c>
      <c r="AN82" s="89">
        <v>87</v>
      </c>
      <c r="AO82" s="89" t="b">
        <v>0</v>
      </c>
      <c r="AP82" s="89">
        <v>4</v>
      </c>
      <c r="AQ82" s="89"/>
      <c r="AR82" s="89"/>
      <c r="AS82" s="89" t="s">
        <v>736</v>
      </c>
      <c r="AT82" s="95" t="str">
        <f>HYPERLINK("https://www.youtube.com/channel/UCKeFH_4Fq0vPHhSr-GO7kgg")</f>
        <v>https://www.youtube.com/channel/UCKeFH_4Fq0vPHhSr-GO7kgg</v>
      </c>
      <c r="AU82" s="89" t="str">
        <f>REPLACE(INDEX(GroupVertices[Group],MATCH(Vertices[[#This Row],[Vertex]],GroupVertices[Vertex],0)),1,1,"")</f>
        <v>1</v>
      </c>
      <c r="AV82" s="49">
        <v>0</v>
      </c>
      <c r="AW82" s="50">
        <v>0</v>
      </c>
      <c r="AX82" s="49">
        <v>1</v>
      </c>
      <c r="AY82" s="50">
        <v>12.5</v>
      </c>
      <c r="AZ82" s="49">
        <v>0</v>
      </c>
      <c r="BA82" s="50">
        <v>0</v>
      </c>
      <c r="BB82" s="49">
        <v>7</v>
      </c>
      <c r="BC82" s="50">
        <v>87.5</v>
      </c>
      <c r="BD82" s="49">
        <v>8</v>
      </c>
      <c r="BE82" s="49"/>
      <c r="BF82" s="49"/>
      <c r="BG82" s="49"/>
      <c r="BH82" s="49"/>
      <c r="BI82" s="49"/>
      <c r="BJ82" s="49"/>
      <c r="BK82" s="127" t="s">
        <v>1096</v>
      </c>
      <c r="BL82" s="127" t="s">
        <v>1096</v>
      </c>
      <c r="BM82" s="127" t="s">
        <v>1171</v>
      </c>
      <c r="BN82" s="127" t="s">
        <v>1171</v>
      </c>
      <c r="BO82" s="2"/>
      <c r="BP82" s="3"/>
      <c r="BQ82" s="3"/>
      <c r="BR82" s="3"/>
      <c r="BS82" s="3"/>
    </row>
    <row r="83" spans="1:71" ht="15">
      <c r="A83" s="65" t="s">
        <v>277</v>
      </c>
      <c r="B83" s="66"/>
      <c r="C83" s="66"/>
      <c r="D83" s="67">
        <v>271.42857142857144</v>
      </c>
      <c r="E83" s="69"/>
      <c r="F83" s="108" t="str">
        <f>HYPERLINK("https://yt3.ggpht.com/ytc/AAUvwnimJ56ECtrwRXiIPBTnNJpxT7zn61hRQSrDqw=s88-c-k-c0x00ffffff-no-rj")</f>
        <v>https://yt3.ggpht.com/ytc/AAUvwnimJ56ECtrwRXiIPBTnNJpxT7zn61hRQSrDqw=s88-c-k-c0x00ffffff-no-rj</v>
      </c>
      <c r="G83" s="66"/>
      <c r="H83" s="70" t="s">
        <v>556</v>
      </c>
      <c r="I83" s="71"/>
      <c r="J83" s="71" t="s">
        <v>159</v>
      </c>
      <c r="K83" s="70" t="s">
        <v>556</v>
      </c>
      <c r="L83" s="74">
        <v>167.63333333333333</v>
      </c>
      <c r="M83" s="75">
        <v>8029.982421875</v>
      </c>
      <c r="N83" s="75">
        <v>599.6510009765625</v>
      </c>
      <c r="O83" s="76"/>
      <c r="P83" s="77"/>
      <c r="Q83" s="77"/>
      <c r="R83" s="101"/>
      <c r="S83" s="49">
        <v>1</v>
      </c>
      <c r="T83" s="49">
        <v>1</v>
      </c>
      <c r="U83" s="50">
        <v>180</v>
      </c>
      <c r="V83" s="50">
        <v>0.004739</v>
      </c>
      <c r="W83" s="50">
        <v>0.011897</v>
      </c>
      <c r="X83" s="50">
        <v>0.941144</v>
      </c>
      <c r="Y83" s="50">
        <v>0</v>
      </c>
      <c r="Z83" s="50">
        <v>0</v>
      </c>
      <c r="AA83" s="72">
        <v>83</v>
      </c>
      <c r="AB83" s="72"/>
      <c r="AC83" s="73"/>
      <c r="AD83" s="89" t="s">
        <v>556</v>
      </c>
      <c r="AE83" s="89"/>
      <c r="AF83" s="89"/>
      <c r="AG83" s="89"/>
      <c r="AH83" s="89"/>
      <c r="AI83" s="89"/>
      <c r="AJ83" s="98">
        <v>43527.619166666664</v>
      </c>
      <c r="AK83" s="95" t="str">
        <f>HYPERLINK("https://yt3.ggpht.com/ytc/AAUvwnimJ56ECtrwRXiIPBTnNJpxT7zn61hRQSrDqw=s88-c-k-c0x00ffffff-no-rj")</f>
        <v>https://yt3.ggpht.com/ytc/AAUvwnimJ56ECtrwRXiIPBTnNJpxT7zn61hRQSrDqw=s88-c-k-c0x00ffffff-no-rj</v>
      </c>
      <c r="AL83" s="89">
        <v>0</v>
      </c>
      <c r="AM83" s="89">
        <v>0</v>
      </c>
      <c r="AN83" s="89">
        <v>1</v>
      </c>
      <c r="AO83" s="89" t="b">
        <v>0</v>
      </c>
      <c r="AP83" s="89">
        <v>0</v>
      </c>
      <c r="AQ83" s="89"/>
      <c r="AR83" s="89"/>
      <c r="AS83" s="89" t="s">
        <v>736</v>
      </c>
      <c r="AT83" s="95" t="str">
        <f>HYPERLINK("https://www.youtube.com/channel/UCrCIH0x2X9Nq-qc3OyNPLZQ")</f>
        <v>https://www.youtube.com/channel/UCrCIH0x2X9Nq-qc3OyNPLZQ</v>
      </c>
      <c r="AU83" s="89" t="str">
        <f>REPLACE(INDEX(GroupVertices[Group],MATCH(Vertices[[#This Row],[Vertex]],GroupVertices[Vertex],0)),1,1,"")</f>
        <v>11</v>
      </c>
      <c r="AV83" s="49">
        <v>1</v>
      </c>
      <c r="AW83" s="50">
        <v>33.333333333333336</v>
      </c>
      <c r="AX83" s="49">
        <v>0</v>
      </c>
      <c r="AY83" s="50">
        <v>0</v>
      </c>
      <c r="AZ83" s="49">
        <v>0</v>
      </c>
      <c r="BA83" s="50">
        <v>0</v>
      </c>
      <c r="BB83" s="49">
        <v>2</v>
      </c>
      <c r="BC83" s="50">
        <v>66.66666666666667</v>
      </c>
      <c r="BD83" s="49">
        <v>3</v>
      </c>
      <c r="BE83" s="49"/>
      <c r="BF83" s="49"/>
      <c r="BG83" s="49"/>
      <c r="BH83" s="49"/>
      <c r="BI83" s="49"/>
      <c r="BJ83" s="49"/>
      <c r="BK83" s="127" t="s">
        <v>1097</v>
      </c>
      <c r="BL83" s="127" t="s">
        <v>1097</v>
      </c>
      <c r="BM83" s="127" t="s">
        <v>1172</v>
      </c>
      <c r="BN83" s="127" t="s">
        <v>1172</v>
      </c>
      <c r="BO83" s="2"/>
      <c r="BP83" s="3"/>
      <c r="BQ83" s="3"/>
      <c r="BR83" s="3"/>
      <c r="BS83" s="3"/>
    </row>
    <row r="84" spans="1:71" ht="15">
      <c r="A84" s="65" t="s">
        <v>255</v>
      </c>
      <c r="B84" s="66"/>
      <c r="C84" s="66"/>
      <c r="D84" s="67">
        <v>150</v>
      </c>
      <c r="E84" s="69"/>
      <c r="F84" s="108" t="str">
        <f>HYPERLINK("https://yt3.ggpht.com/ytc/AAUvwnhHjwtN5tOocSbG3GXzMzEBeEbelU6JZu-wvXVMyA=s88-c-k-c0x00ffffff-no-rj")</f>
        <v>https://yt3.ggpht.com/ytc/AAUvwnhHjwtN5tOocSbG3GXzMzEBeEbelU6JZu-wvXVMyA=s88-c-k-c0x00ffffff-no-rj</v>
      </c>
      <c r="G84" s="66"/>
      <c r="H84" s="70" t="s">
        <v>534</v>
      </c>
      <c r="I84" s="71"/>
      <c r="J84" s="71" t="s">
        <v>159</v>
      </c>
      <c r="K84" s="70" t="s">
        <v>534</v>
      </c>
      <c r="L84" s="74">
        <v>1</v>
      </c>
      <c r="M84" s="75">
        <v>8314.1240234375</v>
      </c>
      <c r="N84" s="75">
        <v>4089.1865234375</v>
      </c>
      <c r="O84" s="76"/>
      <c r="P84" s="77"/>
      <c r="Q84" s="77"/>
      <c r="R84" s="101"/>
      <c r="S84" s="49">
        <v>0</v>
      </c>
      <c r="T84" s="49">
        <v>1</v>
      </c>
      <c r="U84" s="50">
        <v>0</v>
      </c>
      <c r="V84" s="50">
        <v>0.022727</v>
      </c>
      <c r="W84" s="50">
        <v>0</v>
      </c>
      <c r="X84" s="50">
        <v>0.549699</v>
      </c>
      <c r="Y84" s="50">
        <v>0</v>
      </c>
      <c r="Z84" s="50">
        <v>0</v>
      </c>
      <c r="AA84" s="72">
        <v>84</v>
      </c>
      <c r="AB84" s="72"/>
      <c r="AC84" s="73"/>
      <c r="AD84" s="89" t="s">
        <v>534</v>
      </c>
      <c r="AE84" s="89"/>
      <c r="AF84" s="89"/>
      <c r="AG84" s="89"/>
      <c r="AH84" s="89"/>
      <c r="AI84" s="89"/>
      <c r="AJ84" s="98">
        <v>42623.66633101852</v>
      </c>
      <c r="AK84" s="95" t="str">
        <f>HYPERLINK("https://yt3.ggpht.com/ytc/AAUvwnhHjwtN5tOocSbG3GXzMzEBeEbelU6JZu-wvXVMyA=s88-c-k-c0x00ffffff-no-rj")</f>
        <v>https://yt3.ggpht.com/ytc/AAUvwnhHjwtN5tOocSbG3GXzMzEBeEbelU6JZu-wvXVMyA=s88-c-k-c0x00ffffff-no-rj</v>
      </c>
      <c r="AL84" s="89">
        <v>0</v>
      </c>
      <c r="AM84" s="89">
        <v>0</v>
      </c>
      <c r="AN84" s="89">
        <v>0</v>
      </c>
      <c r="AO84" s="89" t="b">
        <v>0</v>
      </c>
      <c r="AP84" s="89">
        <v>0</v>
      </c>
      <c r="AQ84" s="89"/>
      <c r="AR84" s="89"/>
      <c r="AS84" s="89" t="s">
        <v>736</v>
      </c>
      <c r="AT84" s="95" t="str">
        <f>HYPERLINK("https://www.youtube.com/channel/UCQ2Lgfym1M6v50JEm5P7uJw")</f>
        <v>https://www.youtube.com/channel/UCQ2Lgfym1M6v50JEm5P7uJw</v>
      </c>
      <c r="AU84" s="89" t="str">
        <f>REPLACE(INDEX(GroupVertices[Group],MATCH(Vertices[[#This Row],[Vertex]],GroupVertices[Vertex],0)),1,1,"")</f>
        <v>3</v>
      </c>
      <c r="AV84" s="49">
        <v>3</v>
      </c>
      <c r="AW84" s="50">
        <v>60</v>
      </c>
      <c r="AX84" s="49">
        <v>0</v>
      </c>
      <c r="AY84" s="50">
        <v>0</v>
      </c>
      <c r="AZ84" s="49">
        <v>0</v>
      </c>
      <c r="BA84" s="50">
        <v>0</v>
      </c>
      <c r="BB84" s="49">
        <v>2</v>
      </c>
      <c r="BC84" s="50">
        <v>40</v>
      </c>
      <c r="BD84" s="49">
        <v>5</v>
      </c>
      <c r="BE84" s="49"/>
      <c r="BF84" s="49"/>
      <c r="BG84" s="49"/>
      <c r="BH84" s="49"/>
      <c r="BI84" s="49"/>
      <c r="BJ84" s="49"/>
      <c r="BK84" s="127" t="s">
        <v>1098</v>
      </c>
      <c r="BL84" s="127" t="s">
        <v>1098</v>
      </c>
      <c r="BM84" s="127" t="s">
        <v>1173</v>
      </c>
      <c r="BN84" s="127" t="s">
        <v>1173</v>
      </c>
      <c r="BO84" s="2"/>
      <c r="BP84" s="3"/>
      <c r="BQ84" s="3"/>
      <c r="BR84" s="3"/>
      <c r="BS84" s="3"/>
    </row>
    <row r="85" spans="1:71" ht="15">
      <c r="A85" s="65" t="s">
        <v>352</v>
      </c>
      <c r="B85" s="66"/>
      <c r="C85" s="66"/>
      <c r="D85" s="67">
        <v>1000</v>
      </c>
      <c r="E85" s="69"/>
      <c r="F85" s="108" t="str">
        <f>HYPERLINK("https://yt3.ggpht.com/ytc/AAUvwniGhKARsGPwrEuPHaZJtbA27GTPvZuWLvbixIIIHQ=s88-c-k-c0x00ffffff-no-rj")</f>
        <v>https://yt3.ggpht.com/ytc/AAUvwniGhKARsGPwrEuPHaZJtbA27GTPvZuWLvbixIIIHQ=s88-c-k-c0x00ffffff-no-rj</v>
      </c>
      <c r="G85" s="66"/>
      <c r="H85" s="70" t="s">
        <v>682</v>
      </c>
      <c r="I85" s="71"/>
      <c r="J85" s="71" t="s">
        <v>75</v>
      </c>
      <c r="K85" s="70" t="s">
        <v>682</v>
      </c>
      <c r="L85" s="74">
        <v>9999</v>
      </c>
      <c r="M85" s="75">
        <v>1881.101806640625</v>
      </c>
      <c r="N85" s="75">
        <v>3760.88427734375</v>
      </c>
      <c r="O85" s="76"/>
      <c r="P85" s="77"/>
      <c r="Q85" s="77"/>
      <c r="R85" s="101"/>
      <c r="S85" s="49">
        <v>60</v>
      </c>
      <c r="T85" s="49">
        <v>1</v>
      </c>
      <c r="U85" s="50">
        <v>7260.2</v>
      </c>
      <c r="V85" s="50">
        <v>0.00813</v>
      </c>
      <c r="W85" s="50">
        <v>0.101429</v>
      </c>
      <c r="X85" s="50">
        <v>22.846363</v>
      </c>
      <c r="Y85" s="50">
        <v>0.0029222676797194622</v>
      </c>
      <c r="Z85" s="50">
        <v>0</v>
      </c>
      <c r="AA85" s="72">
        <v>85</v>
      </c>
      <c r="AB85" s="72"/>
      <c r="AC85" s="73"/>
      <c r="AD85" s="89" t="s">
        <v>682</v>
      </c>
      <c r="AE85" s="89" t="s">
        <v>696</v>
      </c>
      <c r="AF85" s="89"/>
      <c r="AG85" s="89"/>
      <c r="AH85" s="89"/>
      <c r="AI85" s="89" t="s">
        <v>733</v>
      </c>
      <c r="AJ85" s="98">
        <v>39414.73650462963</v>
      </c>
      <c r="AK85" s="95" t="str">
        <f>HYPERLINK("https://yt3.ggpht.com/ytc/AAUvwniGhKARsGPwrEuPHaZJtbA27GTPvZuWLvbixIIIHQ=s88-c-k-c0x00ffffff-no-rj")</f>
        <v>https://yt3.ggpht.com/ytc/AAUvwniGhKARsGPwrEuPHaZJtbA27GTPvZuWLvbixIIIHQ=s88-c-k-c0x00ffffff-no-rj</v>
      </c>
      <c r="AL85" s="89">
        <v>29992238</v>
      </c>
      <c r="AM85" s="89">
        <v>0</v>
      </c>
      <c r="AN85" s="89">
        <v>0</v>
      </c>
      <c r="AO85" s="89" t="b">
        <v>1</v>
      </c>
      <c r="AP85" s="89">
        <v>5710</v>
      </c>
      <c r="AQ85" s="89"/>
      <c r="AR85" s="89"/>
      <c r="AS85" s="89" t="s">
        <v>736</v>
      </c>
      <c r="AT85" s="95" t="str">
        <f>HYPERLINK("https://www.youtube.com/channel/UCpNnv_kL4Jk8YG_VflnZpmg")</f>
        <v>https://www.youtube.com/channel/UCpNnv_kL4Jk8YG_VflnZpmg</v>
      </c>
      <c r="AU85" s="89" t="str">
        <f>REPLACE(INDEX(GroupVertices[Group],MATCH(Vertices[[#This Row],[Vertex]],GroupVertices[Vertex],0)),1,1,"")</f>
        <v>1</v>
      </c>
      <c r="AV85" s="49"/>
      <c r="AW85" s="50"/>
      <c r="AX85" s="49"/>
      <c r="AY85" s="50"/>
      <c r="AZ85" s="49"/>
      <c r="BA85" s="50"/>
      <c r="BB85" s="49"/>
      <c r="BC85" s="50"/>
      <c r="BD85" s="49"/>
      <c r="BE85" s="49"/>
      <c r="BF85" s="49"/>
      <c r="BG85" s="49"/>
      <c r="BH85" s="49"/>
      <c r="BI85" s="49"/>
      <c r="BJ85" s="49"/>
      <c r="BK85" s="127" t="s">
        <v>666</v>
      </c>
      <c r="BL85" s="127" t="s">
        <v>666</v>
      </c>
      <c r="BM85" s="127" t="s">
        <v>666</v>
      </c>
      <c r="BN85" s="127" t="s">
        <v>666</v>
      </c>
      <c r="BO85" s="2"/>
      <c r="BP85" s="3"/>
      <c r="BQ85" s="3"/>
      <c r="BR85" s="3"/>
      <c r="BS85" s="3"/>
    </row>
    <row r="86" spans="1:71" ht="15">
      <c r="A86" s="65" t="s">
        <v>254</v>
      </c>
      <c r="B86" s="66"/>
      <c r="C86" s="66"/>
      <c r="D86" s="67">
        <v>150</v>
      </c>
      <c r="E86" s="69"/>
      <c r="F86" s="108" t="str">
        <f>HYPERLINK("https://yt3.ggpht.com/ytc/AAUvwnjXlpehdzovbTeMZ2ExBs3l0czy2xZSg9g4uQ=s88-c-k-c0x00ffffff-no-rj")</f>
        <v>https://yt3.ggpht.com/ytc/AAUvwnjXlpehdzovbTeMZ2ExBs3l0czy2xZSg9g4uQ=s88-c-k-c0x00ffffff-no-rj</v>
      </c>
      <c r="G86" s="66"/>
      <c r="H86" s="70" t="s">
        <v>533</v>
      </c>
      <c r="I86" s="71"/>
      <c r="J86" s="71" t="s">
        <v>159</v>
      </c>
      <c r="K86" s="70" t="s">
        <v>533</v>
      </c>
      <c r="L86" s="74">
        <v>1</v>
      </c>
      <c r="M86" s="75">
        <v>7438.41650390625</v>
      </c>
      <c r="N86" s="75">
        <v>4625.8486328125</v>
      </c>
      <c r="O86" s="76"/>
      <c r="P86" s="77"/>
      <c r="Q86" s="77"/>
      <c r="R86" s="101"/>
      <c r="S86" s="49">
        <v>0</v>
      </c>
      <c r="T86" s="49">
        <v>1</v>
      </c>
      <c r="U86" s="50">
        <v>0</v>
      </c>
      <c r="V86" s="50">
        <v>0.022727</v>
      </c>
      <c r="W86" s="50">
        <v>0</v>
      </c>
      <c r="X86" s="50">
        <v>0.549699</v>
      </c>
      <c r="Y86" s="50">
        <v>0</v>
      </c>
      <c r="Z86" s="50">
        <v>0</v>
      </c>
      <c r="AA86" s="72">
        <v>86</v>
      </c>
      <c r="AB86" s="72"/>
      <c r="AC86" s="73"/>
      <c r="AD86" s="89" t="s">
        <v>533</v>
      </c>
      <c r="AE86" s="89"/>
      <c r="AF86" s="89"/>
      <c r="AG86" s="89"/>
      <c r="AH86" s="89"/>
      <c r="AI86" s="89"/>
      <c r="AJ86" s="98">
        <v>42704.13594907407</v>
      </c>
      <c r="AK86" s="95" t="str">
        <f>HYPERLINK("https://yt3.ggpht.com/ytc/AAUvwnjXlpehdzovbTeMZ2ExBs3l0czy2xZSg9g4uQ=s88-c-k-c0x00ffffff-no-rj")</f>
        <v>https://yt3.ggpht.com/ytc/AAUvwnjXlpehdzovbTeMZ2ExBs3l0czy2xZSg9g4uQ=s88-c-k-c0x00ffffff-no-rj</v>
      </c>
      <c r="AL86" s="89">
        <v>0</v>
      </c>
      <c r="AM86" s="89">
        <v>0</v>
      </c>
      <c r="AN86" s="89">
        <v>0</v>
      </c>
      <c r="AO86" s="89" t="b">
        <v>0</v>
      </c>
      <c r="AP86" s="89">
        <v>0</v>
      </c>
      <c r="AQ86" s="89"/>
      <c r="AR86" s="89"/>
      <c r="AS86" s="89" t="s">
        <v>736</v>
      </c>
      <c r="AT86" s="95" t="str">
        <f>HYPERLINK("https://www.youtube.com/channel/UChq4mVpPVEDxRxXtT-rBX1w")</f>
        <v>https://www.youtube.com/channel/UChq4mVpPVEDxRxXtT-rBX1w</v>
      </c>
      <c r="AU86" s="89" t="str">
        <f>REPLACE(INDEX(GroupVertices[Group],MATCH(Vertices[[#This Row],[Vertex]],GroupVertices[Vertex],0)),1,1,"")</f>
        <v>3</v>
      </c>
      <c r="AV86" s="49">
        <v>0</v>
      </c>
      <c r="AW86" s="50">
        <v>0</v>
      </c>
      <c r="AX86" s="49">
        <v>0</v>
      </c>
      <c r="AY86" s="50">
        <v>0</v>
      </c>
      <c r="AZ86" s="49">
        <v>0</v>
      </c>
      <c r="BA86" s="50">
        <v>0</v>
      </c>
      <c r="BB86" s="49">
        <v>1</v>
      </c>
      <c r="BC86" s="50">
        <v>100</v>
      </c>
      <c r="BD86" s="49">
        <v>1</v>
      </c>
      <c r="BE86" s="49"/>
      <c r="BF86" s="49"/>
      <c r="BG86" s="49"/>
      <c r="BH86" s="49"/>
      <c r="BI86" s="49"/>
      <c r="BJ86" s="49"/>
      <c r="BK86" s="127" t="s">
        <v>666</v>
      </c>
      <c r="BL86" s="127" t="s">
        <v>666</v>
      </c>
      <c r="BM86" s="127" t="s">
        <v>666</v>
      </c>
      <c r="BN86" s="127" t="s">
        <v>666</v>
      </c>
      <c r="BO86" s="2"/>
      <c r="BP86" s="3"/>
      <c r="BQ86" s="3"/>
      <c r="BR86" s="3"/>
      <c r="BS86" s="3"/>
    </row>
    <row r="87" spans="1:71" ht="15">
      <c r="A87" s="65" t="s">
        <v>249</v>
      </c>
      <c r="B87" s="66"/>
      <c r="C87" s="66"/>
      <c r="D87" s="67">
        <v>150</v>
      </c>
      <c r="E87" s="69"/>
      <c r="F87" s="108" t="str">
        <f>HYPERLINK("https://yt3.ggpht.com/ytc/AAUvwngMAORKv8GIERmYgb5KerFyagiszkZ15FXVvaOG=s88-c-k-c0x00ffffff-no-rj")</f>
        <v>https://yt3.ggpht.com/ytc/AAUvwngMAORKv8GIERmYgb5KerFyagiszkZ15FXVvaOG=s88-c-k-c0x00ffffff-no-rj</v>
      </c>
      <c r="G87" s="66"/>
      <c r="H87" s="70" t="s">
        <v>528</v>
      </c>
      <c r="I87" s="71"/>
      <c r="J87" s="71" t="s">
        <v>159</v>
      </c>
      <c r="K87" s="70" t="s">
        <v>528</v>
      </c>
      <c r="L87" s="74">
        <v>1</v>
      </c>
      <c r="M87" s="75">
        <v>8962.6396484375</v>
      </c>
      <c r="N87" s="75">
        <v>7262.17431640625</v>
      </c>
      <c r="O87" s="76"/>
      <c r="P87" s="77"/>
      <c r="Q87" s="77"/>
      <c r="R87" s="101"/>
      <c r="S87" s="49">
        <v>0</v>
      </c>
      <c r="T87" s="49">
        <v>1</v>
      </c>
      <c r="U87" s="50">
        <v>0</v>
      </c>
      <c r="V87" s="50">
        <v>0.022727</v>
      </c>
      <c r="W87" s="50">
        <v>0</v>
      </c>
      <c r="X87" s="50">
        <v>0.549699</v>
      </c>
      <c r="Y87" s="50">
        <v>0</v>
      </c>
      <c r="Z87" s="50">
        <v>0</v>
      </c>
      <c r="AA87" s="72">
        <v>87</v>
      </c>
      <c r="AB87" s="72"/>
      <c r="AC87" s="73"/>
      <c r="AD87" s="89" t="s">
        <v>528</v>
      </c>
      <c r="AE87" s="89"/>
      <c r="AF87" s="89"/>
      <c r="AG87" s="89"/>
      <c r="AH87" s="89"/>
      <c r="AI87" s="89"/>
      <c r="AJ87" s="98">
        <v>43160.117731481485</v>
      </c>
      <c r="AK87" s="95" t="str">
        <f>HYPERLINK("https://yt3.ggpht.com/ytc/AAUvwngMAORKv8GIERmYgb5KerFyagiszkZ15FXVvaOG=s88-c-k-c0x00ffffff-no-rj")</f>
        <v>https://yt3.ggpht.com/ytc/AAUvwngMAORKv8GIERmYgb5KerFyagiszkZ15FXVvaOG=s88-c-k-c0x00ffffff-no-rj</v>
      </c>
      <c r="AL87" s="89">
        <v>0</v>
      </c>
      <c r="AM87" s="89">
        <v>0</v>
      </c>
      <c r="AN87" s="89">
        <v>0</v>
      </c>
      <c r="AO87" s="89" t="b">
        <v>0</v>
      </c>
      <c r="AP87" s="89">
        <v>0</v>
      </c>
      <c r="AQ87" s="89"/>
      <c r="AR87" s="89"/>
      <c r="AS87" s="89" t="s">
        <v>736</v>
      </c>
      <c r="AT87" s="95" t="str">
        <f>HYPERLINK("https://www.youtube.com/channel/UCAjsfSZRjfSov7JeArnUf4Q")</f>
        <v>https://www.youtube.com/channel/UCAjsfSZRjfSov7JeArnUf4Q</v>
      </c>
      <c r="AU87" s="89" t="str">
        <f>REPLACE(INDEX(GroupVertices[Group],MATCH(Vertices[[#This Row],[Vertex]],GroupVertices[Vertex],0)),1,1,"")</f>
        <v>3</v>
      </c>
      <c r="AV87" s="49">
        <v>0</v>
      </c>
      <c r="AW87" s="50">
        <v>0</v>
      </c>
      <c r="AX87" s="49">
        <v>0</v>
      </c>
      <c r="AY87" s="50">
        <v>0</v>
      </c>
      <c r="AZ87" s="49">
        <v>0</v>
      </c>
      <c r="BA87" s="50">
        <v>0</v>
      </c>
      <c r="BB87" s="49">
        <v>1</v>
      </c>
      <c r="BC87" s="50">
        <v>100</v>
      </c>
      <c r="BD87" s="49">
        <v>1</v>
      </c>
      <c r="BE87" s="49"/>
      <c r="BF87" s="49"/>
      <c r="BG87" s="49"/>
      <c r="BH87" s="49"/>
      <c r="BI87" s="49"/>
      <c r="BJ87" s="49"/>
      <c r="BK87" s="127" t="s">
        <v>666</v>
      </c>
      <c r="BL87" s="127" t="s">
        <v>666</v>
      </c>
      <c r="BM87" s="127" t="s">
        <v>666</v>
      </c>
      <c r="BN87" s="127" t="s">
        <v>666</v>
      </c>
      <c r="BO87" s="2"/>
      <c r="BP87" s="3"/>
      <c r="BQ87" s="3"/>
      <c r="BR87" s="3"/>
      <c r="BS87" s="3"/>
    </row>
    <row r="88" spans="1:71" ht="15">
      <c r="A88" s="65" t="s">
        <v>305</v>
      </c>
      <c r="B88" s="66"/>
      <c r="C88" s="66"/>
      <c r="D88" s="67">
        <v>271.42857142857144</v>
      </c>
      <c r="E88" s="69"/>
      <c r="F88" s="108" t="str">
        <f>HYPERLINK("https://yt3.ggpht.com/ytc/AAUvwngmitNV76DteaE-e8swFLJ7_OxqW4VYKEhxhDYlbA=s88-c-k-c0x00ffffff-no-rj")</f>
        <v>https://yt3.ggpht.com/ytc/AAUvwngmitNV76DteaE-e8swFLJ7_OxqW4VYKEhxhDYlbA=s88-c-k-c0x00ffffff-no-rj</v>
      </c>
      <c r="G88" s="66"/>
      <c r="H88" s="70" t="s">
        <v>584</v>
      </c>
      <c r="I88" s="71"/>
      <c r="J88" s="71" t="s">
        <v>159</v>
      </c>
      <c r="K88" s="70" t="s">
        <v>584</v>
      </c>
      <c r="L88" s="74">
        <v>167.63333333333333</v>
      </c>
      <c r="M88" s="75">
        <v>5976.0478515625</v>
      </c>
      <c r="N88" s="75">
        <v>3944.692138671875</v>
      </c>
      <c r="O88" s="76"/>
      <c r="P88" s="77"/>
      <c r="Q88" s="77"/>
      <c r="R88" s="101"/>
      <c r="S88" s="49">
        <v>1</v>
      </c>
      <c r="T88" s="49">
        <v>2</v>
      </c>
      <c r="U88" s="50">
        <v>109</v>
      </c>
      <c r="V88" s="50">
        <v>0.005291</v>
      </c>
      <c r="W88" s="50">
        <v>0.016742</v>
      </c>
      <c r="X88" s="50">
        <v>1.137795</v>
      </c>
      <c r="Y88" s="50">
        <v>0.16666666666666666</v>
      </c>
      <c r="Z88" s="50">
        <v>0</v>
      </c>
      <c r="AA88" s="72">
        <v>88</v>
      </c>
      <c r="AB88" s="72"/>
      <c r="AC88" s="73"/>
      <c r="AD88" s="89" t="s">
        <v>584</v>
      </c>
      <c r="AE88" s="89" t="s">
        <v>715</v>
      </c>
      <c r="AF88" s="89"/>
      <c r="AG88" s="89"/>
      <c r="AH88" s="89"/>
      <c r="AI88" s="89"/>
      <c r="AJ88" s="98">
        <v>43770.44101851852</v>
      </c>
      <c r="AK88" s="95" t="str">
        <f>HYPERLINK("https://yt3.ggpht.com/ytc/AAUvwngmitNV76DteaE-e8swFLJ7_OxqW4VYKEhxhDYlbA=s88-c-k-c0x00ffffff-no-rj")</f>
        <v>https://yt3.ggpht.com/ytc/AAUvwngmitNV76DteaE-e8swFLJ7_OxqW4VYKEhxhDYlbA=s88-c-k-c0x00ffffff-no-rj</v>
      </c>
      <c r="AL88" s="89">
        <v>2945</v>
      </c>
      <c r="AM88" s="89">
        <v>0</v>
      </c>
      <c r="AN88" s="89">
        <v>53</v>
      </c>
      <c r="AO88" s="89" t="b">
        <v>0</v>
      </c>
      <c r="AP88" s="89">
        <v>89</v>
      </c>
      <c r="AQ88" s="89"/>
      <c r="AR88" s="89"/>
      <c r="AS88" s="89" t="s">
        <v>736</v>
      </c>
      <c r="AT88" s="95" t="str">
        <f>HYPERLINK("https://www.youtube.com/channel/UCXptVAEtFVNWoBYkirxhSHg")</f>
        <v>https://www.youtube.com/channel/UCXptVAEtFVNWoBYkirxhSHg</v>
      </c>
      <c r="AU88" s="89" t="str">
        <f>REPLACE(INDEX(GroupVertices[Group],MATCH(Vertices[[#This Row],[Vertex]],GroupVertices[Vertex],0)),1,1,"")</f>
        <v>5</v>
      </c>
      <c r="AV88" s="49">
        <v>0</v>
      </c>
      <c r="AW88" s="50">
        <v>0</v>
      </c>
      <c r="AX88" s="49">
        <v>0</v>
      </c>
      <c r="AY88" s="50">
        <v>0</v>
      </c>
      <c r="AZ88" s="49">
        <v>0</v>
      </c>
      <c r="BA88" s="50">
        <v>0</v>
      </c>
      <c r="BB88" s="49">
        <v>15</v>
      </c>
      <c r="BC88" s="50">
        <v>100</v>
      </c>
      <c r="BD88" s="49">
        <v>15</v>
      </c>
      <c r="BE88" s="49"/>
      <c r="BF88" s="49"/>
      <c r="BG88" s="49"/>
      <c r="BH88" s="49"/>
      <c r="BI88" s="49"/>
      <c r="BJ88" s="49"/>
      <c r="BK88" s="127" t="s">
        <v>1099</v>
      </c>
      <c r="BL88" s="127" t="s">
        <v>1127</v>
      </c>
      <c r="BM88" s="127" t="s">
        <v>1174</v>
      </c>
      <c r="BN88" s="127" t="s">
        <v>1198</v>
      </c>
      <c r="BO88" s="2"/>
      <c r="BP88" s="3"/>
      <c r="BQ88" s="3"/>
      <c r="BR88" s="3"/>
      <c r="BS88" s="3"/>
    </row>
    <row r="89" spans="1:71" ht="15">
      <c r="A89" s="65" t="s">
        <v>235</v>
      </c>
      <c r="B89" s="66"/>
      <c r="C89" s="66"/>
      <c r="D89" s="67">
        <v>150</v>
      </c>
      <c r="E89" s="69"/>
      <c r="F89" s="108" t="str">
        <f>HYPERLINK("https://yt3.ggpht.com/ytc/AAUvwnj-ZjXoZuLuJcggEXyYKeCog1YiH6MEvHSqE_Rg=s88-c-k-c0x00ffffff-no-rj")</f>
        <v>https://yt3.ggpht.com/ytc/AAUvwnj-ZjXoZuLuJcggEXyYKeCog1YiH6MEvHSqE_Rg=s88-c-k-c0x00ffffff-no-rj</v>
      </c>
      <c r="G89" s="66"/>
      <c r="H89" s="70" t="s">
        <v>514</v>
      </c>
      <c r="I89" s="71"/>
      <c r="J89" s="71" t="s">
        <v>159</v>
      </c>
      <c r="K89" s="70" t="s">
        <v>514</v>
      </c>
      <c r="L89" s="74">
        <v>1</v>
      </c>
      <c r="M89" s="75">
        <v>8960.7822265625</v>
      </c>
      <c r="N89" s="75">
        <v>8384.05859375</v>
      </c>
      <c r="O89" s="76"/>
      <c r="P89" s="77"/>
      <c r="Q89" s="77"/>
      <c r="R89" s="101"/>
      <c r="S89" s="49">
        <v>0</v>
      </c>
      <c r="T89" s="49">
        <v>1</v>
      </c>
      <c r="U89" s="50">
        <v>0</v>
      </c>
      <c r="V89" s="50">
        <v>0.022727</v>
      </c>
      <c r="W89" s="50">
        <v>0</v>
      </c>
      <c r="X89" s="50">
        <v>0.549699</v>
      </c>
      <c r="Y89" s="50">
        <v>0</v>
      </c>
      <c r="Z89" s="50">
        <v>0</v>
      </c>
      <c r="AA89" s="72">
        <v>89</v>
      </c>
      <c r="AB89" s="72"/>
      <c r="AC89" s="73"/>
      <c r="AD89" s="89" t="s">
        <v>514</v>
      </c>
      <c r="AE89" s="89"/>
      <c r="AF89" s="89"/>
      <c r="AG89" s="89"/>
      <c r="AH89" s="89"/>
      <c r="AI89" s="89"/>
      <c r="AJ89" s="98">
        <v>42006.57931712963</v>
      </c>
      <c r="AK89" s="95" t="str">
        <f>HYPERLINK("https://yt3.ggpht.com/ytc/AAUvwnj-ZjXoZuLuJcggEXyYKeCog1YiH6MEvHSqE_Rg=s88-c-k-c0x00ffffff-no-rj")</f>
        <v>https://yt3.ggpht.com/ytc/AAUvwnj-ZjXoZuLuJcggEXyYKeCog1YiH6MEvHSqE_Rg=s88-c-k-c0x00ffffff-no-rj</v>
      </c>
      <c r="AL89" s="89">
        <v>0</v>
      </c>
      <c r="AM89" s="89">
        <v>0</v>
      </c>
      <c r="AN89" s="89">
        <v>0</v>
      </c>
      <c r="AO89" s="89" t="b">
        <v>0</v>
      </c>
      <c r="AP89" s="89">
        <v>0</v>
      </c>
      <c r="AQ89" s="89"/>
      <c r="AR89" s="89"/>
      <c r="AS89" s="89" t="s">
        <v>736</v>
      </c>
      <c r="AT89" s="95" t="str">
        <f>HYPERLINK("https://www.youtube.com/channel/UCJCl1Qw-Uor9xnVdfuhcH0Q")</f>
        <v>https://www.youtube.com/channel/UCJCl1Qw-Uor9xnVdfuhcH0Q</v>
      </c>
      <c r="AU89" s="89" t="str">
        <f>REPLACE(INDEX(GroupVertices[Group],MATCH(Vertices[[#This Row],[Vertex]],GroupVertices[Vertex],0)),1,1,"")</f>
        <v>3</v>
      </c>
      <c r="AV89" s="49">
        <v>0</v>
      </c>
      <c r="AW89" s="50">
        <v>0</v>
      </c>
      <c r="AX89" s="49">
        <v>0</v>
      </c>
      <c r="AY89" s="50">
        <v>0</v>
      </c>
      <c r="AZ89" s="49">
        <v>0</v>
      </c>
      <c r="BA89" s="50">
        <v>0</v>
      </c>
      <c r="BB89" s="49">
        <v>6</v>
      </c>
      <c r="BC89" s="50">
        <v>100</v>
      </c>
      <c r="BD89" s="49">
        <v>6</v>
      </c>
      <c r="BE89" s="49"/>
      <c r="BF89" s="49"/>
      <c r="BG89" s="49"/>
      <c r="BH89" s="49"/>
      <c r="BI89" s="49"/>
      <c r="BJ89" s="49"/>
      <c r="BK89" s="127" t="s">
        <v>859</v>
      </c>
      <c r="BL89" s="127" t="s">
        <v>859</v>
      </c>
      <c r="BM89" s="127" t="s">
        <v>666</v>
      </c>
      <c r="BN89" s="127" t="s">
        <v>666</v>
      </c>
      <c r="BO89" s="2"/>
      <c r="BP89" s="3"/>
      <c r="BQ89" s="3"/>
      <c r="BR89" s="3"/>
      <c r="BS89" s="3"/>
    </row>
    <row r="90" spans="1:71" ht="15">
      <c r="A90" s="65" t="s">
        <v>341</v>
      </c>
      <c r="B90" s="66"/>
      <c r="C90" s="66"/>
      <c r="D90" s="67">
        <v>150</v>
      </c>
      <c r="E90" s="69"/>
      <c r="F90" s="108" t="str">
        <f>HYPERLINK("https://yt3.ggpht.com/ytc/AAUvwniXYMthiwxDtk7qod1jo5egUvcd8Efh47Mlr8MW-g=s88-c-k-c0x00ffffff-no-rj")</f>
        <v>https://yt3.ggpht.com/ytc/AAUvwniXYMthiwxDtk7qod1jo5egUvcd8Efh47Mlr8MW-g=s88-c-k-c0x00ffffff-no-rj</v>
      </c>
      <c r="G90" s="66"/>
      <c r="H90" s="70" t="s">
        <v>620</v>
      </c>
      <c r="I90" s="71"/>
      <c r="J90" s="71" t="s">
        <v>159</v>
      </c>
      <c r="K90" s="70" t="s">
        <v>620</v>
      </c>
      <c r="L90" s="74">
        <v>1</v>
      </c>
      <c r="M90" s="75">
        <v>2290.25732421875</v>
      </c>
      <c r="N90" s="75">
        <v>228.44178771972656</v>
      </c>
      <c r="O90" s="76"/>
      <c r="P90" s="77"/>
      <c r="Q90" s="77"/>
      <c r="R90" s="101"/>
      <c r="S90" s="49">
        <v>0</v>
      </c>
      <c r="T90" s="49">
        <v>1</v>
      </c>
      <c r="U90" s="50">
        <v>0</v>
      </c>
      <c r="V90" s="50">
        <v>0.004695</v>
      </c>
      <c r="W90" s="50">
        <v>0.011737</v>
      </c>
      <c r="X90" s="50">
        <v>0.473657</v>
      </c>
      <c r="Y90" s="50">
        <v>0</v>
      </c>
      <c r="Z90" s="50">
        <v>0</v>
      </c>
      <c r="AA90" s="72">
        <v>90</v>
      </c>
      <c r="AB90" s="72"/>
      <c r="AC90" s="73"/>
      <c r="AD90" s="89" t="s">
        <v>620</v>
      </c>
      <c r="AE90" s="89" t="s">
        <v>723</v>
      </c>
      <c r="AF90" s="89"/>
      <c r="AG90" s="89"/>
      <c r="AH90" s="89"/>
      <c r="AI90" s="89"/>
      <c r="AJ90" s="98">
        <v>42863.1534375</v>
      </c>
      <c r="AK90" s="95" t="str">
        <f>HYPERLINK("https://yt3.ggpht.com/ytc/AAUvwniXYMthiwxDtk7qod1jo5egUvcd8Efh47Mlr8MW-g=s88-c-k-c0x00ffffff-no-rj")</f>
        <v>https://yt3.ggpht.com/ytc/AAUvwniXYMthiwxDtk7qod1jo5egUvcd8Efh47Mlr8MW-g=s88-c-k-c0x00ffffff-no-rj</v>
      </c>
      <c r="AL90" s="89">
        <v>0</v>
      </c>
      <c r="AM90" s="89">
        <v>0</v>
      </c>
      <c r="AN90" s="89">
        <v>4</v>
      </c>
      <c r="AO90" s="89" t="b">
        <v>0</v>
      </c>
      <c r="AP90" s="89">
        <v>0</v>
      </c>
      <c r="AQ90" s="89"/>
      <c r="AR90" s="89"/>
      <c r="AS90" s="89" t="s">
        <v>736</v>
      </c>
      <c r="AT90" s="95" t="str">
        <f>HYPERLINK("https://www.youtube.com/channel/UCQpqRbnxeGP47QFTnpEkY8Q")</f>
        <v>https://www.youtube.com/channel/UCQpqRbnxeGP47QFTnpEkY8Q</v>
      </c>
      <c r="AU90" s="89" t="str">
        <f>REPLACE(INDEX(GroupVertices[Group],MATCH(Vertices[[#This Row],[Vertex]],GroupVertices[Vertex],0)),1,1,"")</f>
        <v>1</v>
      </c>
      <c r="AV90" s="49">
        <v>1</v>
      </c>
      <c r="AW90" s="50">
        <v>6.25</v>
      </c>
      <c r="AX90" s="49">
        <v>1</v>
      </c>
      <c r="AY90" s="50">
        <v>6.25</v>
      </c>
      <c r="AZ90" s="49">
        <v>0</v>
      </c>
      <c r="BA90" s="50">
        <v>0</v>
      </c>
      <c r="BB90" s="49">
        <v>14</v>
      </c>
      <c r="BC90" s="50">
        <v>87.5</v>
      </c>
      <c r="BD90" s="49">
        <v>16</v>
      </c>
      <c r="BE90" s="49"/>
      <c r="BF90" s="49"/>
      <c r="BG90" s="49"/>
      <c r="BH90" s="49"/>
      <c r="BI90" s="49"/>
      <c r="BJ90" s="49"/>
      <c r="BK90" s="127" t="s">
        <v>1100</v>
      </c>
      <c r="BL90" s="127" t="s">
        <v>1100</v>
      </c>
      <c r="BM90" s="127" t="s">
        <v>1175</v>
      </c>
      <c r="BN90" s="127" t="s">
        <v>1175</v>
      </c>
      <c r="BO90" s="2"/>
      <c r="BP90" s="3"/>
      <c r="BQ90" s="3"/>
      <c r="BR90" s="3"/>
      <c r="BS90" s="3"/>
    </row>
    <row r="91" spans="1:71" ht="15">
      <c r="A91" s="65" t="s">
        <v>327</v>
      </c>
      <c r="B91" s="66"/>
      <c r="C91" s="66"/>
      <c r="D91" s="67">
        <v>150</v>
      </c>
      <c r="E91" s="69"/>
      <c r="F91" s="108" t="str">
        <f>HYPERLINK("https://yt3.ggpht.com/ytc/AAUvwnhi_M1_76qQ6nzXTML9PIRWAVf9NShrPLnMVQ=s88-c-k-c0x00ffffff-no-rj")</f>
        <v>https://yt3.ggpht.com/ytc/AAUvwnhi_M1_76qQ6nzXTML9PIRWAVf9NShrPLnMVQ=s88-c-k-c0x00ffffff-no-rj</v>
      </c>
      <c r="G91" s="66"/>
      <c r="H91" s="70" t="s">
        <v>606</v>
      </c>
      <c r="I91" s="71"/>
      <c r="J91" s="71" t="s">
        <v>159</v>
      </c>
      <c r="K91" s="70" t="s">
        <v>606</v>
      </c>
      <c r="L91" s="74">
        <v>1</v>
      </c>
      <c r="M91" s="75">
        <v>3313.998779296875</v>
      </c>
      <c r="N91" s="75">
        <v>1800.529052734375</v>
      </c>
      <c r="O91" s="76"/>
      <c r="P91" s="77"/>
      <c r="Q91" s="77"/>
      <c r="R91" s="101"/>
      <c r="S91" s="49">
        <v>0</v>
      </c>
      <c r="T91" s="49">
        <v>1</v>
      </c>
      <c r="U91" s="50">
        <v>0</v>
      </c>
      <c r="V91" s="50">
        <v>0.004695</v>
      </c>
      <c r="W91" s="50">
        <v>0.011737</v>
      </c>
      <c r="X91" s="50">
        <v>0.473657</v>
      </c>
      <c r="Y91" s="50">
        <v>0</v>
      </c>
      <c r="Z91" s="50">
        <v>0</v>
      </c>
      <c r="AA91" s="72">
        <v>91</v>
      </c>
      <c r="AB91" s="72"/>
      <c r="AC91" s="73"/>
      <c r="AD91" s="89" t="s">
        <v>606</v>
      </c>
      <c r="AE91" s="89"/>
      <c r="AF91" s="89"/>
      <c r="AG91" s="89"/>
      <c r="AH91" s="89"/>
      <c r="AI91" s="89"/>
      <c r="AJ91" s="98">
        <v>43083.54193287037</v>
      </c>
      <c r="AK91" s="95" t="str">
        <f>HYPERLINK("https://yt3.ggpht.com/ytc/AAUvwnhi_M1_76qQ6nzXTML9PIRWAVf9NShrPLnMVQ=s88-c-k-c0x00ffffff-no-rj")</f>
        <v>https://yt3.ggpht.com/ytc/AAUvwnhi_M1_76qQ6nzXTML9PIRWAVf9NShrPLnMVQ=s88-c-k-c0x00ffffff-no-rj</v>
      </c>
      <c r="AL91" s="89">
        <v>0</v>
      </c>
      <c r="AM91" s="89">
        <v>0</v>
      </c>
      <c r="AN91" s="89">
        <v>0</v>
      </c>
      <c r="AO91" s="89" t="b">
        <v>0</v>
      </c>
      <c r="AP91" s="89">
        <v>0</v>
      </c>
      <c r="AQ91" s="89"/>
      <c r="AR91" s="89"/>
      <c r="AS91" s="89" t="s">
        <v>736</v>
      </c>
      <c r="AT91" s="95" t="str">
        <f>HYPERLINK("https://www.youtube.com/channel/UCBWw8SH9UeJw3XQVEBJtQrA")</f>
        <v>https://www.youtube.com/channel/UCBWw8SH9UeJw3XQVEBJtQrA</v>
      </c>
      <c r="AU91" s="89" t="str">
        <f>REPLACE(INDEX(GroupVertices[Group],MATCH(Vertices[[#This Row],[Vertex]],GroupVertices[Vertex],0)),1,1,"")</f>
        <v>1</v>
      </c>
      <c r="AV91" s="49">
        <v>1</v>
      </c>
      <c r="AW91" s="50">
        <v>25</v>
      </c>
      <c r="AX91" s="49">
        <v>0</v>
      </c>
      <c r="AY91" s="50">
        <v>0</v>
      </c>
      <c r="AZ91" s="49">
        <v>0</v>
      </c>
      <c r="BA91" s="50">
        <v>0</v>
      </c>
      <c r="BB91" s="49">
        <v>3</v>
      </c>
      <c r="BC91" s="50">
        <v>75</v>
      </c>
      <c r="BD91" s="49">
        <v>4</v>
      </c>
      <c r="BE91" s="49"/>
      <c r="BF91" s="49"/>
      <c r="BG91" s="49"/>
      <c r="BH91" s="49"/>
      <c r="BI91" s="49"/>
      <c r="BJ91" s="49"/>
      <c r="BK91" s="127" t="s">
        <v>785</v>
      </c>
      <c r="BL91" s="127" t="s">
        <v>785</v>
      </c>
      <c r="BM91" s="127" t="s">
        <v>666</v>
      </c>
      <c r="BN91" s="127" t="s">
        <v>666</v>
      </c>
      <c r="BO91" s="2"/>
      <c r="BP91" s="3"/>
      <c r="BQ91" s="3"/>
      <c r="BR91" s="3"/>
      <c r="BS91" s="3"/>
    </row>
    <row r="92" spans="1:71" ht="15">
      <c r="A92" s="65" t="s">
        <v>316</v>
      </c>
      <c r="B92" s="66"/>
      <c r="C92" s="66"/>
      <c r="D92" s="67">
        <v>150</v>
      </c>
      <c r="E92" s="69"/>
      <c r="F92" s="108" t="str">
        <f>HYPERLINK("https://yt3.ggpht.com/ytc/AAUvwnh4PRIIBsBB_TU3k090WFGoVoAF0lXrthRftzD5=s88-c-k-c0x00ffffff-no-rj")</f>
        <v>https://yt3.ggpht.com/ytc/AAUvwnh4PRIIBsBB_TU3k090WFGoVoAF0lXrthRftzD5=s88-c-k-c0x00ffffff-no-rj</v>
      </c>
      <c r="G92" s="66"/>
      <c r="H92" s="70" t="s">
        <v>595</v>
      </c>
      <c r="I92" s="71"/>
      <c r="J92" s="71" t="s">
        <v>159</v>
      </c>
      <c r="K92" s="70" t="s">
        <v>595</v>
      </c>
      <c r="L92" s="74">
        <v>1</v>
      </c>
      <c r="M92" s="75">
        <v>3151.470458984375</v>
      </c>
      <c r="N92" s="75">
        <v>1137.8919677734375</v>
      </c>
      <c r="O92" s="76"/>
      <c r="P92" s="77"/>
      <c r="Q92" s="77"/>
      <c r="R92" s="101"/>
      <c r="S92" s="49">
        <v>0</v>
      </c>
      <c r="T92" s="49">
        <v>1</v>
      </c>
      <c r="U92" s="50">
        <v>0</v>
      </c>
      <c r="V92" s="50">
        <v>0.004695</v>
      </c>
      <c r="W92" s="50">
        <v>0.011737</v>
      </c>
      <c r="X92" s="50">
        <v>0.473657</v>
      </c>
      <c r="Y92" s="50">
        <v>0</v>
      </c>
      <c r="Z92" s="50">
        <v>0</v>
      </c>
      <c r="AA92" s="72">
        <v>92</v>
      </c>
      <c r="AB92" s="72"/>
      <c r="AC92" s="73"/>
      <c r="AD92" s="89" t="s">
        <v>595</v>
      </c>
      <c r="AE92" s="89"/>
      <c r="AF92" s="89"/>
      <c r="AG92" s="89"/>
      <c r="AH92" s="89"/>
      <c r="AI92" s="89"/>
      <c r="AJ92" s="98">
        <v>43976.40982638889</v>
      </c>
      <c r="AK92" s="95" t="str">
        <f>HYPERLINK("https://yt3.ggpht.com/ytc/AAUvwnh4PRIIBsBB_TU3k090WFGoVoAF0lXrthRftzD5=s88-c-k-c0x00ffffff-no-rj")</f>
        <v>https://yt3.ggpht.com/ytc/AAUvwnh4PRIIBsBB_TU3k090WFGoVoAF0lXrthRftzD5=s88-c-k-c0x00ffffff-no-rj</v>
      </c>
      <c r="AL92" s="89">
        <v>0</v>
      </c>
      <c r="AM92" s="89">
        <v>0</v>
      </c>
      <c r="AN92" s="89">
        <v>1</v>
      </c>
      <c r="AO92" s="89" t="b">
        <v>0</v>
      </c>
      <c r="AP92" s="89">
        <v>0</v>
      </c>
      <c r="AQ92" s="89"/>
      <c r="AR92" s="89"/>
      <c r="AS92" s="89" t="s">
        <v>736</v>
      </c>
      <c r="AT92" s="95" t="str">
        <f>HYPERLINK("https://www.youtube.com/channel/UC3htKE-dyoJeXF-fZ7JS_jw")</f>
        <v>https://www.youtube.com/channel/UC3htKE-dyoJeXF-fZ7JS_jw</v>
      </c>
      <c r="AU92" s="89" t="str">
        <f>REPLACE(INDEX(GroupVertices[Group],MATCH(Vertices[[#This Row],[Vertex]],GroupVertices[Vertex],0)),1,1,"")</f>
        <v>1</v>
      </c>
      <c r="AV92" s="49">
        <v>1</v>
      </c>
      <c r="AW92" s="50">
        <v>33.333333333333336</v>
      </c>
      <c r="AX92" s="49">
        <v>0</v>
      </c>
      <c r="AY92" s="50">
        <v>0</v>
      </c>
      <c r="AZ92" s="49">
        <v>0</v>
      </c>
      <c r="BA92" s="50">
        <v>0</v>
      </c>
      <c r="BB92" s="49">
        <v>2</v>
      </c>
      <c r="BC92" s="50">
        <v>66.66666666666667</v>
      </c>
      <c r="BD92" s="49">
        <v>3</v>
      </c>
      <c r="BE92" s="49"/>
      <c r="BF92" s="49"/>
      <c r="BG92" s="49"/>
      <c r="BH92" s="49"/>
      <c r="BI92" s="49"/>
      <c r="BJ92" s="49"/>
      <c r="BK92" s="127" t="s">
        <v>779</v>
      </c>
      <c r="BL92" s="127" t="s">
        <v>779</v>
      </c>
      <c r="BM92" s="127" t="s">
        <v>666</v>
      </c>
      <c r="BN92" s="127" t="s">
        <v>666</v>
      </c>
      <c r="BO92" s="2"/>
      <c r="BP92" s="3"/>
      <c r="BQ92" s="3"/>
      <c r="BR92" s="3"/>
      <c r="BS92" s="3"/>
    </row>
    <row r="93" spans="1:71" ht="15">
      <c r="A93" s="65" t="s">
        <v>256</v>
      </c>
      <c r="B93" s="66"/>
      <c r="C93" s="66"/>
      <c r="D93" s="67">
        <v>150</v>
      </c>
      <c r="E93" s="69"/>
      <c r="F93" s="108" t="str">
        <f>HYPERLINK("https://yt3.ggpht.com/ytc/AAUvwniFVDsm9DvL1CkN3bg3VX7hLzBrtB9r1AUkxmy1=s88-c-k-c0x00ffffff-no-rj")</f>
        <v>https://yt3.ggpht.com/ytc/AAUvwniFVDsm9DvL1CkN3bg3VX7hLzBrtB9r1AUkxmy1=s88-c-k-c0x00ffffff-no-rj</v>
      </c>
      <c r="G93" s="66"/>
      <c r="H93" s="70" t="s">
        <v>535</v>
      </c>
      <c r="I93" s="71"/>
      <c r="J93" s="71" t="s">
        <v>159</v>
      </c>
      <c r="K93" s="70" t="s">
        <v>535</v>
      </c>
      <c r="L93" s="74">
        <v>1</v>
      </c>
      <c r="M93" s="75">
        <v>7413.205078125</v>
      </c>
      <c r="N93" s="75">
        <v>9207.59765625</v>
      </c>
      <c r="O93" s="76"/>
      <c r="P93" s="77"/>
      <c r="Q93" s="77"/>
      <c r="R93" s="101"/>
      <c r="S93" s="49">
        <v>0</v>
      </c>
      <c r="T93" s="49">
        <v>1</v>
      </c>
      <c r="U93" s="50">
        <v>0</v>
      </c>
      <c r="V93" s="50">
        <v>0.022727</v>
      </c>
      <c r="W93" s="50">
        <v>0</v>
      </c>
      <c r="X93" s="50">
        <v>0.549699</v>
      </c>
      <c r="Y93" s="50">
        <v>0</v>
      </c>
      <c r="Z93" s="50">
        <v>0</v>
      </c>
      <c r="AA93" s="72">
        <v>93</v>
      </c>
      <c r="AB93" s="72"/>
      <c r="AC93" s="73"/>
      <c r="AD93" s="89" t="s">
        <v>535</v>
      </c>
      <c r="AE93" s="89"/>
      <c r="AF93" s="89"/>
      <c r="AG93" s="89"/>
      <c r="AH93" s="89"/>
      <c r="AI93" s="89"/>
      <c r="AJ93" s="98">
        <v>44089.66371527778</v>
      </c>
      <c r="AK93" s="95" t="str">
        <f>HYPERLINK("https://yt3.ggpht.com/ytc/AAUvwniFVDsm9DvL1CkN3bg3VX7hLzBrtB9r1AUkxmy1=s88-c-k-c0x00ffffff-no-rj")</f>
        <v>https://yt3.ggpht.com/ytc/AAUvwniFVDsm9DvL1CkN3bg3VX7hLzBrtB9r1AUkxmy1=s88-c-k-c0x00ffffff-no-rj</v>
      </c>
      <c r="AL93" s="89">
        <v>0</v>
      </c>
      <c r="AM93" s="89">
        <v>0</v>
      </c>
      <c r="AN93" s="89">
        <v>1</v>
      </c>
      <c r="AO93" s="89" t="b">
        <v>0</v>
      </c>
      <c r="AP93" s="89">
        <v>0</v>
      </c>
      <c r="AQ93" s="89"/>
      <c r="AR93" s="89"/>
      <c r="AS93" s="89" t="s">
        <v>736</v>
      </c>
      <c r="AT93" s="95" t="str">
        <f>HYPERLINK("https://www.youtube.com/channel/UCS0bq3n9kirVOTorva8UKJg")</f>
        <v>https://www.youtube.com/channel/UCS0bq3n9kirVOTorva8UKJg</v>
      </c>
      <c r="AU93" s="89" t="str">
        <f>REPLACE(INDEX(GroupVertices[Group],MATCH(Vertices[[#This Row],[Vertex]],GroupVertices[Vertex],0)),1,1,"")</f>
        <v>3</v>
      </c>
      <c r="AV93" s="49">
        <v>0</v>
      </c>
      <c r="AW93" s="50">
        <v>0</v>
      </c>
      <c r="AX93" s="49">
        <v>0</v>
      </c>
      <c r="AY93" s="50">
        <v>0</v>
      </c>
      <c r="AZ93" s="49">
        <v>0</v>
      </c>
      <c r="BA93" s="50">
        <v>0</v>
      </c>
      <c r="BB93" s="49">
        <v>1</v>
      </c>
      <c r="BC93" s="50">
        <v>100</v>
      </c>
      <c r="BD93" s="49">
        <v>1</v>
      </c>
      <c r="BE93" s="49"/>
      <c r="BF93" s="49"/>
      <c r="BG93" s="49"/>
      <c r="BH93" s="49"/>
      <c r="BI93" s="49"/>
      <c r="BJ93" s="49"/>
      <c r="BK93" s="127" t="s">
        <v>666</v>
      </c>
      <c r="BL93" s="127" t="s">
        <v>666</v>
      </c>
      <c r="BM93" s="127" t="s">
        <v>666</v>
      </c>
      <c r="BN93" s="127" t="s">
        <v>666</v>
      </c>
      <c r="BO93" s="2"/>
      <c r="BP93" s="3"/>
      <c r="BQ93" s="3"/>
      <c r="BR93" s="3"/>
      <c r="BS93" s="3"/>
    </row>
    <row r="94" spans="1:71" ht="15">
      <c r="A94" s="65" t="s">
        <v>302</v>
      </c>
      <c r="B94" s="66"/>
      <c r="C94" s="66"/>
      <c r="D94" s="67">
        <v>150</v>
      </c>
      <c r="E94" s="69"/>
      <c r="F94" s="108" t="str">
        <f>HYPERLINK("https://yt3.ggpht.com/ytc/AAUvwngi_clZ3uFX34xOt54r-71-8woTZSR1h8sw6dqo=s88-c-k-c0x00ffffff-no-rj")</f>
        <v>https://yt3.ggpht.com/ytc/AAUvwngi_clZ3uFX34xOt54r-71-8woTZSR1h8sw6dqo=s88-c-k-c0x00ffffff-no-rj</v>
      </c>
      <c r="G94" s="66"/>
      <c r="H94" s="70" t="s">
        <v>581</v>
      </c>
      <c r="I94" s="71"/>
      <c r="J94" s="71" t="s">
        <v>159</v>
      </c>
      <c r="K94" s="70" t="s">
        <v>581</v>
      </c>
      <c r="L94" s="74">
        <v>1</v>
      </c>
      <c r="M94" s="75">
        <v>6869.63818359375</v>
      </c>
      <c r="N94" s="75">
        <v>6316.88525390625</v>
      </c>
      <c r="O94" s="76"/>
      <c r="P94" s="77"/>
      <c r="Q94" s="77"/>
      <c r="R94" s="101"/>
      <c r="S94" s="49">
        <v>0</v>
      </c>
      <c r="T94" s="49">
        <v>1</v>
      </c>
      <c r="U94" s="50">
        <v>0</v>
      </c>
      <c r="V94" s="50">
        <v>0.003937</v>
      </c>
      <c r="W94" s="50">
        <v>0.004527</v>
      </c>
      <c r="X94" s="50">
        <v>0.486308</v>
      </c>
      <c r="Y94" s="50">
        <v>0</v>
      </c>
      <c r="Z94" s="50">
        <v>0</v>
      </c>
      <c r="AA94" s="72">
        <v>94</v>
      </c>
      <c r="AB94" s="72"/>
      <c r="AC94" s="73"/>
      <c r="AD94" s="89" t="s">
        <v>581</v>
      </c>
      <c r="AE94" s="89"/>
      <c r="AF94" s="89"/>
      <c r="AG94" s="89"/>
      <c r="AH94" s="89"/>
      <c r="AI94" s="89"/>
      <c r="AJ94" s="98">
        <v>44113.5996875</v>
      </c>
      <c r="AK94" s="95" t="str">
        <f>HYPERLINK("https://yt3.ggpht.com/ytc/AAUvwngi_clZ3uFX34xOt54r-71-8woTZSR1h8sw6dqo=s88-c-k-c0x00ffffff-no-rj")</f>
        <v>https://yt3.ggpht.com/ytc/AAUvwngi_clZ3uFX34xOt54r-71-8woTZSR1h8sw6dqo=s88-c-k-c0x00ffffff-no-rj</v>
      </c>
      <c r="AL94" s="89">
        <v>0</v>
      </c>
      <c r="AM94" s="89">
        <v>0</v>
      </c>
      <c r="AN94" s="89">
        <v>0</v>
      </c>
      <c r="AO94" s="89" t="b">
        <v>0</v>
      </c>
      <c r="AP94" s="89">
        <v>0</v>
      </c>
      <c r="AQ94" s="89"/>
      <c r="AR94" s="89"/>
      <c r="AS94" s="89" t="s">
        <v>736</v>
      </c>
      <c r="AT94" s="95" t="str">
        <f>HYPERLINK("https://www.youtube.com/channel/UCy4crOLyffyAStwBkGRO9hg")</f>
        <v>https://www.youtube.com/channel/UCy4crOLyffyAStwBkGRO9hg</v>
      </c>
      <c r="AU94" s="89" t="str">
        <f>REPLACE(INDEX(GroupVertices[Group],MATCH(Vertices[[#This Row],[Vertex]],GroupVertices[Vertex],0)),1,1,"")</f>
        <v>2</v>
      </c>
      <c r="AV94" s="49">
        <v>0</v>
      </c>
      <c r="AW94" s="50">
        <v>0</v>
      </c>
      <c r="AX94" s="49">
        <v>0</v>
      </c>
      <c r="AY94" s="50">
        <v>0</v>
      </c>
      <c r="AZ94" s="49">
        <v>0</v>
      </c>
      <c r="BA94" s="50">
        <v>0</v>
      </c>
      <c r="BB94" s="49">
        <v>1</v>
      </c>
      <c r="BC94" s="50">
        <v>100</v>
      </c>
      <c r="BD94" s="49">
        <v>1</v>
      </c>
      <c r="BE94" s="49"/>
      <c r="BF94" s="49"/>
      <c r="BG94" s="49"/>
      <c r="BH94" s="49"/>
      <c r="BI94" s="49"/>
      <c r="BJ94" s="49"/>
      <c r="BK94" s="127" t="s">
        <v>666</v>
      </c>
      <c r="BL94" s="127" t="s">
        <v>666</v>
      </c>
      <c r="BM94" s="127" t="s">
        <v>666</v>
      </c>
      <c r="BN94" s="127" t="s">
        <v>666</v>
      </c>
      <c r="BO94" s="2"/>
      <c r="BP94" s="3"/>
      <c r="BQ94" s="3"/>
      <c r="BR94" s="3"/>
      <c r="BS94" s="3"/>
    </row>
    <row r="95" spans="1:71" ht="15">
      <c r="A95" s="65" t="s">
        <v>253</v>
      </c>
      <c r="B95" s="66"/>
      <c r="C95" s="66"/>
      <c r="D95" s="67">
        <v>150</v>
      </c>
      <c r="E95" s="69"/>
      <c r="F95" s="108" t="str">
        <f>HYPERLINK("https://yt3.ggpht.com/ytc/AAUvwng1375lHG6rkicb7rMdfyc0fZowcL8zdx_Maw=s88-c-k-c0x00ffffff-no-rj")</f>
        <v>https://yt3.ggpht.com/ytc/AAUvwng1375lHG6rkicb7rMdfyc0fZowcL8zdx_Maw=s88-c-k-c0x00ffffff-no-rj</v>
      </c>
      <c r="G95" s="66"/>
      <c r="H95" s="70" t="s">
        <v>532</v>
      </c>
      <c r="I95" s="71"/>
      <c r="J95" s="71" t="s">
        <v>159</v>
      </c>
      <c r="K95" s="70" t="s">
        <v>532</v>
      </c>
      <c r="L95" s="74">
        <v>1</v>
      </c>
      <c r="M95" s="75">
        <v>8178.578125</v>
      </c>
      <c r="N95" s="75">
        <v>5168.35986328125</v>
      </c>
      <c r="O95" s="76"/>
      <c r="P95" s="77"/>
      <c r="Q95" s="77"/>
      <c r="R95" s="101"/>
      <c r="S95" s="49">
        <v>0</v>
      </c>
      <c r="T95" s="49">
        <v>1</v>
      </c>
      <c r="U95" s="50">
        <v>0</v>
      </c>
      <c r="V95" s="50">
        <v>0.022727</v>
      </c>
      <c r="W95" s="50">
        <v>0</v>
      </c>
      <c r="X95" s="50">
        <v>0.549699</v>
      </c>
      <c r="Y95" s="50">
        <v>0</v>
      </c>
      <c r="Z95" s="50">
        <v>0</v>
      </c>
      <c r="AA95" s="72">
        <v>95</v>
      </c>
      <c r="AB95" s="72"/>
      <c r="AC95" s="73"/>
      <c r="AD95" s="89" t="s">
        <v>532</v>
      </c>
      <c r="AE95" s="89"/>
      <c r="AF95" s="89"/>
      <c r="AG95" s="89"/>
      <c r="AH95" s="89"/>
      <c r="AI95" s="89"/>
      <c r="AJ95" s="98">
        <v>42006.729375</v>
      </c>
      <c r="AK95" s="95" t="str">
        <f>HYPERLINK("https://yt3.ggpht.com/ytc/AAUvwng1375lHG6rkicb7rMdfyc0fZowcL8zdx_Maw=s88-c-k-c0x00ffffff-no-rj")</f>
        <v>https://yt3.ggpht.com/ytc/AAUvwng1375lHG6rkicb7rMdfyc0fZowcL8zdx_Maw=s88-c-k-c0x00ffffff-no-rj</v>
      </c>
      <c r="AL95" s="89">
        <v>74</v>
      </c>
      <c r="AM95" s="89">
        <v>0</v>
      </c>
      <c r="AN95" s="89">
        <v>0</v>
      </c>
      <c r="AO95" s="89" t="b">
        <v>0</v>
      </c>
      <c r="AP95" s="89">
        <v>20</v>
      </c>
      <c r="AQ95" s="89"/>
      <c r="AR95" s="89"/>
      <c r="AS95" s="89" t="s">
        <v>736</v>
      </c>
      <c r="AT95" s="95" t="str">
        <f>HYPERLINK("https://www.youtube.com/channel/UCemdRq8VR5OiophHxaKdFfA")</f>
        <v>https://www.youtube.com/channel/UCemdRq8VR5OiophHxaKdFfA</v>
      </c>
      <c r="AU95" s="89" t="str">
        <f>REPLACE(INDEX(GroupVertices[Group],MATCH(Vertices[[#This Row],[Vertex]],GroupVertices[Vertex],0)),1,1,"")</f>
        <v>3</v>
      </c>
      <c r="AV95" s="49">
        <v>2</v>
      </c>
      <c r="AW95" s="50">
        <v>20</v>
      </c>
      <c r="AX95" s="49">
        <v>0</v>
      </c>
      <c r="AY95" s="50">
        <v>0</v>
      </c>
      <c r="AZ95" s="49">
        <v>0</v>
      </c>
      <c r="BA95" s="50">
        <v>0</v>
      </c>
      <c r="BB95" s="49">
        <v>8</v>
      </c>
      <c r="BC95" s="50">
        <v>80</v>
      </c>
      <c r="BD95" s="49">
        <v>10</v>
      </c>
      <c r="BE95" s="49"/>
      <c r="BF95" s="49"/>
      <c r="BG95" s="49"/>
      <c r="BH95" s="49"/>
      <c r="BI95" s="49"/>
      <c r="BJ95" s="49"/>
      <c r="BK95" s="127" t="s">
        <v>1101</v>
      </c>
      <c r="BL95" s="127" t="s">
        <v>1101</v>
      </c>
      <c r="BM95" s="127" t="s">
        <v>1176</v>
      </c>
      <c r="BN95" s="127" t="s">
        <v>1176</v>
      </c>
      <c r="BO95" s="2"/>
      <c r="BP95" s="3"/>
      <c r="BQ95" s="3"/>
      <c r="BR95" s="3"/>
      <c r="BS95" s="3"/>
    </row>
    <row r="96" spans="1:71" ht="15">
      <c r="A96" s="65" t="s">
        <v>326</v>
      </c>
      <c r="B96" s="66"/>
      <c r="C96" s="66"/>
      <c r="D96" s="67">
        <v>150</v>
      </c>
      <c r="E96" s="69"/>
      <c r="F96" s="108" t="str">
        <f>HYPERLINK("https://yt3.ggpht.com/ytc/AAUvwni9sDGQ871WeFiAkidHuWAe0VAVMMKP_YThW5mpZQ=s88-c-k-c0x00ffffff-no-rj")</f>
        <v>https://yt3.ggpht.com/ytc/AAUvwni9sDGQ871WeFiAkidHuWAe0VAVMMKP_YThW5mpZQ=s88-c-k-c0x00ffffff-no-rj</v>
      </c>
      <c r="G96" s="66"/>
      <c r="H96" s="70" t="s">
        <v>605</v>
      </c>
      <c r="I96" s="71"/>
      <c r="J96" s="71" t="s">
        <v>159</v>
      </c>
      <c r="K96" s="70" t="s">
        <v>605</v>
      </c>
      <c r="L96" s="74">
        <v>1</v>
      </c>
      <c r="M96" s="75">
        <v>3048.952392578125</v>
      </c>
      <c r="N96" s="75">
        <v>3100.56396484375</v>
      </c>
      <c r="O96" s="76"/>
      <c r="P96" s="77"/>
      <c r="Q96" s="77"/>
      <c r="R96" s="101"/>
      <c r="S96" s="49">
        <v>0</v>
      </c>
      <c r="T96" s="49">
        <v>1</v>
      </c>
      <c r="U96" s="50">
        <v>0</v>
      </c>
      <c r="V96" s="50">
        <v>0.004695</v>
      </c>
      <c r="W96" s="50">
        <v>0.011737</v>
      </c>
      <c r="X96" s="50">
        <v>0.473657</v>
      </c>
      <c r="Y96" s="50">
        <v>0</v>
      </c>
      <c r="Z96" s="50">
        <v>0</v>
      </c>
      <c r="AA96" s="72">
        <v>96</v>
      </c>
      <c r="AB96" s="72"/>
      <c r="AC96" s="73"/>
      <c r="AD96" s="89" t="s">
        <v>605</v>
      </c>
      <c r="AE96" s="89"/>
      <c r="AF96" s="89"/>
      <c r="AG96" s="89"/>
      <c r="AH96" s="89"/>
      <c r="AI96" s="89"/>
      <c r="AJ96" s="98">
        <v>41295.89486111111</v>
      </c>
      <c r="AK96" s="95" t="str">
        <f>HYPERLINK("https://yt3.ggpht.com/ytc/AAUvwni9sDGQ871WeFiAkidHuWAe0VAVMMKP_YThW5mpZQ=s88-c-k-c0x00ffffff-no-rj")</f>
        <v>https://yt3.ggpht.com/ytc/AAUvwni9sDGQ871WeFiAkidHuWAe0VAVMMKP_YThW5mpZQ=s88-c-k-c0x00ffffff-no-rj</v>
      </c>
      <c r="AL96" s="89">
        <v>0</v>
      </c>
      <c r="AM96" s="89">
        <v>0</v>
      </c>
      <c r="AN96" s="89">
        <v>1</v>
      </c>
      <c r="AO96" s="89" t="b">
        <v>0</v>
      </c>
      <c r="AP96" s="89">
        <v>0</v>
      </c>
      <c r="AQ96" s="89"/>
      <c r="AR96" s="89"/>
      <c r="AS96" s="89" t="s">
        <v>736</v>
      </c>
      <c r="AT96" s="95" t="str">
        <f>HYPERLINK("https://www.youtube.com/channel/UCjXQ1_b7RUp86iL0t4I4XrQ")</f>
        <v>https://www.youtube.com/channel/UCjXQ1_b7RUp86iL0t4I4XrQ</v>
      </c>
      <c r="AU96" s="89" t="str">
        <f>REPLACE(INDEX(GroupVertices[Group],MATCH(Vertices[[#This Row],[Vertex]],GroupVertices[Vertex],0)),1,1,"")</f>
        <v>1</v>
      </c>
      <c r="AV96" s="49">
        <v>1</v>
      </c>
      <c r="AW96" s="50">
        <v>50</v>
      </c>
      <c r="AX96" s="49">
        <v>0</v>
      </c>
      <c r="AY96" s="50">
        <v>0</v>
      </c>
      <c r="AZ96" s="49">
        <v>0</v>
      </c>
      <c r="BA96" s="50">
        <v>0</v>
      </c>
      <c r="BB96" s="49">
        <v>1</v>
      </c>
      <c r="BC96" s="50">
        <v>50</v>
      </c>
      <c r="BD96" s="49">
        <v>2</v>
      </c>
      <c r="BE96" s="49"/>
      <c r="BF96" s="49"/>
      <c r="BG96" s="49"/>
      <c r="BH96" s="49"/>
      <c r="BI96" s="49"/>
      <c r="BJ96" s="49"/>
      <c r="BK96" s="127" t="s">
        <v>792</v>
      </c>
      <c r="BL96" s="127" t="s">
        <v>792</v>
      </c>
      <c r="BM96" s="127" t="s">
        <v>666</v>
      </c>
      <c r="BN96" s="127" t="s">
        <v>666</v>
      </c>
      <c r="BO96" s="2"/>
      <c r="BP96" s="3"/>
      <c r="BQ96" s="3"/>
      <c r="BR96" s="3"/>
      <c r="BS96" s="3"/>
    </row>
    <row r="97" spans="1:71" ht="15">
      <c r="A97" s="65" t="s">
        <v>241</v>
      </c>
      <c r="B97" s="66"/>
      <c r="C97" s="66"/>
      <c r="D97" s="67">
        <v>150</v>
      </c>
      <c r="E97" s="69"/>
      <c r="F97" s="108" t="str">
        <f>HYPERLINK("https://yt3.ggpht.com/ytc/AAUvwnhbsqXk6VZh8lORlk-Q99SqYMHEfBIS5fE-GhggJw=s88-c-k-c0x00ffffff-no-rj")</f>
        <v>https://yt3.ggpht.com/ytc/AAUvwnhbsqXk6VZh8lORlk-Q99SqYMHEfBIS5fE-GhggJw=s88-c-k-c0x00ffffff-no-rj</v>
      </c>
      <c r="G97" s="66"/>
      <c r="H97" s="70" t="s">
        <v>520</v>
      </c>
      <c r="I97" s="71"/>
      <c r="J97" s="71" t="s">
        <v>159</v>
      </c>
      <c r="K97" s="70" t="s">
        <v>520</v>
      </c>
      <c r="L97" s="74">
        <v>1</v>
      </c>
      <c r="M97" s="75">
        <v>7643.80224609375</v>
      </c>
      <c r="N97" s="75">
        <v>8275.8076171875</v>
      </c>
      <c r="O97" s="76"/>
      <c r="P97" s="77"/>
      <c r="Q97" s="77"/>
      <c r="R97" s="101"/>
      <c r="S97" s="49">
        <v>0</v>
      </c>
      <c r="T97" s="49">
        <v>1</v>
      </c>
      <c r="U97" s="50">
        <v>0</v>
      </c>
      <c r="V97" s="50">
        <v>0.022727</v>
      </c>
      <c r="W97" s="50">
        <v>0</v>
      </c>
      <c r="X97" s="50">
        <v>0.549699</v>
      </c>
      <c r="Y97" s="50">
        <v>0</v>
      </c>
      <c r="Z97" s="50">
        <v>0</v>
      </c>
      <c r="AA97" s="72">
        <v>97</v>
      </c>
      <c r="AB97" s="72"/>
      <c r="AC97" s="73"/>
      <c r="AD97" s="89" t="s">
        <v>520</v>
      </c>
      <c r="AE97" s="89"/>
      <c r="AF97" s="89"/>
      <c r="AG97" s="89"/>
      <c r="AH97" s="89"/>
      <c r="AI97" s="89"/>
      <c r="AJ97" s="98">
        <v>42498.743310185186</v>
      </c>
      <c r="AK97" s="95" t="str">
        <f>HYPERLINK("https://yt3.ggpht.com/ytc/AAUvwnhbsqXk6VZh8lORlk-Q99SqYMHEfBIS5fE-GhggJw=s88-c-k-c0x00ffffff-no-rj")</f>
        <v>https://yt3.ggpht.com/ytc/AAUvwnhbsqXk6VZh8lORlk-Q99SqYMHEfBIS5fE-GhggJw=s88-c-k-c0x00ffffff-no-rj</v>
      </c>
      <c r="AL97" s="89">
        <v>0</v>
      </c>
      <c r="AM97" s="89">
        <v>0</v>
      </c>
      <c r="AN97" s="89">
        <v>1</v>
      </c>
      <c r="AO97" s="89" t="b">
        <v>0</v>
      </c>
      <c r="AP97" s="89">
        <v>0</v>
      </c>
      <c r="AQ97" s="89"/>
      <c r="AR97" s="89"/>
      <c r="AS97" s="89" t="s">
        <v>736</v>
      </c>
      <c r="AT97" s="95" t="str">
        <f>HYPERLINK("https://www.youtube.com/channel/UCEQkX3yQvmG-23u9b8lvmuw")</f>
        <v>https://www.youtube.com/channel/UCEQkX3yQvmG-23u9b8lvmuw</v>
      </c>
      <c r="AU97" s="89" t="str">
        <f>REPLACE(INDEX(GroupVertices[Group],MATCH(Vertices[[#This Row],[Vertex]],GroupVertices[Vertex],0)),1,1,"")</f>
        <v>3</v>
      </c>
      <c r="AV97" s="49">
        <v>2</v>
      </c>
      <c r="AW97" s="50">
        <v>22.22222222222222</v>
      </c>
      <c r="AX97" s="49">
        <v>0</v>
      </c>
      <c r="AY97" s="50">
        <v>0</v>
      </c>
      <c r="AZ97" s="49">
        <v>0</v>
      </c>
      <c r="BA97" s="50">
        <v>0</v>
      </c>
      <c r="BB97" s="49">
        <v>7</v>
      </c>
      <c r="BC97" s="50">
        <v>77.77777777777777</v>
      </c>
      <c r="BD97" s="49">
        <v>9</v>
      </c>
      <c r="BE97" s="49"/>
      <c r="BF97" s="49"/>
      <c r="BG97" s="49"/>
      <c r="BH97" s="49"/>
      <c r="BI97" s="49"/>
      <c r="BJ97" s="49"/>
      <c r="BK97" s="127" t="s">
        <v>794</v>
      </c>
      <c r="BL97" s="127" t="s">
        <v>794</v>
      </c>
      <c r="BM97" s="127" t="s">
        <v>666</v>
      </c>
      <c r="BN97" s="127" t="s">
        <v>666</v>
      </c>
      <c r="BO97" s="2"/>
      <c r="BP97" s="3"/>
      <c r="BQ97" s="3"/>
      <c r="BR97" s="3"/>
      <c r="BS97" s="3"/>
    </row>
    <row r="98" spans="1:71" ht="15">
      <c r="A98" s="65" t="s">
        <v>234</v>
      </c>
      <c r="B98" s="66"/>
      <c r="C98" s="66"/>
      <c r="D98" s="67">
        <v>150</v>
      </c>
      <c r="E98" s="69"/>
      <c r="F98" s="108" t="str">
        <f>HYPERLINK("https://yt3.ggpht.com/ytc/AAUvwngd5N5ULFl-OeNKD0LO82xR6clYIBacC6czPbGA=s88-c-k-c0x00ffffff-no-rj")</f>
        <v>https://yt3.ggpht.com/ytc/AAUvwngd5N5ULFl-OeNKD0LO82xR6clYIBacC6czPbGA=s88-c-k-c0x00ffffff-no-rj</v>
      </c>
      <c r="G98" s="66"/>
      <c r="H98" s="70" t="s">
        <v>513</v>
      </c>
      <c r="I98" s="71"/>
      <c r="J98" s="71" t="s">
        <v>159</v>
      </c>
      <c r="K98" s="70" t="s">
        <v>513</v>
      </c>
      <c r="L98" s="74">
        <v>1</v>
      </c>
      <c r="M98" s="75">
        <v>5869.9013671875</v>
      </c>
      <c r="N98" s="75">
        <v>2458.142822265625</v>
      </c>
      <c r="O98" s="76"/>
      <c r="P98" s="77"/>
      <c r="Q98" s="77"/>
      <c r="R98" s="101"/>
      <c r="S98" s="49">
        <v>0</v>
      </c>
      <c r="T98" s="49">
        <v>1</v>
      </c>
      <c r="U98" s="50">
        <v>0</v>
      </c>
      <c r="V98" s="50">
        <v>0.043478</v>
      </c>
      <c r="W98" s="50">
        <v>0</v>
      </c>
      <c r="X98" s="50">
        <v>0.549991</v>
      </c>
      <c r="Y98" s="50">
        <v>0</v>
      </c>
      <c r="Z98" s="50">
        <v>0</v>
      </c>
      <c r="AA98" s="72">
        <v>98</v>
      </c>
      <c r="AB98" s="72"/>
      <c r="AC98" s="73"/>
      <c r="AD98" s="89" t="s">
        <v>513</v>
      </c>
      <c r="AE98" s="89"/>
      <c r="AF98" s="89"/>
      <c r="AG98" s="89"/>
      <c r="AH98" s="89"/>
      <c r="AI98" s="89"/>
      <c r="AJ98" s="98">
        <v>43050.09107638889</v>
      </c>
      <c r="AK98" s="95" t="str">
        <f>HYPERLINK("https://yt3.ggpht.com/ytc/AAUvwngd5N5ULFl-OeNKD0LO82xR6clYIBacC6czPbGA=s88-c-k-c0x00ffffff-no-rj")</f>
        <v>https://yt3.ggpht.com/ytc/AAUvwngd5N5ULFl-OeNKD0LO82xR6clYIBacC6czPbGA=s88-c-k-c0x00ffffff-no-rj</v>
      </c>
      <c r="AL98" s="89">
        <v>0</v>
      </c>
      <c r="AM98" s="89">
        <v>0</v>
      </c>
      <c r="AN98" s="89">
        <v>12</v>
      </c>
      <c r="AO98" s="89" t="b">
        <v>0</v>
      </c>
      <c r="AP98" s="89">
        <v>0</v>
      </c>
      <c r="AQ98" s="89"/>
      <c r="AR98" s="89"/>
      <c r="AS98" s="89" t="s">
        <v>736</v>
      </c>
      <c r="AT98" s="95" t="str">
        <f>HYPERLINK("https://www.youtube.com/channel/UC2LxcXUNLqPhJrjxhuQMT3w")</f>
        <v>https://www.youtube.com/channel/UC2LxcXUNLqPhJrjxhuQMT3w</v>
      </c>
      <c r="AU98" s="89" t="str">
        <f>REPLACE(INDEX(GroupVertices[Group],MATCH(Vertices[[#This Row],[Vertex]],GroupVertices[Vertex],0)),1,1,"")</f>
        <v>4</v>
      </c>
      <c r="AV98" s="49">
        <v>0</v>
      </c>
      <c r="AW98" s="50">
        <v>0</v>
      </c>
      <c r="AX98" s="49">
        <v>1</v>
      </c>
      <c r="AY98" s="50">
        <v>33.333333333333336</v>
      </c>
      <c r="AZ98" s="49">
        <v>0</v>
      </c>
      <c r="BA98" s="50">
        <v>0</v>
      </c>
      <c r="BB98" s="49">
        <v>2</v>
      </c>
      <c r="BC98" s="50">
        <v>66.66666666666667</v>
      </c>
      <c r="BD98" s="49">
        <v>3</v>
      </c>
      <c r="BE98" s="49"/>
      <c r="BF98" s="49"/>
      <c r="BG98" s="49"/>
      <c r="BH98" s="49"/>
      <c r="BI98" s="49"/>
      <c r="BJ98" s="49"/>
      <c r="BK98" s="127" t="s">
        <v>368</v>
      </c>
      <c r="BL98" s="127" t="s">
        <v>368</v>
      </c>
      <c r="BM98" s="127" t="s">
        <v>1177</v>
      </c>
      <c r="BN98" s="127" t="s">
        <v>1177</v>
      </c>
      <c r="BO98" s="2"/>
      <c r="BP98" s="3"/>
      <c r="BQ98" s="3"/>
      <c r="BR98" s="3"/>
      <c r="BS98" s="3"/>
    </row>
    <row r="99" spans="1:71" ht="15">
      <c r="A99" s="65" t="s">
        <v>332</v>
      </c>
      <c r="B99" s="66"/>
      <c r="C99" s="66"/>
      <c r="D99" s="67">
        <v>271.42857142857144</v>
      </c>
      <c r="E99" s="69"/>
      <c r="F99" s="108" t="str">
        <f>HYPERLINK("https://yt3.ggpht.com/ytc/AAUvwnhnqH4HkQAueUNiyfAjLvhQi3GTmy4s6iu1GQ=s88-c-k-c0x00ffffff-no-rj")</f>
        <v>https://yt3.ggpht.com/ytc/AAUvwnhnqH4HkQAueUNiyfAjLvhQi3GTmy4s6iu1GQ=s88-c-k-c0x00ffffff-no-rj</v>
      </c>
      <c r="G99" s="66"/>
      <c r="H99" s="70" t="s">
        <v>611</v>
      </c>
      <c r="I99" s="71"/>
      <c r="J99" s="71" t="s">
        <v>159</v>
      </c>
      <c r="K99" s="70" t="s">
        <v>611</v>
      </c>
      <c r="L99" s="74">
        <v>167.63333333333333</v>
      </c>
      <c r="M99" s="75">
        <v>1282.622802734375</v>
      </c>
      <c r="N99" s="75">
        <v>308.940185546875</v>
      </c>
      <c r="O99" s="76"/>
      <c r="P99" s="77"/>
      <c r="Q99" s="77"/>
      <c r="R99" s="101"/>
      <c r="S99" s="49">
        <v>1</v>
      </c>
      <c r="T99" s="49">
        <v>2</v>
      </c>
      <c r="U99" s="50">
        <v>0</v>
      </c>
      <c r="V99" s="50">
        <v>0.004695</v>
      </c>
      <c r="W99" s="50">
        <v>0.013273</v>
      </c>
      <c r="X99" s="50">
        <v>0.82375</v>
      </c>
      <c r="Y99" s="50">
        <v>0</v>
      </c>
      <c r="Z99" s="50">
        <v>0</v>
      </c>
      <c r="AA99" s="72">
        <v>99</v>
      </c>
      <c r="AB99" s="72"/>
      <c r="AC99" s="73"/>
      <c r="AD99" s="89" t="s">
        <v>611</v>
      </c>
      <c r="AE99" s="89"/>
      <c r="AF99" s="89"/>
      <c r="AG99" s="89"/>
      <c r="AH99" s="89"/>
      <c r="AI99" s="89"/>
      <c r="AJ99" s="98">
        <v>41617.71771990741</v>
      </c>
      <c r="AK99" s="95" t="str">
        <f>HYPERLINK("https://yt3.ggpht.com/ytc/AAUvwnhnqH4HkQAueUNiyfAjLvhQi3GTmy4s6iu1GQ=s88-c-k-c0x00ffffff-no-rj")</f>
        <v>https://yt3.ggpht.com/ytc/AAUvwnhnqH4HkQAueUNiyfAjLvhQi3GTmy4s6iu1GQ=s88-c-k-c0x00ffffff-no-rj</v>
      </c>
      <c r="AL99" s="89">
        <v>0</v>
      </c>
      <c r="AM99" s="89">
        <v>0</v>
      </c>
      <c r="AN99" s="89">
        <v>0</v>
      </c>
      <c r="AO99" s="89" t="b">
        <v>0</v>
      </c>
      <c r="AP99" s="89">
        <v>0</v>
      </c>
      <c r="AQ99" s="89"/>
      <c r="AR99" s="89"/>
      <c r="AS99" s="89" t="s">
        <v>736</v>
      </c>
      <c r="AT99" s="95" t="str">
        <f>HYPERLINK("https://www.youtube.com/channel/UC-MVjybu6gbAbIDiQosKimA")</f>
        <v>https://www.youtube.com/channel/UC-MVjybu6gbAbIDiQosKimA</v>
      </c>
      <c r="AU99" s="89" t="str">
        <f>REPLACE(INDEX(GroupVertices[Group],MATCH(Vertices[[#This Row],[Vertex]],GroupVertices[Vertex],0)),1,1,"")</f>
        <v>1</v>
      </c>
      <c r="AV99" s="49">
        <v>1</v>
      </c>
      <c r="AW99" s="50">
        <v>3.225806451612903</v>
      </c>
      <c r="AX99" s="49">
        <v>0</v>
      </c>
      <c r="AY99" s="50">
        <v>0</v>
      </c>
      <c r="AZ99" s="49">
        <v>0</v>
      </c>
      <c r="BA99" s="50">
        <v>0</v>
      </c>
      <c r="BB99" s="49">
        <v>30</v>
      </c>
      <c r="BC99" s="50">
        <v>96.7741935483871</v>
      </c>
      <c r="BD99" s="49">
        <v>31</v>
      </c>
      <c r="BE99" s="49"/>
      <c r="BF99" s="49"/>
      <c r="BG99" s="49"/>
      <c r="BH99" s="49"/>
      <c r="BI99" s="49"/>
      <c r="BJ99" s="49"/>
      <c r="BK99" s="127" t="s">
        <v>1102</v>
      </c>
      <c r="BL99" s="127" t="s">
        <v>1102</v>
      </c>
      <c r="BM99" s="127" t="s">
        <v>1178</v>
      </c>
      <c r="BN99" s="127" t="s">
        <v>1178</v>
      </c>
      <c r="BO99" s="2"/>
      <c r="BP99" s="3"/>
      <c r="BQ99" s="3"/>
      <c r="BR99" s="3"/>
      <c r="BS99" s="3"/>
    </row>
    <row r="100" spans="1:71" ht="15">
      <c r="A100" s="65" t="s">
        <v>343</v>
      </c>
      <c r="B100" s="66"/>
      <c r="C100" s="66"/>
      <c r="D100" s="67">
        <v>271.42857142857144</v>
      </c>
      <c r="E100" s="69"/>
      <c r="F100" s="108" t="str">
        <f>HYPERLINK("https://yt3.ggpht.com/ytc/AAUvwnhjDuuss9z_OXDRzLMUrjKeUjnFzHB7LZv-E6m9=s88-c-k-c0x00ffffff-no-rj")</f>
        <v>https://yt3.ggpht.com/ytc/AAUvwnhjDuuss9z_OXDRzLMUrjKeUjnFzHB7LZv-E6m9=s88-c-k-c0x00ffffff-no-rj</v>
      </c>
      <c r="G100" s="66"/>
      <c r="H100" s="70" t="s">
        <v>622</v>
      </c>
      <c r="I100" s="71"/>
      <c r="J100" s="71" t="s">
        <v>159</v>
      </c>
      <c r="K100" s="70" t="s">
        <v>622</v>
      </c>
      <c r="L100" s="74">
        <v>167.63333333333333</v>
      </c>
      <c r="M100" s="75">
        <v>9563.7998046875</v>
      </c>
      <c r="N100" s="75">
        <v>599.6510009765625</v>
      </c>
      <c r="O100" s="76"/>
      <c r="P100" s="77"/>
      <c r="Q100" s="77"/>
      <c r="R100" s="101"/>
      <c r="S100" s="49">
        <v>1</v>
      </c>
      <c r="T100" s="49">
        <v>1</v>
      </c>
      <c r="U100" s="50">
        <v>180</v>
      </c>
      <c r="V100" s="50">
        <v>0.004739</v>
      </c>
      <c r="W100" s="50">
        <v>0.011897</v>
      </c>
      <c r="X100" s="50">
        <v>0.941144</v>
      </c>
      <c r="Y100" s="50">
        <v>0</v>
      </c>
      <c r="Z100" s="50">
        <v>0</v>
      </c>
      <c r="AA100" s="72">
        <v>100</v>
      </c>
      <c r="AB100" s="72"/>
      <c r="AC100" s="73"/>
      <c r="AD100" s="89" t="s">
        <v>622</v>
      </c>
      <c r="AE100" s="89"/>
      <c r="AF100" s="89"/>
      <c r="AG100" s="89"/>
      <c r="AH100" s="89"/>
      <c r="AI100" s="89"/>
      <c r="AJ100" s="98">
        <v>44158.66179398148</v>
      </c>
      <c r="AK100" s="95" t="str">
        <f>HYPERLINK("https://yt3.ggpht.com/ytc/AAUvwnhjDuuss9z_OXDRzLMUrjKeUjnFzHB7LZv-E6m9=s88-c-k-c0x00ffffff-no-rj")</f>
        <v>https://yt3.ggpht.com/ytc/AAUvwnhjDuuss9z_OXDRzLMUrjKeUjnFzHB7LZv-E6m9=s88-c-k-c0x00ffffff-no-rj</v>
      </c>
      <c r="AL100" s="89">
        <v>0</v>
      </c>
      <c r="AM100" s="89">
        <v>0</v>
      </c>
      <c r="AN100" s="89">
        <v>0</v>
      </c>
      <c r="AO100" s="89" t="b">
        <v>0</v>
      </c>
      <c r="AP100" s="89">
        <v>0</v>
      </c>
      <c r="AQ100" s="89"/>
      <c r="AR100" s="89"/>
      <c r="AS100" s="89" t="s">
        <v>736</v>
      </c>
      <c r="AT100" s="95" t="str">
        <f>HYPERLINK("https://www.youtube.com/channel/UC_V7nOjrL1MJU2JZ-6wyrXg")</f>
        <v>https://www.youtube.com/channel/UC_V7nOjrL1MJU2JZ-6wyrXg</v>
      </c>
      <c r="AU100" s="89" t="str">
        <f>REPLACE(INDEX(GroupVertices[Group],MATCH(Vertices[[#This Row],[Vertex]],GroupVertices[Vertex],0)),1,1,"")</f>
        <v>9</v>
      </c>
      <c r="AV100" s="49">
        <v>0</v>
      </c>
      <c r="AW100" s="50">
        <v>0</v>
      </c>
      <c r="AX100" s="49">
        <v>0</v>
      </c>
      <c r="AY100" s="50">
        <v>0</v>
      </c>
      <c r="AZ100" s="49">
        <v>0</v>
      </c>
      <c r="BA100" s="50">
        <v>0</v>
      </c>
      <c r="BB100" s="49">
        <v>7</v>
      </c>
      <c r="BC100" s="50">
        <v>100</v>
      </c>
      <c r="BD100" s="49">
        <v>7</v>
      </c>
      <c r="BE100" s="49"/>
      <c r="BF100" s="49"/>
      <c r="BG100" s="49"/>
      <c r="BH100" s="49"/>
      <c r="BI100" s="49"/>
      <c r="BJ100" s="49"/>
      <c r="BK100" s="127" t="s">
        <v>775</v>
      </c>
      <c r="BL100" s="127" t="s">
        <v>775</v>
      </c>
      <c r="BM100" s="127" t="s">
        <v>666</v>
      </c>
      <c r="BN100" s="127" t="s">
        <v>666</v>
      </c>
      <c r="BO100" s="2"/>
      <c r="BP100" s="3"/>
      <c r="BQ100" s="3"/>
      <c r="BR100" s="3"/>
      <c r="BS100" s="3"/>
    </row>
    <row r="101" spans="1:71" ht="15">
      <c r="A101" s="65" t="s">
        <v>323</v>
      </c>
      <c r="B101" s="66"/>
      <c r="C101" s="66"/>
      <c r="D101" s="67">
        <v>150</v>
      </c>
      <c r="E101" s="69"/>
      <c r="F101" s="108" t="str">
        <f>HYPERLINK("https://yt3.ggpht.com/ytc/AAUvwnjmswHA1Q6cjUVMyDYoRMyCn21pziYh14UzCA=s88-c-k-c0x00ffffff-no-rj")</f>
        <v>https://yt3.ggpht.com/ytc/AAUvwnjmswHA1Q6cjUVMyDYoRMyCn21pziYh14UzCA=s88-c-k-c0x00ffffff-no-rj</v>
      </c>
      <c r="G101" s="66"/>
      <c r="H101" s="70" t="s">
        <v>602</v>
      </c>
      <c r="I101" s="71"/>
      <c r="J101" s="71" t="s">
        <v>159</v>
      </c>
      <c r="K101" s="70" t="s">
        <v>602</v>
      </c>
      <c r="L101" s="74">
        <v>1</v>
      </c>
      <c r="M101" s="75">
        <v>3519.77685546875</v>
      </c>
      <c r="N101" s="75">
        <v>2436.218017578125</v>
      </c>
      <c r="O101" s="76"/>
      <c r="P101" s="77"/>
      <c r="Q101" s="77"/>
      <c r="R101" s="101"/>
      <c r="S101" s="49">
        <v>0</v>
      </c>
      <c r="T101" s="49">
        <v>1</v>
      </c>
      <c r="U101" s="50">
        <v>0</v>
      </c>
      <c r="V101" s="50">
        <v>0.004695</v>
      </c>
      <c r="W101" s="50">
        <v>0.011737</v>
      </c>
      <c r="X101" s="50">
        <v>0.473657</v>
      </c>
      <c r="Y101" s="50">
        <v>0</v>
      </c>
      <c r="Z101" s="50">
        <v>0</v>
      </c>
      <c r="AA101" s="72">
        <v>101</v>
      </c>
      <c r="AB101" s="72"/>
      <c r="AC101" s="73"/>
      <c r="AD101" s="89" t="s">
        <v>602</v>
      </c>
      <c r="AE101" s="89"/>
      <c r="AF101" s="89"/>
      <c r="AG101" s="89"/>
      <c r="AH101" s="89"/>
      <c r="AI101" s="89"/>
      <c r="AJ101" s="98">
        <v>42166.71601851852</v>
      </c>
      <c r="AK101" s="95" t="str">
        <f>HYPERLINK("https://yt3.ggpht.com/ytc/AAUvwnjmswHA1Q6cjUVMyDYoRMyCn21pziYh14UzCA=s88-c-k-c0x00ffffff-no-rj")</f>
        <v>https://yt3.ggpht.com/ytc/AAUvwnjmswHA1Q6cjUVMyDYoRMyCn21pziYh14UzCA=s88-c-k-c0x00ffffff-no-rj</v>
      </c>
      <c r="AL101" s="89">
        <v>0</v>
      </c>
      <c r="AM101" s="89">
        <v>0</v>
      </c>
      <c r="AN101" s="89">
        <v>0</v>
      </c>
      <c r="AO101" s="89" t="b">
        <v>0</v>
      </c>
      <c r="AP101" s="89">
        <v>0</v>
      </c>
      <c r="AQ101" s="89"/>
      <c r="AR101" s="89"/>
      <c r="AS101" s="89" t="s">
        <v>736</v>
      </c>
      <c r="AT101" s="95" t="str">
        <f>HYPERLINK("https://www.youtube.com/channel/UCD3JkquUUlOui749jhE6Mvg")</f>
        <v>https://www.youtube.com/channel/UCD3JkquUUlOui749jhE6Mvg</v>
      </c>
      <c r="AU101" s="89" t="str">
        <f>REPLACE(INDEX(GroupVertices[Group],MATCH(Vertices[[#This Row],[Vertex]],GroupVertices[Vertex],0)),1,1,"")</f>
        <v>1</v>
      </c>
      <c r="AV101" s="49">
        <v>1</v>
      </c>
      <c r="AW101" s="50">
        <v>7.142857142857143</v>
      </c>
      <c r="AX101" s="49">
        <v>0</v>
      </c>
      <c r="AY101" s="50">
        <v>0</v>
      </c>
      <c r="AZ101" s="49">
        <v>0</v>
      </c>
      <c r="BA101" s="50">
        <v>0</v>
      </c>
      <c r="BB101" s="49">
        <v>13</v>
      </c>
      <c r="BC101" s="50">
        <v>92.85714285714286</v>
      </c>
      <c r="BD101" s="49">
        <v>14</v>
      </c>
      <c r="BE101" s="49"/>
      <c r="BF101" s="49"/>
      <c r="BG101" s="49"/>
      <c r="BH101" s="49"/>
      <c r="BI101" s="49"/>
      <c r="BJ101" s="49"/>
      <c r="BK101" s="127" t="s">
        <v>1103</v>
      </c>
      <c r="BL101" s="127" t="s">
        <v>1103</v>
      </c>
      <c r="BM101" s="127" t="s">
        <v>1179</v>
      </c>
      <c r="BN101" s="127" t="s">
        <v>1179</v>
      </c>
      <c r="BO101" s="2"/>
      <c r="BP101" s="3"/>
      <c r="BQ101" s="3"/>
      <c r="BR101" s="3"/>
      <c r="BS101" s="3"/>
    </row>
    <row r="102" spans="1:71" ht="15">
      <c r="A102" s="65" t="s">
        <v>265</v>
      </c>
      <c r="B102" s="66"/>
      <c r="C102" s="66"/>
      <c r="D102" s="67">
        <v>150</v>
      </c>
      <c r="E102" s="69"/>
      <c r="F102" s="108" t="str">
        <f>HYPERLINK("https://yt3.ggpht.com/ytc/AAUvwniktPwENevJZoGo_eBgQQWvoKLHYvesqgC89Kq19w=s88-c-k-c0x00ffffff-no-rj")</f>
        <v>https://yt3.ggpht.com/ytc/AAUvwniktPwENevJZoGo_eBgQQWvoKLHYvesqgC89Kq19w=s88-c-k-c0x00ffffff-no-rj</v>
      </c>
      <c r="G102" s="66"/>
      <c r="H102" s="70" t="s">
        <v>544</v>
      </c>
      <c r="I102" s="71"/>
      <c r="J102" s="71" t="s">
        <v>159</v>
      </c>
      <c r="K102" s="70" t="s">
        <v>544</v>
      </c>
      <c r="L102" s="74">
        <v>1</v>
      </c>
      <c r="M102" s="75">
        <v>1326.9173583984375</v>
      </c>
      <c r="N102" s="75">
        <v>8913.8486328125</v>
      </c>
      <c r="O102" s="76"/>
      <c r="P102" s="77"/>
      <c r="Q102" s="77"/>
      <c r="R102" s="101"/>
      <c r="S102" s="49">
        <v>0</v>
      </c>
      <c r="T102" s="49">
        <v>3</v>
      </c>
      <c r="U102" s="50">
        <v>3.8</v>
      </c>
      <c r="V102" s="50">
        <v>0.003401</v>
      </c>
      <c r="W102" s="50">
        <v>0.004737</v>
      </c>
      <c r="X102" s="50">
        <v>1.091673</v>
      </c>
      <c r="Y102" s="50">
        <v>0</v>
      </c>
      <c r="Z102" s="50">
        <v>0</v>
      </c>
      <c r="AA102" s="72">
        <v>102</v>
      </c>
      <c r="AB102" s="72"/>
      <c r="AC102" s="73"/>
      <c r="AD102" s="89" t="s">
        <v>544</v>
      </c>
      <c r="AE102" s="89" t="s">
        <v>699</v>
      </c>
      <c r="AF102" s="89"/>
      <c r="AG102" s="89"/>
      <c r="AH102" s="89"/>
      <c r="AI102" s="89"/>
      <c r="AJ102" s="98">
        <v>43988.551030092596</v>
      </c>
      <c r="AK102" s="95" t="str">
        <f>HYPERLINK("https://yt3.ggpht.com/ytc/AAUvwniktPwENevJZoGo_eBgQQWvoKLHYvesqgC89Kq19w=s88-c-k-c0x00ffffff-no-rj")</f>
        <v>https://yt3.ggpht.com/ytc/AAUvwniktPwENevJZoGo_eBgQQWvoKLHYvesqgC89Kq19w=s88-c-k-c0x00ffffff-no-rj</v>
      </c>
      <c r="AL102" s="89">
        <v>0</v>
      </c>
      <c r="AM102" s="89">
        <v>0</v>
      </c>
      <c r="AN102" s="89">
        <v>13</v>
      </c>
      <c r="AO102" s="89" t="b">
        <v>0</v>
      </c>
      <c r="AP102" s="89">
        <v>0</v>
      </c>
      <c r="AQ102" s="89"/>
      <c r="AR102" s="89"/>
      <c r="AS102" s="89" t="s">
        <v>736</v>
      </c>
      <c r="AT102" s="95" t="str">
        <f>HYPERLINK("https://www.youtube.com/channel/UCy8XLhlIl992JrAP2hgCscQ")</f>
        <v>https://www.youtube.com/channel/UCy8XLhlIl992JrAP2hgCscQ</v>
      </c>
      <c r="AU102" s="89" t="str">
        <f>REPLACE(INDEX(GroupVertices[Group],MATCH(Vertices[[#This Row],[Vertex]],GroupVertices[Vertex],0)),1,1,"")</f>
        <v>1</v>
      </c>
      <c r="AV102" s="49">
        <v>3</v>
      </c>
      <c r="AW102" s="50">
        <v>4.477611940298507</v>
      </c>
      <c r="AX102" s="49">
        <v>3</v>
      </c>
      <c r="AY102" s="50">
        <v>4.477611940298507</v>
      </c>
      <c r="AZ102" s="49">
        <v>0</v>
      </c>
      <c r="BA102" s="50">
        <v>0</v>
      </c>
      <c r="BB102" s="49">
        <v>61</v>
      </c>
      <c r="BC102" s="50">
        <v>91.04477611940298</v>
      </c>
      <c r="BD102" s="49">
        <v>67</v>
      </c>
      <c r="BE102" s="49"/>
      <c r="BF102" s="49"/>
      <c r="BG102" s="49"/>
      <c r="BH102" s="49"/>
      <c r="BI102" s="49"/>
      <c r="BJ102" s="49"/>
      <c r="BK102" s="127" t="s">
        <v>1104</v>
      </c>
      <c r="BL102" s="127" t="s">
        <v>1104</v>
      </c>
      <c r="BM102" s="127" t="s">
        <v>1180</v>
      </c>
      <c r="BN102" s="127" t="s">
        <v>1180</v>
      </c>
      <c r="BO102" s="2"/>
      <c r="BP102" s="3"/>
      <c r="BQ102" s="3"/>
      <c r="BR102" s="3"/>
      <c r="BS102" s="3"/>
    </row>
    <row r="103" spans="1:71" ht="15">
      <c r="A103" s="65" t="s">
        <v>309</v>
      </c>
      <c r="B103" s="66"/>
      <c r="C103" s="66"/>
      <c r="D103" s="67">
        <v>150</v>
      </c>
      <c r="E103" s="69"/>
      <c r="F103" s="108" t="str">
        <f>HYPERLINK("https://yt3.ggpht.com/ytc/AAUvwnhKdeXALhpg3-qvAvXk87WJ775g94BvKTZL7A=s88-c-k-c0x00ffffff-no-rj")</f>
        <v>https://yt3.ggpht.com/ytc/AAUvwnhKdeXALhpg3-qvAvXk87WJ775g94BvKTZL7A=s88-c-k-c0x00ffffff-no-rj</v>
      </c>
      <c r="G103" s="66"/>
      <c r="H103" s="70" t="s">
        <v>588</v>
      </c>
      <c r="I103" s="71"/>
      <c r="J103" s="71" t="s">
        <v>159</v>
      </c>
      <c r="K103" s="70" t="s">
        <v>588</v>
      </c>
      <c r="L103" s="74">
        <v>1</v>
      </c>
      <c r="M103" s="75">
        <v>334.3414306640625</v>
      </c>
      <c r="N103" s="75">
        <v>5476.49365234375</v>
      </c>
      <c r="O103" s="76"/>
      <c r="P103" s="77"/>
      <c r="Q103" s="77"/>
      <c r="R103" s="101"/>
      <c r="S103" s="49">
        <v>0</v>
      </c>
      <c r="T103" s="49">
        <v>1</v>
      </c>
      <c r="U103" s="50">
        <v>0</v>
      </c>
      <c r="V103" s="50">
        <v>0.004695</v>
      </c>
      <c r="W103" s="50">
        <v>0.011737</v>
      </c>
      <c r="X103" s="50">
        <v>0.473657</v>
      </c>
      <c r="Y103" s="50">
        <v>0</v>
      </c>
      <c r="Z103" s="50">
        <v>0</v>
      </c>
      <c r="AA103" s="72">
        <v>103</v>
      </c>
      <c r="AB103" s="72"/>
      <c r="AC103" s="73"/>
      <c r="AD103" s="89" t="s">
        <v>588</v>
      </c>
      <c r="AE103" s="89"/>
      <c r="AF103" s="89"/>
      <c r="AG103" s="89"/>
      <c r="AH103" s="89"/>
      <c r="AI103" s="89"/>
      <c r="AJ103" s="98">
        <v>43656.36450231481</v>
      </c>
      <c r="AK103" s="95" t="str">
        <f>HYPERLINK("https://yt3.ggpht.com/ytc/AAUvwnhKdeXALhpg3-qvAvXk87WJ775g94BvKTZL7A=s88-c-k-c0x00ffffff-no-rj")</f>
        <v>https://yt3.ggpht.com/ytc/AAUvwnhKdeXALhpg3-qvAvXk87WJ775g94BvKTZL7A=s88-c-k-c0x00ffffff-no-rj</v>
      </c>
      <c r="AL103" s="89">
        <v>8</v>
      </c>
      <c r="AM103" s="89">
        <v>0</v>
      </c>
      <c r="AN103" s="89">
        <v>1</v>
      </c>
      <c r="AO103" s="89" t="b">
        <v>0</v>
      </c>
      <c r="AP103" s="89">
        <v>2</v>
      </c>
      <c r="AQ103" s="89"/>
      <c r="AR103" s="89"/>
      <c r="AS103" s="89" t="s">
        <v>736</v>
      </c>
      <c r="AT103" s="95" t="str">
        <f>HYPERLINK("https://www.youtube.com/channel/UCIRd_KLhNQWScj1-la439iw")</f>
        <v>https://www.youtube.com/channel/UCIRd_KLhNQWScj1-la439iw</v>
      </c>
      <c r="AU103" s="89" t="str">
        <f>REPLACE(INDEX(GroupVertices[Group],MATCH(Vertices[[#This Row],[Vertex]],GroupVertices[Vertex],0)),1,1,"")</f>
        <v>1</v>
      </c>
      <c r="AV103" s="49">
        <v>0</v>
      </c>
      <c r="AW103" s="50">
        <v>0</v>
      </c>
      <c r="AX103" s="49">
        <v>0</v>
      </c>
      <c r="AY103" s="50">
        <v>0</v>
      </c>
      <c r="AZ103" s="49">
        <v>0</v>
      </c>
      <c r="BA103" s="50">
        <v>0</v>
      </c>
      <c r="BB103" s="49">
        <v>3</v>
      </c>
      <c r="BC103" s="50">
        <v>100</v>
      </c>
      <c r="BD103" s="49">
        <v>3</v>
      </c>
      <c r="BE103" s="49"/>
      <c r="BF103" s="49"/>
      <c r="BG103" s="49"/>
      <c r="BH103" s="49"/>
      <c r="BI103" s="49"/>
      <c r="BJ103" s="49"/>
      <c r="BK103" s="127" t="s">
        <v>1105</v>
      </c>
      <c r="BL103" s="127" t="s">
        <v>1105</v>
      </c>
      <c r="BM103" s="127" t="s">
        <v>666</v>
      </c>
      <c r="BN103" s="127" t="s">
        <v>666</v>
      </c>
      <c r="BO103" s="2"/>
      <c r="BP103" s="3"/>
      <c r="BQ103" s="3"/>
      <c r="BR103" s="3"/>
      <c r="BS103" s="3"/>
    </row>
    <row r="104" spans="1:71" ht="15">
      <c r="A104" s="65" t="s">
        <v>247</v>
      </c>
      <c r="B104" s="66"/>
      <c r="C104" s="66"/>
      <c r="D104" s="67">
        <v>150</v>
      </c>
      <c r="E104" s="69"/>
      <c r="F104" s="108" t="str">
        <f>HYPERLINK("https://yt3.ggpht.com/ytc/AAUvwnjrgIGykYehDsELDZxr4ECOUWzbcLnY9CC-iA=s88-c-k-c0x00ffffff-no-rj")</f>
        <v>https://yt3.ggpht.com/ytc/AAUvwnjrgIGykYehDsELDZxr4ECOUWzbcLnY9CC-iA=s88-c-k-c0x00ffffff-no-rj</v>
      </c>
      <c r="G104" s="66"/>
      <c r="H104" s="70" t="s">
        <v>526</v>
      </c>
      <c r="I104" s="71"/>
      <c r="J104" s="71" t="s">
        <v>159</v>
      </c>
      <c r="K104" s="70" t="s">
        <v>526</v>
      </c>
      <c r="L104" s="74">
        <v>1</v>
      </c>
      <c r="M104" s="75">
        <v>8671.91015625</v>
      </c>
      <c r="N104" s="75">
        <v>4821.50341796875</v>
      </c>
      <c r="O104" s="76"/>
      <c r="P104" s="77"/>
      <c r="Q104" s="77"/>
      <c r="R104" s="101"/>
      <c r="S104" s="49">
        <v>0</v>
      </c>
      <c r="T104" s="49">
        <v>1</v>
      </c>
      <c r="U104" s="50">
        <v>0</v>
      </c>
      <c r="V104" s="50">
        <v>0.022727</v>
      </c>
      <c r="W104" s="50">
        <v>0</v>
      </c>
      <c r="X104" s="50">
        <v>0.549699</v>
      </c>
      <c r="Y104" s="50">
        <v>0</v>
      </c>
      <c r="Z104" s="50">
        <v>0</v>
      </c>
      <c r="AA104" s="72">
        <v>104</v>
      </c>
      <c r="AB104" s="72"/>
      <c r="AC104" s="73"/>
      <c r="AD104" s="89" t="s">
        <v>526</v>
      </c>
      <c r="AE104" s="89"/>
      <c r="AF104" s="89"/>
      <c r="AG104" s="89"/>
      <c r="AH104" s="89"/>
      <c r="AI104" s="89"/>
      <c r="AJ104" s="98">
        <v>43872.65603009259</v>
      </c>
      <c r="AK104" s="95" t="str">
        <f>HYPERLINK("https://yt3.ggpht.com/ytc/AAUvwnjrgIGykYehDsELDZxr4ECOUWzbcLnY9CC-iA=s88-c-k-c0x00ffffff-no-rj")</f>
        <v>https://yt3.ggpht.com/ytc/AAUvwnjrgIGykYehDsELDZxr4ECOUWzbcLnY9CC-iA=s88-c-k-c0x00ffffff-no-rj</v>
      </c>
      <c r="AL104" s="89">
        <v>0</v>
      </c>
      <c r="AM104" s="89">
        <v>0</v>
      </c>
      <c r="AN104" s="89">
        <v>0</v>
      </c>
      <c r="AO104" s="89" t="b">
        <v>0</v>
      </c>
      <c r="AP104" s="89">
        <v>0</v>
      </c>
      <c r="AQ104" s="89"/>
      <c r="AR104" s="89"/>
      <c r="AS104" s="89" t="s">
        <v>736</v>
      </c>
      <c r="AT104" s="95" t="str">
        <f>HYPERLINK("https://www.youtube.com/channel/UCgTNsNpvgKhJTjwXB7aU01w")</f>
        <v>https://www.youtube.com/channel/UCgTNsNpvgKhJTjwXB7aU01w</v>
      </c>
      <c r="AU104" s="89" t="str">
        <f>REPLACE(INDEX(GroupVertices[Group],MATCH(Vertices[[#This Row],[Vertex]],GroupVertices[Vertex],0)),1,1,"")</f>
        <v>3</v>
      </c>
      <c r="AV104" s="49">
        <v>1</v>
      </c>
      <c r="AW104" s="50">
        <v>33.333333333333336</v>
      </c>
      <c r="AX104" s="49">
        <v>0</v>
      </c>
      <c r="AY104" s="50">
        <v>0</v>
      </c>
      <c r="AZ104" s="49">
        <v>0</v>
      </c>
      <c r="BA104" s="50">
        <v>0</v>
      </c>
      <c r="BB104" s="49">
        <v>2</v>
      </c>
      <c r="BC104" s="50">
        <v>66.66666666666667</v>
      </c>
      <c r="BD104" s="49">
        <v>3</v>
      </c>
      <c r="BE104" s="49"/>
      <c r="BF104" s="49"/>
      <c r="BG104" s="49"/>
      <c r="BH104" s="49"/>
      <c r="BI104" s="49"/>
      <c r="BJ104" s="49"/>
      <c r="BK104" s="127" t="s">
        <v>1106</v>
      </c>
      <c r="BL104" s="127" t="s">
        <v>1106</v>
      </c>
      <c r="BM104" s="127" t="s">
        <v>666</v>
      </c>
      <c r="BN104" s="127" t="s">
        <v>666</v>
      </c>
      <c r="BO104" s="2"/>
      <c r="BP104" s="3"/>
      <c r="BQ104" s="3"/>
      <c r="BR104" s="3"/>
      <c r="BS104" s="3"/>
    </row>
    <row r="105" spans="1:71" ht="15">
      <c r="A105" s="65" t="s">
        <v>275</v>
      </c>
      <c r="B105" s="66"/>
      <c r="C105" s="66"/>
      <c r="D105" s="67">
        <v>150</v>
      </c>
      <c r="E105" s="69"/>
      <c r="F105" s="108" t="str">
        <f>HYPERLINK("https://yt3.ggpht.com/ytc/AAUvwnh4nkio4QJtDjQzgclUGVqdxvQu0ymfxyTX1A=s88-c-k-c0x00ffffff-no-rj")</f>
        <v>https://yt3.ggpht.com/ytc/AAUvwnh4nkio4QJtDjQzgclUGVqdxvQu0ymfxyTX1A=s88-c-k-c0x00ffffff-no-rj</v>
      </c>
      <c r="G105" s="66"/>
      <c r="H105" s="70" t="s">
        <v>554</v>
      </c>
      <c r="I105" s="71"/>
      <c r="J105" s="71" t="s">
        <v>159</v>
      </c>
      <c r="K105" s="70" t="s">
        <v>554</v>
      </c>
      <c r="L105" s="74">
        <v>1</v>
      </c>
      <c r="M105" s="75">
        <v>1370.3641357421875</v>
      </c>
      <c r="N105" s="75">
        <v>3161.94873046875</v>
      </c>
      <c r="O105" s="76"/>
      <c r="P105" s="77"/>
      <c r="Q105" s="77"/>
      <c r="R105" s="101"/>
      <c r="S105" s="49">
        <v>0</v>
      </c>
      <c r="T105" s="49">
        <v>1</v>
      </c>
      <c r="U105" s="50">
        <v>0</v>
      </c>
      <c r="V105" s="50">
        <v>0.004695</v>
      </c>
      <c r="W105" s="50">
        <v>0.011737</v>
      </c>
      <c r="X105" s="50">
        <v>0.473657</v>
      </c>
      <c r="Y105" s="50">
        <v>0</v>
      </c>
      <c r="Z105" s="50">
        <v>0</v>
      </c>
      <c r="AA105" s="72">
        <v>105</v>
      </c>
      <c r="AB105" s="72"/>
      <c r="AC105" s="73"/>
      <c r="AD105" s="89" t="s">
        <v>554</v>
      </c>
      <c r="AE105" s="89"/>
      <c r="AF105" s="89"/>
      <c r="AG105" s="89"/>
      <c r="AH105" s="89"/>
      <c r="AI105" s="89"/>
      <c r="AJ105" s="98">
        <v>40862.002546296295</v>
      </c>
      <c r="AK105" s="95" t="str">
        <f>HYPERLINK("https://yt3.ggpht.com/ytc/AAUvwnh4nkio4QJtDjQzgclUGVqdxvQu0ymfxyTX1A=s88-c-k-c0x00ffffff-no-rj")</f>
        <v>https://yt3.ggpht.com/ytc/AAUvwnh4nkio4QJtDjQzgclUGVqdxvQu0ymfxyTX1A=s88-c-k-c0x00ffffff-no-rj</v>
      </c>
      <c r="AL105" s="89">
        <v>0</v>
      </c>
      <c r="AM105" s="89">
        <v>0</v>
      </c>
      <c r="AN105" s="89">
        <v>2</v>
      </c>
      <c r="AO105" s="89" t="b">
        <v>0</v>
      </c>
      <c r="AP105" s="89">
        <v>0</v>
      </c>
      <c r="AQ105" s="89"/>
      <c r="AR105" s="89"/>
      <c r="AS105" s="89" t="s">
        <v>736</v>
      </c>
      <c r="AT105" s="95" t="str">
        <f>HYPERLINK("https://www.youtube.com/channel/UCNW4s2hXa_zbtclkv5hF0XA")</f>
        <v>https://www.youtube.com/channel/UCNW4s2hXa_zbtclkv5hF0XA</v>
      </c>
      <c r="AU105" s="89" t="str">
        <f>REPLACE(INDEX(GroupVertices[Group],MATCH(Vertices[[#This Row],[Vertex]],GroupVertices[Vertex],0)),1,1,"")</f>
        <v>1</v>
      </c>
      <c r="AV105" s="49">
        <v>2</v>
      </c>
      <c r="AW105" s="50">
        <v>0.8</v>
      </c>
      <c r="AX105" s="49">
        <v>9</v>
      </c>
      <c r="AY105" s="50">
        <v>3.6</v>
      </c>
      <c r="AZ105" s="49">
        <v>0</v>
      </c>
      <c r="BA105" s="50">
        <v>0</v>
      </c>
      <c r="BB105" s="49">
        <v>239</v>
      </c>
      <c r="BC105" s="50">
        <v>95.6</v>
      </c>
      <c r="BD105" s="49">
        <v>250</v>
      </c>
      <c r="BE105" s="49"/>
      <c r="BF105" s="49"/>
      <c r="BG105" s="49"/>
      <c r="BH105" s="49"/>
      <c r="BI105" s="49"/>
      <c r="BJ105" s="49"/>
      <c r="BK105" s="127" t="s">
        <v>1107</v>
      </c>
      <c r="BL105" s="127" t="s">
        <v>1128</v>
      </c>
      <c r="BM105" s="127" t="s">
        <v>1181</v>
      </c>
      <c r="BN105" s="127" t="s">
        <v>1181</v>
      </c>
      <c r="BO105" s="2"/>
      <c r="BP105" s="3"/>
      <c r="BQ105" s="3"/>
      <c r="BR105" s="3"/>
      <c r="BS105" s="3"/>
    </row>
    <row r="106" spans="1:71" ht="15">
      <c r="A106" s="65" t="s">
        <v>342</v>
      </c>
      <c r="B106" s="66"/>
      <c r="C106" s="66"/>
      <c r="D106" s="67">
        <v>150</v>
      </c>
      <c r="E106" s="69"/>
      <c r="F106" s="108" t="str">
        <f>HYPERLINK("https://yt3.ggpht.com/ytc/AAUvwnjKU8kEAkvUSjEg0lj549_BR__uzrJeM204D7nJyA=s88-c-k-c0x00ffffff-no-rj")</f>
        <v>https://yt3.ggpht.com/ytc/AAUvwnjKU8kEAkvUSjEg0lj549_BR__uzrJeM204D7nJyA=s88-c-k-c0x00ffffff-no-rj</v>
      </c>
      <c r="G106" s="66"/>
      <c r="H106" s="70" t="s">
        <v>621</v>
      </c>
      <c r="I106" s="71"/>
      <c r="J106" s="71" t="s">
        <v>159</v>
      </c>
      <c r="K106" s="70" t="s">
        <v>621</v>
      </c>
      <c r="L106" s="74">
        <v>1</v>
      </c>
      <c r="M106" s="75">
        <v>9563.7998046875</v>
      </c>
      <c r="N106" s="75">
        <v>1509.964599609375</v>
      </c>
      <c r="O106" s="76"/>
      <c r="P106" s="77"/>
      <c r="Q106" s="77"/>
      <c r="R106" s="101"/>
      <c r="S106" s="49">
        <v>0</v>
      </c>
      <c r="T106" s="49">
        <v>1</v>
      </c>
      <c r="U106" s="50">
        <v>0</v>
      </c>
      <c r="V106" s="50">
        <v>0.003322</v>
      </c>
      <c r="W106" s="50">
        <v>0.001377</v>
      </c>
      <c r="X106" s="50">
        <v>0.549986</v>
      </c>
      <c r="Y106" s="50">
        <v>0</v>
      </c>
      <c r="Z106" s="50">
        <v>0</v>
      </c>
      <c r="AA106" s="72">
        <v>106</v>
      </c>
      <c r="AB106" s="72"/>
      <c r="AC106" s="73"/>
      <c r="AD106" s="89" t="s">
        <v>621</v>
      </c>
      <c r="AE106" s="89"/>
      <c r="AF106" s="89"/>
      <c r="AG106" s="89"/>
      <c r="AH106" s="89"/>
      <c r="AI106" s="89"/>
      <c r="AJ106" s="98">
        <v>42496.38586805556</v>
      </c>
      <c r="AK106" s="95" t="str">
        <f>HYPERLINK("https://yt3.ggpht.com/ytc/AAUvwnjKU8kEAkvUSjEg0lj549_BR__uzrJeM204D7nJyA=s88-c-k-c0x00ffffff-no-rj")</f>
        <v>https://yt3.ggpht.com/ytc/AAUvwnjKU8kEAkvUSjEg0lj549_BR__uzrJeM204D7nJyA=s88-c-k-c0x00ffffff-no-rj</v>
      </c>
      <c r="AL106" s="89">
        <v>1378</v>
      </c>
      <c r="AM106" s="89">
        <v>0</v>
      </c>
      <c r="AN106" s="89">
        <v>67</v>
      </c>
      <c r="AO106" s="89" t="b">
        <v>0</v>
      </c>
      <c r="AP106" s="89">
        <v>8</v>
      </c>
      <c r="AQ106" s="89"/>
      <c r="AR106" s="89"/>
      <c r="AS106" s="89" t="s">
        <v>736</v>
      </c>
      <c r="AT106" s="95" t="str">
        <f>HYPERLINK("https://www.youtube.com/channel/UCxWv4IME8TBjpAxZTkah88g")</f>
        <v>https://www.youtube.com/channel/UCxWv4IME8TBjpAxZTkah88g</v>
      </c>
      <c r="AU106" s="89" t="str">
        <f>REPLACE(INDEX(GroupVertices[Group],MATCH(Vertices[[#This Row],[Vertex]],GroupVertices[Vertex],0)),1,1,"")</f>
        <v>9</v>
      </c>
      <c r="AV106" s="49">
        <v>0</v>
      </c>
      <c r="AW106" s="50">
        <v>0</v>
      </c>
      <c r="AX106" s="49">
        <v>0</v>
      </c>
      <c r="AY106" s="50">
        <v>0</v>
      </c>
      <c r="AZ106" s="49">
        <v>0</v>
      </c>
      <c r="BA106" s="50">
        <v>0</v>
      </c>
      <c r="BB106" s="49">
        <v>1</v>
      </c>
      <c r="BC106" s="50">
        <v>100</v>
      </c>
      <c r="BD106" s="49">
        <v>1</v>
      </c>
      <c r="BE106" s="49"/>
      <c r="BF106" s="49"/>
      <c r="BG106" s="49"/>
      <c r="BH106" s="49"/>
      <c r="BI106" s="49"/>
      <c r="BJ106" s="49"/>
      <c r="BK106" s="127" t="s">
        <v>666</v>
      </c>
      <c r="BL106" s="127" t="s">
        <v>666</v>
      </c>
      <c r="BM106" s="127" t="s">
        <v>666</v>
      </c>
      <c r="BN106" s="127" t="s">
        <v>666</v>
      </c>
      <c r="BO106" s="2"/>
      <c r="BP106" s="3"/>
      <c r="BQ106" s="3"/>
      <c r="BR106" s="3"/>
      <c r="BS106" s="3"/>
    </row>
    <row r="107" spans="1:71" ht="15">
      <c r="A107" s="65" t="s">
        <v>298</v>
      </c>
      <c r="B107" s="66"/>
      <c r="C107" s="66"/>
      <c r="D107" s="67">
        <v>150</v>
      </c>
      <c r="E107" s="69"/>
      <c r="F107" s="108" t="str">
        <f>HYPERLINK("https://yt3.ggpht.com/ytc/AAUvwnhOwxYYV8cDOl0KvbUNcni1yINjTjbXx9f5ig=s88-c-k-c0x00ffffff-no-rj")</f>
        <v>https://yt3.ggpht.com/ytc/AAUvwnhOwxYYV8cDOl0KvbUNcni1yINjTjbXx9f5ig=s88-c-k-c0x00ffffff-no-rj</v>
      </c>
      <c r="G107" s="66"/>
      <c r="H107" s="70" t="s">
        <v>577</v>
      </c>
      <c r="I107" s="71"/>
      <c r="J107" s="71" t="s">
        <v>159</v>
      </c>
      <c r="K107" s="70" t="s">
        <v>577</v>
      </c>
      <c r="L107" s="74">
        <v>1</v>
      </c>
      <c r="M107" s="75">
        <v>5821.59228515625</v>
      </c>
      <c r="N107" s="75">
        <v>5633.57080078125</v>
      </c>
      <c r="O107" s="76"/>
      <c r="P107" s="77"/>
      <c r="Q107" s="77"/>
      <c r="R107" s="101"/>
      <c r="S107" s="49">
        <v>0</v>
      </c>
      <c r="T107" s="49">
        <v>1</v>
      </c>
      <c r="U107" s="50">
        <v>0</v>
      </c>
      <c r="V107" s="50">
        <v>0.003937</v>
      </c>
      <c r="W107" s="50">
        <v>0.004527</v>
      </c>
      <c r="X107" s="50">
        <v>0.486308</v>
      </c>
      <c r="Y107" s="50">
        <v>0</v>
      </c>
      <c r="Z107" s="50">
        <v>0</v>
      </c>
      <c r="AA107" s="72">
        <v>107</v>
      </c>
      <c r="AB107" s="72"/>
      <c r="AC107" s="73"/>
      <c r="AD107" s="89" t="s">
        <v>577</v>
      </c>
      <c r="AE107" s="89"/>
      <c r="AF107" s="89"/>
      <c r="AG107" s="89"/>
      <c r="AH107" s="89"/>
      <c r="AI107" s="89"/>
      <c r="AJ107" s="98">
        <v>43791.84510416666</v>
      </c>
      <c r="AK107" s="95" t="str">
        <f>HYPERLINK("https://yt3.ggpht.com/ytc/AAUvwnhOwxYYV8cDOl0KvbUNcni1yINjTjbXx9f5ig=s88-c-k-c0x00ffffff-no-rj")</f>
        <v>https://yt3.ggpht.com/ytc/AAUvwnhOwxYYV8cDOl0KvbUNcni1yINjTjbXx9f5ig=s88-c-k-c0x00ffffff-no-rj</v>
      </c>
      <c r="AL107" s="89">
        <v>0</v>
      </c>
      <c r="AM107" s="89">
        <v>0</v>
      </c>
      <c r="AN107" s="89">
        <v>0</v>
      </c>
      <c r="AO107" s="89" t="b">
        <v>0</v>
      </c>
      <c r="AP107" s="89">
        <v>0</v>
      </c>
      <c r="AQ107" s="89"/>
      <c r="AR107" s="89"/>
      <c r="AS107" s="89" t="s">
        <v>736</v>
      </c>
      <c r="AT107" s="95" t="str">
        <f>HYPERLINK("https://www.youtube.com/channel/UCwP0bxHg-8LXbS1QMYzhSRA")</f>
        <v>https://www.youtube.com/channel/UCwP0bxHg-8LXbS1QMYzhSRA</v>
      </c>
      <c r="AU107" s="89" t="str">
        <f>REPLACE(INDEX(GroupVertices[Group],MATCH(Vertices[[#This Row],[Vertex]],GroupVertices[Vertex],0)),1,1,"")</f>
        <v>2</v>
      </c>
      <c r="AV107" s="49">
        <v>0</v>
      </c>
      <c r="AW107" s="50">
        <v>0</v>
      </c>
      <c r="AX107" s="49">
        <v>0</v>
      </c>
      <c r="AY107" s="50">
        <v>0</v>
      </c>
      <c r="AZ107" s="49">
        <v>0</v>
      </c>
      <c r="BA107" s="50">
        <v>0</v>
      </c>
      <c r="BB107" s="49">
        <v>1</v>
      </c>
      <c r="BC107" s="50">
        <v>100</v>
      </c>
      <c r="BD107" s="49">
        <v>1</v>
      </c>
      <c r="BE107" s="49"/>
      <c r="BF107" s="49"/>
      <c r="BG107" s="49"/>
      <c r="BH107" s="49"/>
      <c r="BI107" s="49"/>
      <c r="BJ107" s="49"/>
      <c r="BK107" s="127" t="s">
        <v>666</v>
      </c>
      <c r="BL107" s="127" t="s">
        <v>666</v>
      </c>
      <c r="BM107" s="127" t="s">
        <v>666</v>
      </c>
      <c r="BN107" s="127" t="s">
        <v>666</v>
      </c>
      <c r="BO107" s="2"/>
      <c r="BP107" s="3"/>
      <c r="BQ107" s="3"/>
      <c r="BR107" s="3"/>
      <c r="BS107" s="3"/>
    </row>
    <row r="108" spans="1:71" ht="15">
      <c r="A108" s="65" t="s">
        <v>347</v>
      </c>
      <c r="B108" s="66"/>
      <c r="C108" s="66"/>
      <c r="D108" s="67">
        <v>150</v>
      </c>
      <c r="E108" s="69"/>
      <c r="F108" s="108" t="str">
        <f>HYPERLINK("https://yt3.ggpht.com/ytc/AAUvwnij9D1aetda9WFJPs1evjda_ZOqrYS6v8u4vw=s88-c-k-c0x00ffffff-no-rj")</f>
        <v>https://yt3.ggpht.com/ytc/AAUvwnij9D1aetda9WFJPs1evjda_ZOqrYS6v8u4vw=s88-c-k-c0x00ffffff-no-rj</v>
      </c>
      <c r="G108" s="66"/>
      <c r="H108" s="70" t="s">
        <v>626</v>
      </c>
      <c r="I108" s="71"/>
      <c r="J108" s="71" t="s">
        <v>159</v>
      </c>
      <c r="K108" s="70" t="s">
        <v>626</v>
      </c>
      <c r="L108" s="74">
        <v>1</v>
      </c>
      <c r="M108" s="75">
        <v>214.1970672607422</v>
      </c>
      <c r="N108" s="75">
        <v>3679.11669921875</v>
      </c>
      <c r="O108" s="76"/>
      <c r="P108" s="77"/>
      <c r="Q108" s="77"/>
      <c r="R108" s="101"/>
      <c r="S108" s="49">
        <v>0</v>
      </c>
      <c r="T108" s="49">
        <v>1</v>
      </c>
      <c r="U108" s="50">
        <v>0</v>
      </c>
      <c r="V108" s="50">
        <v>0.004695</v>
      </c>
      <c r="W108" s="50">
        <v>0.011737</v>
      </c>
      <c r="X108" s="50">
        <v>0.473657</v>
      </c>
      <c r="Y108" s="50">
        <v>0</v>
      </c>
      <c r="Z108" s="50">
        <v>0</v>
      </c>
      <c r="AA108" s="72">
        <v>108</v>
      </c>
      <c r="AB108" s="72"/>
      <c r="AC108" s="73"/>
      <c r="AD108" s="89" t="s">
        <v>626</v>
      </c>
      <c r="AE108" s="89"/>
      <c r="AF108" s="89"/>
      <c r="AG108" s="89"/>
      <c r="AH108" s="89"/>
      <c r="AI108" s="89"/>
      <c r="AJ108" s="98">
        <v>42645.87520833333</v>
      </c>
      <c r="AK108" s="95" t="str">
        <f>HYPERLINK("https://yt3.ggpht.com/ytc/AAUvwnij9D1aetda9WFJPs1evjda_ZOqrYS6v8u4vw=s88-c-k-c0x00ffffff-no-rj")</f>
        <v>https://yt3.ggpht.com/ytc/AAUvwnij9D1aetda9WFJPs1evjda_ZOqrYS6v8u4vw=s88-c-k-c0x00ffffff-no-rj</v>
      </c>
      <c r="AL108" s="89">
        <v>0</v>
      </c>
      <c r="AM108" s="89">
        <v>0</v>
      </c>
      <c r="AN108" s="89">
        <v>1</v>
      </c>
      <c r="AO108" s="89" t="b">
        <v>0</v>
      </c>
      <c r="AP108" s="89">
        <v>0</v>
      </c>
      <c r="AQ108" s="89"/>
      <c r="AR108" s="89"/>
      <c r="AS108" s="89" t="s">
        <v>736</v>
      </c>
      <c r="AT108" s="95" t="str">
        <f>HYPERLINK("https://www.youtube.com/channel/UCZj8Z6LdulS3k7YTTxz6iUQ")</f>
        <v>https://www.youtube.com/channel/UCZj8Z6LdulS3k7YTTxz6iUQ</v>
      </c>
      <c r="AU108" s="89" t="str">
        <f>REPLACE(INDEX(GroupVertices[Group],MATCH(Vertices[[#This Row],[Vertex]],GroupVertices[Vertex],0)),1,1,"")</f>
        <v>1</v>
      </c>
      <c r="AV108" s="49">
        <v>2</v>
      </c>
      <c r="AW108" s="50">
        <v>8</v>
      </c>
      <c r="AX108" s="49">
        <v>1</v>
      </c>
      <c r="AY108" s="50">
        <v>4</v>
      </c>
      <c r="AZ108" s="49">
        <v>0</v>
      </c>
      <c r="BA108" s="50">
        <v>0</v>
      </c>
      <c r="BB108" s="49">
        <v>22</v>
      </c>
      <c r="BC108" s="50">
        <v>88</v>
      </c>
      <c r="BD108" s="49">
        <v>25</v>
      </c>
      <c r="BE108" s="49"/>
      <c r="BF108" s="49"/>
      <c r="BG108" s="49"/>
      <c r="BH108" s="49"/>
      <c r="BI108" s="49"/>
      <c r="BJ108" s="49"/>
      <c r="BK108" s="127" t="s">
        <v>1108</v>
      </c>
      <c r="BL108" s="127" t="s">
        <v>1108</v>
      </c>
      <c r="BM108" s="127" t="s">
        <v>1182</v>
      </c>
      <c r="BN108" s="127" t="s">
        <v>1182</v>
      </c>
      <c r="BO108" s="2"/>
      <c r="BP108" s="3"/>
      <c r="BQ108" s="3"/>
      <c r="BR108" s="3"/>
      <c r="BS108" s="3"/>
    </row>
    <row r="109" spans="1:71" ht="15">
      <c r="A109" s="65" t="s">
        <v>319</v>
      </c>
      <c r="B109" s="66"/>
      <c r="C109" s="66"/>
      <c r="D109" s="67">
        <v>150</v>
      </c>
      <c r="E109" s="69"/>
      <c r="F109" s="108" t="str">
        <f>HYPERLINK("https://yt3.ggpht.com/ytc/AAUvwnjNDx194SmvuEmxSrp2KscU8bn5-SoXYAzRWg=s88-c-k-c0x00ffffff-no-rj")</f>
        <v>https://yt3.ggpht.com/ytc/AAUvwnjNDx194SmvuEmxSrp2KscU8bn5-SoXYAzRWg=s88-c-k-c0x00ffffff-no-rj</v>
      </c>
      <c r="G109" s="66"/>
      <c r="H109" s="70" t="s">
        <v>598</v>
      </c>
      <c r="I109" s="71"/>
      <c r="J109" s="71" t="s">
        <v>159</v>
      </c>
      <c r="K109" s="70" t="s">
        <v>598</v>
      </c>
      <c r="L109" s="74">
        <v>1</v>
      </c>
      <c r="M109" s="75">
        <v>920.9934692382812</v>
      </c>
      <c r="N109" s="75">
        <v>900.947509765625</v>
      </c>
      <c r="O109" s="76"/>
      <c r="P109" s="77"/>
      <c r="Q109" s="77"/>
      <c r="R109" s="101"/>
      <c r="S109" s="49">
        <v>0</v>
      </c>
      <c r="T109" s="49">
        <v>1</v>
      </c>
      <c r="U109" s="50">
        <v>0</v>
      </c>
      <c r="V109" s="50">
        <v>0.004695</v>
      </c>
      <c r="W109" s="50">
        <v>0.011737</v>
      </c>
      <c r="X109" s="50">
        <v>0.473657</v>
      </c>
      <c r="Y109" s="50">
        <v>0</v>
      </c>
      <c r="Z109" s="50">
        <v>0</v>
      </c>
      <c r="AA109" s="72">
        <v>109</v>
      </c>
      <c r="AB109" s="72"/>
      <c r="AC109" s="73"/>
      <c r="AD109" s="89" t="s">
        <v>598</v>
      </c>
      <c r="AE109" s="89"/>
      <c r="AF109" s="89"/>
      <c r="AG109" s="89"/>
      <c r="AH109" s="89"/>
      <c r="AI109" s="89"/>
      <c r="AJ109" s="98">
        <v>43989.574907407405</v>
      </c>
      <c r="AK109" s="95" t="str">
        <f>HYPERLINK("https://yt3.ggpht.com/ytc/AAUvwnjNDx194SmvuEmxSrp2KscU8bn5-SoXYAzRWg=s88-c-k-c0x00ffffff-no-rj")</f>
        <v>https://yt3.ggpht.com/ytc/AAUvwnjNDx194SmvuEmxSrp2KscU8bn5-SoXYAzRWg=s88-c-k-c0x00ffffff-no-rj</v>
      </c>
      <c r="AL109" s="89">
        <v>0</v>
      </c>
      <c r="AM109" s="89">
        <v>0</v>
      </c>
      <c r="AN109" s="89">
        <v>0</v>
      </c>
      <c r="AO109" s="89" t="b">
        <v>0</v>
      </c>
      <c r="AP109" s="89">
        <v>0</v>
      </c>
      <c r="AQ109" s="89"/>
      <c r="AR109" s="89"/>
      <c r="AS109" s="89" t="s">
        <v>736</v>
      </c>
      <c r="AT109" s="95" t="str">
        <f>HYPERLINK("https://www.youtube.com/channel/UCr8qF5f_vLyTxQe2fw02d8w")</f>
        <v>https://www.youtube.com/channel/UCr8qF5f_vLyTxQe2fw02d8w</v>
      </c>
      <c r="AU109" s="89" t="str">
        <f>REPLACE(INDEX(GroupVertices[Group],MATCH(Vertices[[#This Row],[Vertex]],GroupVertices[Vertex],0)),1,1,"")</f>
        <v>1</v>
      </c>
      <c r="AV109" s="49">
        <v>0</v>
      </c>
      <c r="AW109" s="50">
        <v>0</v>
      </c>
      <c r="AX109" s="49">
        <v>0</v>
      </c>
      <c r="AY109" s="50">
        <v>0</v>
      </c>
      <c r="AZ109" s="49">
        <v>0</v>
      </c>
      <c r="BA109" s="50">
        <v>0</v>
      </c>
      <c r="BB109" s="49">
        <v>1</v>
      </c>
      <c r="BC109" s="50">
        <v>100</v>
      </c>
      <c r="BD109" s="49">
        <v>1</v>
      </c>
      <c r="BE109" s="49"/>
      <c r="BF109" s="49"/>
      <c r="BG109" s="49"/>
      <c r="BH109" s="49"/>
      <c r="BI109" s="49"/>
      <c r="BJ109" s="49"/>
      <c r="BK109" s="127" t="s">
        <v>666</v>
      </c>
      <c r="BL109" s="127" t="s">
        <v>666</v>
      </c>
      <c r="BM109" s="127" t="s">
        <v>666</v>
      </c>
      <c r="BN109" s="127" t="s">
        <v>666</v>
      </c>
      <c r="BO109" s="2"/>
      <c r="BP109" s="3"/>
      <c r="BQ109" s="3"/>
      <c r="BR109" s="3"/>
      <c r="BS109" s="3"/>
    </row>
    <row r="110" spans="1:71" ht="15">
      <c r="A110" s="65" t="s">
        <v>240</v>
      </c>
      <c r="B110" s="66"/>
      <c r="C110" s="66"/>
      <c r="D110" s="67">
        <v>271.42857142857144</v>
      </c>
      <c r="E110" s="69"/>
      <c r="F110" s="108" t="str">
        <f>HYPERLINK("https://yt3.ggpht.com/ytc/AAUvwnjt3bZAgXDU6AXmxJ5y88qAEGQqYKem-KEo5JL-Aw=s88-c-k-c0x00ffffff-no-rj")</f>
        <v>https://yt3.ggpht.com/ytc/AAUvwnjt3bZAgXDU6AXmxJ5y88qAEGQqYKem-KEo5JL-Aw=s88-c-k-c0x00ffffff-no-rj</v>
      </c>
      <c r="G110" s="66"/>
      <c r="H110" s="70" t="s">
        <v>519</v>
      </c>
      <c r="I110" s="71"/>
      <c r="J110" s="71" t="s">
        <v>159</v>
      </c>
      <c r="K110" s="70" t="s">
        <v>519</v>
      </c>
      <c r="L110" s="74">
        <v>167.63333333333333</v>
      </c>
      <c r="M110" s="75">
        <v>9075.32421875</v>
      </c>
      <c r="N110" s="75">
        <v>5935.7080078125</v>
      </c>
      <c r="O110" s="76"/>
      <c r="P110" s="77"/>
      <c r="Q110" s="77"/>
      <c r="R110" s="101"/>
      <c r="S110" s="49">
        <v>1</v>
      </c>
      <c r="T110" s="49">
        <v>1</v>
      </c>
      <c r="U110" s="50">
        <v>42</v>
      </c>
      <c r="V110" s="50">
        <v>0.02381</v>
      </c>
      <c r="W110" s="50">
        <v>0</v>
      </c>
      <c r="X110" s="50">
        <v>1.060193</v>
      </c>
      <c r="Y110" s="50">
        <v>0</v>
      </c>
      <c r="Z110" s="50">
        <v>0</v>
      </c>
      <c r="AA110" s="72">
        <v>110</v>
      </c>
      <c r="AB110" s="72"/>
      <c r="AC110" s="73"/>
      <c r="AD110" s="89" t="s">
        <v>519</v>
      </c>
      <c r="AE110" s="89"/>
      <c r="AF110" s="89"/>
      <c r="AG110" s="89"/>
      <c r="AH110" s="89"/>
      <c r="AI110" s="89"/>
      <c r="AJ110" s="98">
        <v>41786.243159722224</v>
      </c>
      <c r="AK110" s="95" t="str">
        <f>HYPERLINK("https://yt3.ggpht.com/ytc/AAUvwnjt3bZAgXDU6AXmxJ5y88qAEGQqYKem-KEo5JL-Aw=s88-c-k-c0x00ffffff-no-rj")</f>
        <v>https://yt3.ggpht.com/ytc/AAUvwnjt3bZAgXDU6AXmxJ5y88qAEGQqYKem-KEo5JL-Aw=s88-c-k-c0x00ffffff-no-rj</v>
      </c>
      <c r="AL110" s="89">
        <v>0</v>
      </c>
      <c r="AM110" s="89">
        <v>0</v>
      </c>
      <c r="AN110" s="89">
        <v>0</v>
      </c>
      <c r="AO110" s="89" t="b">
        <v>0</v>
      </c>
      <c r="AP110" s="89">
        <v>0</v>
      </c>
      <c r="AQ110" s="89"/>
      <c r="AR110" s="89"/>
      <c r="AS110" s="89" t="s">
        <v>736</v>
      </c>
      <c r="AT110" s="95" t="str">
        <f>HYPERLINK("https://www.youtube.com/channel/UC4NI7ilrRqfiK8xMUG1dZ0w")</f>
        <v>https://www.youtube.com/channel/UC4NI7ilrRqfiK8xMUG1dZ0w</v>
      </c>
      <c r="AU110" s="89" t="str">
        <f>REPLACE(INDEX(GroupVertices[Group],MATCH(Vertices[[#This Row],[Vertex]],GroupVertices[Vertex],0)),1,1,"")</f>
        <v>3</v>
      </c>
      <c r="AV110" s="49">
        <v>0</v>
      </c>
      <c r="AW110" s="50">
        <v>0</v>
      </c>
      <c r="AX110" s="49">
        <v>0</v>
      </c>
      <c r="AY110" s="50">
        <v>0</v>
      </c>
      <c r="AZ110" s="49">
        <v>0</v>
      </c>
      <c r="BA110" s="50">
        <v>0</v>
      </c>
      <c r="BB110" s="49">
        <v>10</v>
      </c>
      <c r="BC110" s="50">
        <v>100</v>
      </c>
      <c r="BD110" s="49">
        <v>10</v>
      </c>
      <c r="BE110" s="49"/>
      <c r="BF110" s="49"/>
      <c r="BG110" s="49"/>
      <c r="BH110" s="49"/>
      <c r="BI110" s="49"/>
      <c r="BJ110" s="49"/>
      <c r="BK110" s="127" t="s">
        <v>1109</v>
      </c>
      <c r="BL110" s="127" t="s">
        <v>1109</v>
      </c>
      <c r="BM110" s="127" t="s">
        <v>1183</v>
      </c>
      <c r="BN110" s="127" t="s">
        <v>1183</v>
      </c>
      <c r="BO110" s="2"/>
      <c r="BP110" s="3"/>
      <c r="BQ110" s="3"/>
      <c r="BR110" s="3"/>
      <c r="BS110" s="3"/>
    </row>
    <row r="111" spans="1:71" ht="15">
      <c r="A111" s="65" t="s">
        <v>239</v>
      </c>
      <c r="B111" s="66"/>
      <c r="C111" s="66"/>
      <c r="D111" s="67">
        <v>150</v>
      </c>
      <c r="E111" s="69"/>
      <c r="F111" s="108" t="str">
        <f>HYPERLINK("https://yt3.ggpht.com/awrIPjn_vblwjhfRxM6ejp5EinSy1GQyqFJjjjKt1k71rk6ek8bCxpXz46oHyCj9qQUZX1TM=s88-c-k-c0x00ffffff-no-rj")</f>
        <v>https://yt3.ggpht.com/awrIPjn_vblwjhfRxM6ejp5EinSy1GQyqFJjjjKt1k71rk6ek8bCxpXz46oHyCj9qQUZX1TM=s88-c-k-c0x00ffffff-no-rj</v>
      </c>
      <c r="G111" s="66"/>
      <c r="H111" s="70" t="s">
        <v>518</v>
      </c>
      <c r="I111" s="71"/>
      <c r="J111" s="71" t="s">
        <v>159</v>
      </c>
      <c r="K111" s="70" t="s">
        <v>518</v>
      </c>
      <c r="L111" s="74">
        <v>1</v>
      </c>
      <c r="M111" s="75">
        <v>9881.177734375</v>
      </c>
      <c r="N111" s="75">
        <v>5200.85302734375</v>
      </c>
      <c r="O111" s="76"/>
      <c r="P111" s="77"/>
      <c r="Q111" s="77"/>
      <c r="R111" s="101"/>
      <c r="S111" s="49">
        <v>0</v>
      </c>
      <c r="T111" s="49">
        <v>1</v>
      </c>
      <c r="U111" s="50">
        <v>0</v>
      </c>
      <c r="V111" s="50">
        <v>0.015873</v>
      </c>
      <c r="W111" s="50">
        <v>0</v>
      </c>
      <c r="X111" s="50">
        <v>0.600582</v>
      </c>
      <c r="Y111" s="50">
        <v>0</v>
      </c>
      <c r="Z111" s="50">
        <v>0</v>
      </c>
      <c r="AA111" s="72">
        <v>111</v>
      </c>
      <c r="AB111" s="72"/>
      <c r="AC111" s="73"/>
      <c r="AD111" s="89" t="s">
        <v>518</v>
      </c>
      <c r="AE111" s="89" t="s">
        <v>692</v>
      </c>
      <c r="AF111" s="89"/>
      <c r="AG111" s="89"/>
      <c r="AH111" s="89"/>
      <c r="AI111" s="89"/>
      <c r="AJ111" s="98">
        <v>44131.65704861111</v>
      </c>
      <c r="AK111" s="95" t="str">
        <f>HYPERLINK("https://yt3.ggpht.com/awrIPjn_vblwjhfRxM6ejp5EinSy1GQyqFJjjjKt1k71rk6ek8bCxpXz46oHyCj9qQUZX1TM=s88-c-k-c0x00ffffff-no-rj")</f>
        <v>https://yt3.ggpht.com/awrIPjn_vblwjhfRxM6ejp5EinSy1GQyqFJjjjKt1k71rk6ek8bCxpXz46oHyCj9qQUZX1TM=s88-c-k-c0x00ffffff-no-rj</v>
      </c>
      <c r="AL111" s="89">
        <v>87</v>
      </c>
      <c r="AM111" s="89">
        <v>0</v>
      </c>
      <c r="AN111" s="89">
        <v>16</v>
      </c>
      <c r="AO111" s="89" t="b">
        <v>0</v>
      </c>
      <c r="AP111" s="89">
        <v>0</v>
      </c>
      <c r="AQ111" s="89"/>
      <c r="AR111" s="89"/>
      <c r="AS111" s="89" t="s">
        <v>736</v>
      </c>
      <c r="AT111" s="95" t="str">
        <f>HYPERLINK("https://www.youtube.com/channel/UC_k3eP9m8U3bW2ByWs3BRlg")</f>
        <v>https://www.youtube.com/channel/UC_k3eP9m8U3bW2ByWs3BRlg</v>
      </c>
      <c r="AU111" s="89" t="str">
        <f>REPLACE(INDEX(GroupVertices[Group],MATCH(Vertices[[#This Row],[Vertex]],GroupVertices[Vertex],0)),1,1,"")</f>
        <v>3</v>
      </c>
      <c r="AV111" s="49">
        <v>0</v>
      </c>
      <c r="AW111" s="50">
        <v>0</v>
      </c>
      <c r="AX111" s="49">
        <v>0</v>
      </c>
      <c r="AY111" s="50">
        <v>0</v>
      </c>
      <c r="AZ111" s="49">
        <v>0</v>
      </c>
      <c r="BA111" s="50">
        <v>0</v>
      </c>
      <c r="BB111" s="49">
        <v>2</v>
      </c>
      <c r="BC111" s="50">
        <v>100</v>
      </c>
      <c r="BD111" s="49">
        <v>2</v>
      </c>
      <c r="BE111" s="49"/>
      <c r="BF111" s="49"/>
      <c r="BG111" s="49"/>
      <c r="BH111" s="49"/>
      <c r="BI111" s="49"/>
      <c r="BJ111" s="49"/>
      <c r="BK111" s="127" t="s">
        <v>666</v>
      </c>
      <c r="BL111" s="127" t="s">
        <v>666</v>
      </c>
      <c r="BM111" s="127" t="s">
        <v>666</v>
      </c>
      <c r="BN111" s="127" t="s">
        <v>666</v>
      </c>
      <c r="BO111" s="2"/>
      <c r="BP111" s="3"/>
      <c r="BQ111" s="3"/>
      <c r="BR111" s="3"/>
      <c r="BS111" s="3"/>
    </row>
    <row r="112" spans="1:71" ht="15">
      <c r="A112" s="65" t="s">
        <v>297</v>
      </c>
      <c r="B112" s="66"/>
      <c r="C112" s="66"/>
      <c r="D112" s="67">
        <v>150</v>
      </c>
      <c r="E112" s="69"/>
      <c r="F112" s="108" t="str">
        <f>HYPERLINK("https://yt3.ggpht.com/uB_xvZ9oNHsBs7pYeTd25ysTTBsaQ2_PDZwmTze69JfjJOt7dniB0aEU7EEe1My7VgE0d24KLQ=s88-c-k-c0x00ffffff-no-rj")</f>
        <v>https://yt3.ggpht.com/uB_xvZ9oNHsBs7pYeTd25ysTTBsaQ2_PDZwmTze69JfjJOt7dniB0aEU7EEe1My7VgE0d24KLQ=s88-c-k-c0x00ffffff-no-rj</v>
      </c>
      <c r="G112" s="66"/>
      <c r="H112" s="70" t="s">
        <v>576</v>
      </c>
      <c r="I112" s="71"/>
      <c r="J112" s="71" t="s">
        <v>159</v>
      </c>
      <c r="K112" s="70" t="s">
        <v>576</v>
      </c>
      <c r="L112" s="74">
        <v>1</v>
      </c>
      <c r="M112" s="75">
        <v>3881.917724609375</v>
      </c>
      <c r="N112" s="75">
        <v>6390.34033203125</v>
      </c>
      <c r="O112" s="76"/>
      <c r="P112" s="77"/>
      <c r="Q112" s="77"/>
      <c r="R112" s="101"/>
      <c r="S112" s="49">
        <v>0</v>
      </c>
      <c r="T112" s="49">
        <v>1</v>
      </c>
      <c r="U112" s="50">
        <v>0</v>
      </c>
      <c r="V112" s="50">
        <v>0.003937</v>
      </c>
      <c r="W112" s="50">
        <v>0.004527</v>
      </c>
      <c r="X112" s="50">
        <v>0.486308</v>
      </c>
      <c r="Y112" s="50">
        <v>0</v>
      </c>
      <c r="Z112" s="50">
        <v>0</v>
      </c>
      <c r="AA112" s="72">
        <v>112</v>
      </c>
      <c r="AB112" s="72"/>
      <c r="AC112" s="73"/>
      <c r="AD112" s="89" t="s">
        <v>576</v>
      </c>
      <c r="AE112" s="89" t="s">
        <v>711</v>
      </c>
      <c r="AF112" s="89"/>
      <c r="AG112" s="89"/>
      <c r="AH112" s="89"/>
      <c r="AI112" s="89"/>
      <c r="AJ112" s="98">
        <v>44128.84373842592</v>
      </c>
      <c r="AK112" s="95" t="str">
        <f>HYPERLINK("https://yt3.ggpht.com/uB_xvZ9oNHsBs7pYeTd25ysTTBsaQ2_PDZwmTze69JfjJOt7dniB0aEU7EEe1My7VgE0d24KLQ=s88-c-k-c0x00ffffff-no-rj")</f>
        <v>https://yt3.ggpht.com/uB_xvZ9oNHsBs7pYeTd25ysTTBsaQ2_PDZwmTze69JfjJOt7dniB0aEU7EEe1My7VgE0d24KLQ=s88-c-k-c0x00ffffff-no-rj</v>
      </c>
      <c r="AL112" s="89">
        <v>454849</v>
      </c>
      <c r="AM112" s="89">
        <v>0</v>
      </c>
      <c r="AN112" s="89">
        <v>5550</v>
      </c>
      <c r="AO112" s="89" t="b">
        <v>0</v>
      </c>
      <c r="AP112" s="89">
        <v>14</v>
      </c>
      <c r="AQ112" s="89"/>
      <c r="AR112" s="89"/>
      <c r="AS112" s="89" t="s">
        <v>736</v>
      </c>
      <c r="AT112" s="95" t="str">
        <f>HYPERLINK("https://www.youtube.com/channel/UC3HQFQ3A1f7bOQ6Op3sO6VA")</f>
        <v>https://www.youtube.com/channel/UC3HQFQ3A1f7bOQ6Op3sO6VA</v>
      </c>
      <c r="AU112" s="89" t="str">
        <f>REPLACE(INDEX(GroupVertices[Group],MATCH(Vertices[[#This Row],[Vertex]],GroupVertices[Vertex],0)),1,1,"")</f>
        <v>2</v>
      </c>
      <c r="AV112" s="49">
        <v>1</v>
      </c>
      <c r="AW112" s="50">
        <v>33.333333333333336</v>
      </c>
      <c r="AX112" s="49">
        <v>0</v>
      </c>
      <c r="AY112" s="50">
        <v>0</v>
      </c>
      <c r="AZ112" s="49">
        <v>0</v>
      </c>
      <c r="BA112" s="50">
        <v>0</v>
      </c>
      <c r="BB112" s="49">
        <v>2</v>
      </c>
      <c r="BC112" s="50">
        <v>66.66666666666667</v>
      </c>
      <c r="BD112" s="49">
        <v>3</v>
      </c>
      <c r="BE112" s="49"/>
      <c r="BF112" s="49"/>
      <c r="BG112" s="49"/>
      <c r="BH112" s="49"/>
      <c r="BI112" s="49"/>
      <c r="BJ112" s="49"/>
      <c r="BK112" s="127" t="s">
        <v>1110</v>
      </c>
      <c r="BL112" s="127" t="s">
        <v>1110</v>
      </c>
      <c r="BM112" s="127" t="s">
        <v>1184</v>
      </c>
      <c r="BN112" s="127" t="s">
        <v>1184</v>
      </c>
      <c r="BO112" s="2"/>
      <c r="BP112" s="3"/>
      <c r="BQ112" s="3"/>
      <c r="BR112" s="3"/>
      <c r="BS112" s="3"/>
    </row>
    <row r="113" spans="1:71" ht="15">
      <c r="A113" s="65" t="s">
        <v>260</v>
      </c>
      <c r="B113" s="66"/>
      <c r="C113" s="66"/>
      <c r="D113" s="67">
        <v>514.2857142857142</v>
      </c>
      <c r="E113" s="69"/>
      <c r="F113" s="108" t="str">
        <f>HYPERLINK("https://yt3.ggpht.com/ytc/AAUvwnjpCKGM-CX6uJDsVF6aldLhgoXl0tNqmx9G4iUArw=s88-c-k-c0x00ffffff-no-rj")</f>
        <v>https://yt3.ggpht.com/ytc/AAUvwnjpCKGM-CX6uJDsVF6aldLhgoXl0tNqmx9G4iUArw=s88-c-k-c0x00ffffff-no-rj</v>
      </c>
      <c r="G113" s="66"/>
      <c r="H113" s="70" t="s">
        <v>539</v>
      </c>
      <c r="I113" s="71"/>
      <c r="J113" s="71" t="s">
        <v>75</v>
      </c>
      <c r="K113" s="70" t="s">
        <v>539</v>
      </c>
      <c r="L113" s="74">
        <v>500.9</v>
      </c>
      <c r="M113" s="75">
        <v>2974.415283203125</v>
      </c>
      <c r="N113" s="75">
        <v>6510.89306640625</v>
      </c>
      <c r="O113" s="76"/>
      <c r="P113" s="77"/>
      <c r="Q113" s="77"/>
      <c r="R113" s="101"/>
      <c r="S113" s="49">
        <v>3</v>
      </c>
      <c r="T113" s="49">
        <v>1</v>
      </c>
      <c r="U113" s="50">
        <v>223.8</v>
      </c>
      <c r="V113" s="50">
        <v>0.004808</v>
      </c>
      <c r="W113" s="50">
        <v>0.014172</v>
      </c>
      <c r="X113" s="50">
        <v>1.5222</v>
      </c>
      <c r="Y113" s="50">
        <v>0.08333333333333333</v>
      </c>
      <c r="Z113" s="50">
        <v>0</v>
      </c>
      <c r="AA113" s="72">
        <v>113</v>
      </c>
      <c r="AB113" s="72"/>
      <c r="AC113" s="73"/>
      <c r="AD113" s="89" t="s">
        <v>539</v>
      </c>
      <c r="AE113" s="89"/>
      <c r="AF113" s="89"/>
      <c r="AG113" s="89"/>
      <c r="AH113" s="89"/>
      <c r="AI113" s="89"/>
      <c r="AJ113" s="98">
        <v>41538.66320601852</v>
      </c>
      <c r="AK113" s="95" t="str">
        <f>HYPERLINK("https://yt3.ggpht.com/ytc/AAUvwnjpCKGM-CX6uJDsVF6aldLhgoXl0tNqmx9G4iUArw=s88-c-k-c0x00ffffff-no-rj")</f>
        <v>https://yt3.ggpht.com/ytc/AAUvwnjpCKGM-CX6uJDsVF6aldLhgoXl0tNqmx9G4iUArw=s88-c-k-c0x00ffffff-no-rj</v>
      </c>
      <c r="AL113" s="89">
        <v>0</v>
      </c>
      <c r="AM113" s="89">
        <v>0</v>
      </c>
      <c r="AN113" s="89">
        <v>8</v>
      </c>
      <c r="AO113" s="89" t="b">
        <v>0</v>
      </c>
      <c r="AP113" s="89">
        <v>0</v>
      </c>
      <c r="AQ113" s="89"/>
      <c r="AR113" s="89"/>
      <c r="AS113" s="89" t="s">
        <v>736</v>
      </c>
      <c r="AT113" s="95" t="str">
        <f>HYPERLINK("https://www.youtube.com/channel/UCcKWKoA7pGXi1W7BUZ2xsfg")</f>
        <v>https://www.youtube.com/channel/UCcKWKoA7pGXi1W7BUZ2xsfg</v>
      </c>
      <c r="AU113" s="89" t="str">
        <f>REPLACE(INDEX(GroupVertices[Group],MATCH(Vertices[[#This Row],[Vertex]],GroupVertices[Vertex],0)),1,1,"")</f>
        <v>1</v>
      </c>
      <c r="AV113" s="49">
        <v>1</v>
      </c>
      <c r="AW113" s="50">
        <v>10</v>
      </c>
      <c r="AX113" s="49">
        <v>0</v>
      </c>
      <c r="AY113" s="50">
        <v>0</v>
      </c>
      <c r="AZ113" s="49">
        <v>0</v>
      </c>
      <c r="BA113" s="50">
        <v>0</v>
      </c>
      <c r="BB113" s="49">
        <v>9</v>
      </c>
      <c r="BC113" s="50">
        <v>90</v>
      </c>
      <c r="BD113" s="49">
        <v>10</v>
      </c>
      <c r="BE113" s="49"/>
      <c r="BF113" s="49"/>
      <c r="BG113" s="49"/>
      <c r="BH113" s="49"/>
      <c r="BI113" s="49"/>
      <c r="BJ113" s="49"/>
      <c r="BK113" s="127" t="s">
        <v>1111</v>
      </c>
      <c r="BL113" s="127" t="s">
        <v>1111</v>
      </c>
      <c r="BM113" s="127" t="s">
        <v>1185</v>
      </c>
      <c r="BN113" s="127" t="s">
        <v>1185</v>
      </c>
      <c r="BO113" s="2"/>
      <c r="BP113" s="3"/>
      <c r="BQ113" s="3"/>
      <c r="BR113" s="3"/>
      <c r="BS113" s="3"/>
    </row>
    <row r="114" spans="1:71" ht="15">
      <c r="A114" s="65" t="s">
        <v>246</v>
      </c>
      <c r="B114" s="66"/>
      <c r="C114" s="66"/>
      <c r="D114" s="67">
        <v>150</v>
      </c>
      <c r="E114" s="69"/>
      <c r="F114" s="108" t="str">
        <f>HYPERLINK("https://yt3.ggpht.com/ytc/AAUvwnjvmRK8hl7AjJQOtKF3uJbCM_2a6GQJDYNYq930=s88-c-k-c0x00ffffff-no-rj")</f>
        <v>https://yt3.ggpht.com/ytc/AAUvwnjvmRK8hl7AjJQOtKF3uJbCM_2a6GQJDYNYq930=s88-c-k-c0x00ffffff-no-rj</v>
      </c>
      <c r="G114" s="66"/>
      <c r="H114" s="70" t="s">
        <v>525</v>
      </c>
      <c r="I114" s="71"/>
      <c r="J114" s="71" t="s">
        <v>159</v>
      </c>
      <c r="K114" s="70" t="s">
        <v>525</v>
      </c>
      <c r="L114" s="74">
        <v>1</v>
      </c>
      <c r="M114" s="75">
        <v>7170.84423828125</v>
      </c>
      <c r="N114" s="75">
        <v>5673.7158203125</v>
      </c>
      <c r="O114" s="76"/>
      <c r="P114" s="77"/>
      <c r="Q114" s="77"/>
      <c r="R114" s="101"/>
      <c r="S114" s="49">
        <v>0</v>
      </c>
      <c r="T114" s="49">
        <v>1</v>
      </c>
      <c r="U114" s="50">
        <v>0</v>
      </c>
      <c r="V114" s="50">
        <v>0.022727</v>
      </c>
      <c r="W114" s="50">
        <v>0</v>
      </c>
      <c r="X114" s="50">
        <v>0.549699</v>
      </c>
      <c r="Y114" s="50">
        <v>0</v>
      </c>
      <c r="Z114" s="50">
        <v>0</v>
      </c>
      <c r="AA114" s="72">
        <v>114</v>
      </c>
      <c r="AB114" s="72"/>
      <c r="AC114" s="73"/>
      <c r="AD114" s="89" t="s">
        <v>525</v>
      </c>
      <c r="AE114" s="89" t="s">
        <v>693</v>
      </c>
      <c r="AF114" s="89"/>
      <c r="AG114" s="89"/>
      <c r="AH114" s="89"/>
      <c r="AI114" s="89" t="s">
        <v>732</v>
      </c>
      <c r="AJ114" s="98">
        <v>42604.113541666666</v>
      </c>
      <c r="AK114" s="95" t="str">
        <f>HYPERLINK("https://yt3.ggpht.com/ytc/AAUvwnjvmRK8hl7AjJQOtKF3uJbCM_2a6GQJDYNYq930=s88-c-k-c0x00ffffff-no-rj")</f>
        <v>https://yt3.ggpht.com/ytc/AAUvwnjvmRK8hl7AjJQOtKF3uJbCM_2a6GQJDYNYq930=s88-c-k-c0x00ffffff-no-rj</v>
      </c>
      <c r="AL114" s="89">
        <v>447110</v>
      </c>
      <c r="AM114" s="89">
        <v>0</v>
      </c>
      <c r="AN114" s="89">
        <v>739</v>
      </c>
      <c r="AO114" s="89" t="b">
        <v>0</v>
      </c>
      <c r="AP114" s="89">
        <v>368</v>
      </c>
      <c r="AQ114" s="89"/>
      <c r="AR114" s="89"/>
      <c r="AS114" s="89" t="s">
        <v>736</v>
      </c>
      <c r="AT114" s="95" t="str">
        <f>HYPERLINK("https://www.youtube.com/channel/UCZjlaVgXMjuKH5ebn207-lQ")</f>
        <v>https://www.youtube.com/channel/UCZjlaVgXMjuKH5ebn207-lQ</v>
      </c>
      <c r="AU114" s="89" t="str">
        <f>REPLACE(INDEX(GroupVertices[Group],MATCH(Vertices[[#This Row],[Vertex]],GroupVertices[Vertex],0)),1,1,"")</f>
        <v>3</v>
      </c>
      <c r="AV114" s="49">
        <v>0</v>
      </c>
      <c r="AW114" s="50">
        <v>0</v>
      </c>
      <c r="AX114" s="49">
        <v>0</v>
      </c>
      <c r="AY114" s="50">
        <v>0</v>
      </c>
      <c r="AZ114" s="49">
        <v>0</v>
      </c>
      <c r="BA114" s="50">
        <v>0</v>
      </c>
      <c r="BB114" s="49">
        <v>1</v>
      </c>
      <c r="BC114" s="50">
        <v>100</v>
      </c>
      <c r="BD114" s="49">
        <v>1</v>
      </c>
      <c r="BE114" s="49"/>
      <c r="BF114" s="49"/>
      <c r="BG114" s="49"/>
      <c r="BH114" s="49"/>
      <c r="BI114" s="49"/>
      <c r="BJ114" s="49"/>
      <c r="BK114" s="127" t="s">
        <v>795</v>
      </c>
      <c r="BL114" s="127" t="s">
        <v>795</v>
      </c>
      <c r="BM114" s="127" t="s">
        <v>666</v>
      </c>
      <c r="BN114" s="127" t="s">
        <v>666</v>
      </c>
      <c r="BO114" s="2"/>
      <c r="BP114" s="3"/>
      <c r="BQ114" s="3"/>
      <c r="BR114" s="3"/>
      <c r="BS114" s="3"/>
    </row>
    <row r="115" spans="1:71" ht="15">
      <c r="A115" s="65" t="s">
        <v>251</v>
      </c>
      <c r="B115" s="66"/>
      <c r="C115" s="66"/>
      <c r="D115" s="67">
        <v>150</v>
      </c>
      <c r="E115" s="69"/>
      <c r="F115" s="108" t="str">
        <f>HYPERLINK("https://yt3.ggpht.com/ytc/AAUvwnigWTHr_BuyMWuI5dB-ZgnjpOZracsw5c4FFwLu=s88-c-k-c0x00ffffff-no-rj")</f>
        <v>https://yt3.ggpht.com/ytc/AAUvwnigWTHr_BuyMWuI5dB-ZgnjpOZracsw5c4FFwLu=s88-c-k-c0x00ffffff-no-rj</v>
      </c>
      <c r="G115" s="66"/>
      <c r="H115" s="70" t="s">
        <v>530</v>
      </c>
      <c r="I115" s="71"/>
      <c r="J115" s="71" t="s">
        <v>159</v>
      </c>
      <c r="K115" s="70" t="s">
        <v>530</v>
      </c>
      <c r="L115" s="74">
        <v>1</v>
      </c>
      <c r="M115" s="75">
        <v>8604.181640625</v>
      </c>
      <c r="N115" s="75">
        <v>6161.15185546875</v>
      </c>
      <c r="O115" s="76"/>
      <c r="P115" s="77"/>
      <c r="Q115" s="77"/>
      <c r="R115" s="101"/>
      <c r="S115" s="49">
        <v>0</v>
      </c>
      <c r="T115" s="49">
        <v>1</v>
      </c>
      <c r="U115" s="50">
        <v>0</v>
      </c>
      <c r="V115" s="50">
        <v>0.022727</v>
      </c>
      <c r="W115" s="50">
        <v>0</v>
      </c>
      <c r="X115" s="50">
        <v>0.549699</v>
      </c>
      <c r="Y115" s="50">
        <v>0</v>
      </c>
      <c r="Z115" s="50">
        <v>0</v>
      </c>
      <c r="AA115" s="72">
        <v>115</v>
      </c>
      <c r="AB115" s="72"/>
      <c r="AC115" s="73"/>
      <c r="AD115" s="89" t="s">
        <v>530</v>
      </c>
      <c r="AE115" s="89" t="s">
        <v>694</v>
      </c>
      <c r="AF115" s="89"/>
      <c r="AG115" s="89"/>
      <c r="AH115" s="89"/>
      <c r="AI115" s="89"/>
      <c r="AJ115" s="98">
        <v>43974.12232638889</v>
      </c>
      <c r="AK115" s="95" t="str">
        <f>HYPERLINK("https://yt3.ggpht.com/ytc/AAUvwnigWTHr_BuyMWuI5dB-ZgnjpOZracsw5c4FFwLu=s88-c-k-c0x00ffffff-no-rj")</f>
        <v>https://yt3.ggpht.com/ytc/AAUvwnigWTHr_BuyMWuI5dB-ZgnjpOZracsw5c4FFwLu=s88-c-k-c0x00ffffff-no-rj</v>
      </c>
      <c r="AL115" s="89">
        <v>57653</v>
      </c>
      <c r="AM115" s="89">
        <v>0</v>
      </c>
      <c r="AN115" s="89">
        <v>728</v>
      </c>
      <c r="AO115" s="89" t="b">
        <v>0</v>
      </c>
      <c r="AP115" s="89">
        <v>209</v>
      </c>
      <c r="AQ115" s="89"/>
      <c r="AR115" s="89"/>
      <c r="AS115" s="89" t="s">
        <v>736</v>
      </c>
      <c r="AT115" s="95" t="str">
        <f>HYPERLINK("https://www.youtube.com/channel/UCHwSZKulthy0a03ykIPVEOQ")</f>
        <v>https://www.youtube.com/channel/UCHwSZKulthy0a03ykIPVEOQ</v>
      </c>
      <c r="AU115" s="89" t="str">
        <f>REPLACE(INDEX(GroupVertices[Group],MATCH(Vertices[[#This Row],[Vertex]],GroupVertices[Vertex],0)),1,1,"")</f>
        <v>3</v>
      </c>
      <c r="AV115" s="49">
        <v>1</v>
      </c>
      <c r="AW115" s="50">
        <v>20</v>
      </c>
      <c r="AX115" s="49">
        <v>0</v>
      </c>
      <c r="AY115" s="50">
        <v>0</v>
      </c>
      <c r="AZ115" s="49">
        <v>0</v>
      </c>
      <c r="BA115" s="50">
        <v>0</v>
      </c>
      <c r="BB115" s="49">
        <v>4</v>
      </c>
      <c r="BC115" s="50">
        <v>80</v>
      </c>
      <c r="BD115" s="49">
        <v>5</v>
      </c>
      <c r="BE115" s="49"/>
      <c r="BF115" s="49"/>
      <c r="BG115" s="49"/>
      <c r="BH115" s="49"/>
      <c r="BI115" s="49"/>
      <c r="BJ115" s="49"/>
      <c r="BK115" s="127" t="s">
        <v>666</v>
      </c>
      <c r="BL115" s="127" t="s">
        <v>666</v>
      </c>
      <c r="BM115" s="127" t="s">
        <v>666</v>
      </c>
      <c r="BN115" s="127" t="s">
        <v>666</v>
      </c>
      <c r="BO115" s="2"/>
      <c r="BP115" s="3"/>
      <c r="BQ115" s="3"/>
      <c r="BR115" s="3"/>
      <c r="BS115" s="3"/>
    </row>
    <row r="116" spans="1:71" ht="15">
      <c r="A116" s="65" t="s">
        <v>325</v>
      </c>
      <c r="B116" s="66"/>
      <c r="C116" s="66"/>
      <c r="D116" s="67">
        <v>150</v>
      </c>
      <c r="E116" s="69"/>
      <c r="F116" s="108" t="str">
        <f>HYPERLINK("https://yt3.ggpht.com/ytc/AAUvwnhSpkDWOEhLIPh3kxkLF5S4NfCvhD6wjdgMTw=s88-c-k-c0x00ffffff-no-rj")</f>
        <v>https://yt3.ggpht.com/ytc/AAUvwnhSpkDWOEhLIPh3kxkLF5S4NfCvhD6wjdgMTw=s88-c-k-c0x00ffffff-no-rj</v>
      </c>
      <c r="G116" s="66"/>
      <c r="H116" s="70" t="s">
        <v>604</v>
      </c>
      <c r="I116" s="71"/>
      <c r="J116" s="71" t="s">
        <v>159</v>
      </c>
      <c r="K116" s="70" t="s">
        <v>604</v>
      </c>
      <c r="L116" s="74">
        <v>1</v>
      </c>
      <c r="M116" s="75">
        <v>1192.260009765625</v>
      </c>
      <c r="N116" s="75">
        <v>5637.1591796875</v>
      </c>
      <c r="O116" s="76"/>
      <c r="P116" s="77"/>
      <c r="Q116" s="77"/>
      <c r="R116" s="101"/>
      <c r="S116" s="49">
        <v>0</v>
      </c>
      <c r="T116" s="49">
        <v>1</v>
      </c>
      <c r="U116" s="50">
        <v>0</v>
      </c>
      <c r="V116" s="50">
        <v>0.004695</v>
      </c>
      <c r="W116" s="50">
        <v>0.011737</v>
      </c>
      <c r="X116" s="50">
        <v>0.473657</v>
      </c>
      <c r="Y116" s="50">
        <v>0</v>
      </c>
      <c r="Z116" s="50">
        <v>0</v>
      </c>
      <c r="AA116" s="72">
        <v>116</v>
      </c>
      <c r="AB116" s="72"/>
      <c r="AC116" s="73"/>
      <c r="AD116" s="89" t="s">
        <v>604</v>
      </c>
      <c r="AE116" s="89"/>
      <c r="AF116" s="89"/>
      <c r="AG116" s="89"/>
      <c r="AH116" s="89"/>
      <c r="AI116" s="89"/>
      <c r="AJ116" s="98">
        <v>43811.58954861111</v>
      </c>
      <c r="AK116" s="95" t="str">
        <f>HYPERLINK("https://yt3.ggpht.com/ytc/AAUvwnhSpkDWOEhLIPh3kxkLF5S4NfCvhD6wjdgMTw=s88-c-k-c0x00ffffff-no-rj")</f>
        <v>https://yt3.ggpht.com/ytc/AAUvwnhSpkDWOEhLIPh3kxkLF5S4NfCvhD6wjdgMTw=s88-c-k-c0x00ffffff-no-rj</v>
      </c>
      <c r="AL116" s="89">
        <v>0</v>
      </c>
      <c r="AM116" s="89">
        <v>0</v>
      </c>
      <c r="AN116" s="89">
        <v>0</v>
      </c>
      <c r="AO116" s="89" t="b">
        <v>0</v>
      </c>
      <c r="AP116" s="89">
        <v>0</v>
      </c>
      <c r="AQ116" s="89"/>
      <c r="AR116" s="89"/>
      <c r="AS116" s="89" t="s">
        <v>736</v>
      </c>
      <c r="AT116" s="95" t="str">
        <f>HYPERLINK("https://www.youtube.com/channel/UC1aILpkji8MPAKECCmV6exQ")</f>
        <v>https://www.youtube.com/channel/UC1aILpkji8MPAKECCmV6exQ</v>
      </c>
      <c r="AU116" s="89" t="str">
        <f>REPLACE(INDEX(GroupVertices[Group],MATCH(Vertices[[#This Row],[Vertex]],GroupVertices[Vertex],0)),1,1,"")</f>
        <v>1</v>
      </c>
      <c r="AV116" s="49">
        <v>1</v>
      </c>
      <c r="AW116" s="50">
        <v>50</v>
      </c>
      <c r="AX116" s="49">
        <v>0</v>
      </c>
      <c r="AY116" s="50">
        <v>0</v>
      </c>
      <c r="AZ116" s="49">
        <v>0</v>
      </c>
      <c r="BA116" s="50">
        <v>0</v>
      </c>
      <c r="BB116" s="49">
        <v>1</v>
      </c>
      <c r="BC116" s="50">
        <v>50</v>
      </c>
      <c r="BD116" s="49">
        <v>2</v>
      </c>
      <c r="BE116" s="49"/>
      <c r="BF116" s="49"/>
      <c r="BG116" s="49"/>
      <c r="BH116" s="49"/>
      <c r="BI116" s="49"/>
      <c r="BJ116" s="49"/>
      <c r="BK116" s="127" t="s">
        <v>1112</v>
      </c>
      <c r="BL116" s="127" t="s">
        <v>1112</v>
      </c>
      <c r="BM116" s="127" t="s">
        <v>666</v>
      </c>
      <c r="BN116" s="127" t="s">
        <v>666</v>
      </c>
      <c r="BO116" s="2"/>
      <c r="BP116" s="3"/>
      <c r="BQ116" s="3"/>
      <c r="BR116" s="3"/>
      <c r="BS116" s="3"/>
    </row>
    <row r="117" spans="1:71" ht="15">
      <c r="A117" s="65" t="s">
        <v>296</v>
      </c>
      <c r="B117" s="66"/>
      <c r="C117" s="66"/>
      <c r="D117" s="67">
        <v>150</v>
      </c>
      <c r="E117" s="69"/>
      <c r="F117" s="108" t="str">
        <f>HYPERLINK("https://yt3.ggpht.com/ytc/AAUvwnhKZwCVsvqUtJCmo4QO5KF3MOfdfEEp6QhLaKAn=s88-c-k-c0x00ffffff-no-rj")</f>
        <v>https://yt3.ggpht.com/ytc/AAUvwnhKZwCVsvqUtJCmo4QO5KF3MOfdfEEp6QhLaKAn=s88-c-k-c0x00ffffff-no-rj</v>
      </c>
      <c r="G117" s="66"/>
      <c r="H117" s="70" t="s">
        <v>575</v>
      </c>
      <c r="I117" s="71"/>
      <c r="J117" s="71" t="s">
        <v>159</v>
      </c>
      <c r="K117" s="70" t="s">
        <v>575</v>
      </c>
      <c r="L117" s="74">
        <v>1</v>
      </c>
      <c r="M117" s="75">
        <v>4416.89306640625</v>
      </c>
      <c r="N117" s="75">
        <v>4678.82568359375</v>
      </c>
      <c r="O117" s="76"/>
      <c r="P117" s="77"/>
      <c r="Q117" s="77"/>
      <c r="R117" s="101"/>
      <c r="S117" s="49">
        <v>0</v>
      </c>
      <c r="T117" s="49">
        <v>1</v>
      </c>
      <c r="U117" s="50">
        <v>0</v>
      </c>
      <c r="V117" s="50">
        <v>0.003937</v>
      </c>
      <c r="W117" s="50">
        <v>0.004527</v>
      </c>
      <c r="X117" s="50">
        <v>0.486308</v>
      </c>
      <c r="Y117" s="50">
        <v>0</v>
      </c>
      <c r="Z117" s="50">
        <v>0</v>
      </c>
      <c r="AA117" s="72">
        <v>117</v>
      </c>
      <c r="AB117" s="72"/>
      <c r="AC117" s="73"/>
      <c r="AD117" s="89" t="s">
        <v>575</v>
      </c>
      <c r="AE117" s="89" t="s">
        <v>710</v>
      </c>
      <c r="AF117" s="89"/>
      <c r="AG117" s="89"/>
      <c r="AH117" s="89"/>
      <c r="AI117" s="89"/>
      <c r="AJ117" s="98">
        <v>43717.69116898148</v>
      </c>
      <c r="AK117" s="95" t="str">
        <f>HYPERLINK("https://yt3.ggpht.com/ytc/AAUvwnhKZwCVsvqUtJCmo4QO5KF3MOfdfEEp6QhLaKAn=s88-c-k-c0x00ffffff-no-rj")</f>
        <v>https://yt3.ggpht.com/ytc/AAUvwnhKZwCVsvqUtJCmo4QO5KF3MOfdfEEp6QhLaKAn=s88-c-k-c0x00ffffff-no-rj</v>
      </c>
      <c r="AL117" s="89">
        <v>165</v>
      </c>
      <c r="AM117" s="89">
        <v>0</v>
      </c>
      <c r="AN117" s="89">
        <v>15</v>
      </c>
      <c r="AO117" s="89" t="b">
        <v>0</v>
      </c>
      <c r="AP117" s="89">
        <v>8</v>
      </c>
      <c r="AQ117" s="89"/>
      <c r="AR117" s="89"/>
      <c r="AS117" s="89" t="s">
        <v>736</v>
      </c>
      <c r="AT117" s="95" t="str">
        <f>HYPERLINK("https://www.youtube.com/channel/UC5c65XLWE2VC5GyFqnIwIsw")</f>
        <v>https://www.youtube.com/channel/UC5c65XLWE2VC5GyFqnIwIsw</v>
      </c>
      <c r="AU117" s="89" t="str">
        <f>REPLACE(INDEX(GroupVertices[Group],MATCH(Vertices[[#This Row],[Vertex]],GroupVertices[Vertex],0)),1,1,"")</f>
        <v>2</v>
      </c>
      <c r="AV117" s="49">
        <v>0</v>
      </c>
      <c r="AW117" s="50">
        <v>0</v>
      </c>
      <c r="AX117" s="49">
        <v>0</v>
      </c>
      <c r="AY117" s="50">
        <v>0</v>
      </c>
      <c r="AZ117" s="49">
        <v>0</v>
      </c>
      <c r="BA117" s="50">
        <v>0</v>
      </c>
      <c r="BB117" s="49">
        <v>1</v>
      </c>
      <c r="BC117" s="50">
        <v>100</v>
      </c>
      <c r="BD117" s="49">
        <v>1</v>
      </c>
      <c r="BE117" s="49"/>
      <c r="BF117" s="49"/>
      <c r="BG117" s="49"/>
      <c r="BH117" s="49"/>
      <c r="BI117" s="49"/>
      <c r="BJ117" s="49"/>
      <c r="BK117" s="127" t="s">
        <v>437</v>
      </c>
      <c r="BL117" s="127" t="s">
        <v>437</v>
      </c>
      <c r="BM117" s="127" t="s">
        <v>666</v>
      </c>
      <c r="BN117" s="127" t="s">
        <v>666</v>
      </c>
      <c r="BO117" s="2"/>
      <c r="BP117" s="3"/>
      <c r="BQ117" s="3"/>
      <c r="BR117" s="3"/>
      <c r="BS117" s="3"/>
    </row>
    <row r="118" spans="1:71" ht="15">
      <c r="A118" s="65" t="s">
        <v>312</v>
      </c>
      <c r="B118" s="66"/>
      <c r="C118" s="66"/>
      <c r="D118" s="67">
        <v>150</v>
      </c>
      <c r="E118" s="69"/>
      <c r="F118" s="108" t="str">
        <f>HYPERLINK("https://yt3.ggpht.com/ytc/AAUvwni8sqmMInB_D_FpXZRVoBTX7cdRedG5t0UCxA=s88-c-k-c0x00ffffff-no-rj")</f>
        <v>https://yt3.ggpht.com/ytc/AAUvwni8sqmMInB_D_FpXZRVoBTX7cdRedG5t0UCxA=s88-c-k-c0x00ffffff-no-rj</v>
      </c>
      <c r="G118" s="66"/>
      <c r="H118" s="70" t="s">
        <v>591</v>
      </c>
      <c r="I118" s="71"/>
      <c r="J118" s="71" t="s">
        <v>159</v>
      </c>
      <c r="K118" s="70" t="s">
        <v>591</v>
      </c>
      <c r="L118" s="74">
        <v>1</v>
      </c>
      <c r="M118" s="75">
        <v>2784.347412109375</v>
      </c>
      <c r="N118" s="75">
        <v>1553.1629638671875</v>
      </c>
      <c r="O118" s="76"/>
      <c r="P118" s="77"/>
      <c r="Q118" s="77"/>
      <c r="R118" s="101"/>
      <c r="S118" s="49">
        <v>0</v>
      </c>
      <c r="T118" s="49">
        <v>1</v>
      </c>
      <c r="U118" s="50">
        <v>0</v>
      </c>
      <c r="V118" s="50">
        <v>0.004695</v>
      </c>
      <c r="W118" s="50">
        <v>0.011737</v>
      </c>
      <c r="X118" s="50">
        <v>0.473657</v>
      </c>
      <c r="Y118" s="50">
        <v>0</v>
      </c>
      <c r="Z118" s="50">
        <v>0</v>
      </c>
      <c r="AA118" s="72">
        <v>118</v>
      </c>
      <c r="AB118" s="72"/>
      <c r="AC118" s="73"/>
      <c r="AD118" s="89" t="s">
        <v>591</v>
      </c>
      <c r="AE118" s="89"/>
      <c r="AF118" s="89"/>
      <c r="AG118" s="89"/>
      <c r="AH118" s="89"/>
      <c r="AI118" s="89"/>
      <c r="AJ118" s="98">
        <v>43460.168125</v>
      </c>
      <c r="AK118" s="95" t="str">
        <f>HYPERLINK("https://yt3.ggpht.com/ytc/AAUvwni8sqmMInB_D_FpXZRVoBTX7cdRedG5t0UCxA=s88-c-k-c0x00ffffff-no-rj")</f>
        <v>https://yt3.ggpht.com/ytc/AAUvwni8sqmMInB_D_FpXZRVoBTX7cdRedG5t0UCxA=s88-c-k-c0x00ffffff-no-rj</v>
      </c>
      <c r="AL118" s="89">
        <v>44</v>
      </c>
      <c r="AM118" s="89">
        <v>0</v>
      </c>
      <c r="AN118" s="89">
        <v>8</v>
      </c>
      <c r="AO118" s="89" t="b">
        <v>0</v>
      </c>
      <c r="AP118" s="89">
        <v>1</v>
      </c>
      <c r="AQ118" s="89"/>
      <c r="AR118" s="89"/>
      <c r="AS118" s="89" t="s">
        <v>736</v>
      </c>
      <c r="AT118" s="95" t="str">
        <f>HYPERLINK("https://www.youtube.com/channel/UC7SBoanzWGOIY8cJm5N5XwQ")</f>
        <v>https://www.youtube.com/channel/UC7SBoanzWGOIY8cJm5N5XwQ</v>
      </c>
      <c r="AU118" s="89" t="str">
        <f>REPLACE(INDEX(GroupVertices[Group],MATCH(Vertices[[#This Row],[Vertex]],GroupVertices[Vertex],0)),1,1,"")</f>
        <v>1</v>
      </c>
      <c r="AV118" s="49">
        <v>2</v>
      </c>
      <c r="AW118" s="50">
        <v>33.333333333333336</v>
      </c>
      <c r="AX118" s="49">
        <v>0</v>
      </c>
      <c r="AY118" s="50">
        <v>0</v>
      </c>
      <c r="AZ118" s="49">
        <v>0</v>
      </c>
      <c r="BA118" s="50">
        <v>0</v>
      </c>
      <c r="BB118" s="49">
        <v>4</v>
      </c>
      <c r="BC118" s="50">
        <v>66.66666666666667</v>
      </c>
      <c r="BD118" s="49">
        <v>6</v>
      </c>
      <c r="BE118" s="49"/>
      <c r="BF118" s="49"/>
      <c r="BG118" s="49"/>
      <c r="BH118" s="49"/>
      <c r="BI118" s="49"/>
      <c r="BJ118" s="49"/>
      <c r="BK118" s="127" t="s">
        <v>1113</v>
      </c>
      <c r="BL118" s="127" t="s">
        <v>1113</v>
      </c>
      <c r="BM118" s="127" t="s">
        <v>1186</v>
      </c>
      <c r="BN118" s="127" t="s">
        <v>1186</v>
      </c>
      <c r="BO118" s="2"/>
      <c r="BP118" s="3"/>
      <c r="BQ118" s="3"/>
      <c r="BR118" s="3"/>
      <c r="BS118" s="3"/>
    </row>
    <row r="119" spans="1:71" ht="15">
      <c r="A119" s="65" t="s">
        <v>294</v>
      </c>
      <c r="B119" s="66"/>
      <c r="C119" s="66"/>
      <c r="D119" s="67">
        <v>150</v>
      </c>
      <c r="E119" s="69"/>
      <c r="F119" s="108" t="str">
        <f>HYPERLINK("https://yt3.ggpht.com/ytc/AAUvwngOZ97jub1YPLF3rkGyhejE4Pal-e2mm6HS32p7Cg=s88-c-k-c0x00ffffff-no-rj")</f>
        <v>https://yt3.ggpht.com/ytc/AAUvwngOZ97jub1YPLF3rkGyhejE4Pal-e2mm6HS32p7Cg=s88-c-k-c0x00ffffff-no-rj</v>
      </c>
      <c r="G119" s="66"/>
      <c r="H119" s="70" t="s">
        <v>573</v>
      </c>
      <c r="I119" s="71"/>
      <c r="J119" s="71" t="s">
        <v>159</v>
      </c>
      <c r="K119" s="70" t="s">
        <v>573</v>
      </c>
      <c r="L119" s="74">
        <v>1</v>
      </c>
      <c r="M119" s="75">
        <v>6377.3544921875</v>
      </c>
      <c r="N119" s="75">
        <v>4705.3271484375</v>
      </c>
      <c r="O119" s="76"/>
      <c r="P119" s="77"/>
      <c r="Q119" s="77"/>
      <c r="R119" s="101"/>
      <c r="S119" s="49">
        <v>0</v>
      </c>
      <c r="T119" s="49">
        <v>1</v>
      </c>
      <c r="U119" s="50">
        <v>0</v>
      </c>
      <c r="V119" s="50">
        <v>0.003937</v>
      </c>
      <c r="W119" s="50">
        <v>0.004527</v>
      </c>
      <c r="X119" s="50">
        <v>0.486308</v>
      </c>
      <c r="Y119" s="50">
        <v>0</v>
      </c>
      <c r="Z119" s="50">
        <v>0</v>
      </c>
      <c r="AA119" s="72">
        <v>119</v>
      </c>
      <c r="AB119" s="72"/>
      <c r="AC119" s="73"/>
      <c r="AD119" s="89" t="s">
        <v>573</v>
      </c>
      <c r="AE119" s="89" t="s">
        <v>708</v>
      </c>
      <c r="AF119" s="89"/>
      <c r="AG119" s="89"/>
      <c r="AH119" s="89"/>
      <c r="AI119" s="89"/>
      <c r="AJ119" s="98">
        <v>43980.87386574074</v>
      </c>
      <c r="AK119" s="95" t="str">
        <f>HYPERLINK("https://yt3.ggpht.com/ytc/AAUvwngOZ97jub1YPLF3rkGyhejE4Pal-e2mm6HS32p7Cg=s88-c-k-c0x00ffffff-no-rj")</f>
        <v>https://yt3.ggpht.com/ytc/AAUvwngOZ97jub1YPLF3rkGyhejE4Pal-e2mm6HS32p7Cg=s88-c-k-c0x00ffffff-no-rj</v>
      </c>
      <c r="AL119" s="89">
        <v>0</v>
      </c>
      <c r="AM119" s="89">
        <v>0</v>
      </c>
      <c r="AN119" s="89">
        <v>3</v>
      </c>
      <c r="AO119" s="89" t="b">
        <v>0</v>
      </c>
      <c r="AP119" s="89">
        <v>0</v>
      </c>
      <c r="AQ119" s="89"/>
      <c r="AR119" s="89"/>
      <c r="AS119" s="89" t="s">
        <v>736</v>
      </c>
      <c r="AT119" s="95" t="str">
        <f>HYPERLINK("https://www.youtube.com/channel/UCB6idNRhVqMo-V57OKOa7uQ")</f>
        <v>https://www.youtube.com/channel/UCB6idNRhVqMo-V57OKOa7uQ</v>
      </c>
      <c r="AU119" s="89" t="str">
        <f>REPLACE(INDEX(GroupVertices[Group],MATCH(Vertices[[#This Row],[Vertex]],GroupVertices[Vertex],0)),1,1,"")</f>
        <v>2</v>
      </c>
      <c r="AV119" s="49">
        <v>0</v>
      </c>
      <c r="AW119" s="50">
        <v>0</v>
      </c>
      <c r="AX119" s="49">
        <v>1</v>
      </c>
      <c r="AY119" s="50">
        <v>16.666666666666668</v>
      </c>
      <c r="AZ119" s="49">
        <v>0</v>
      </c>
      <c r="BA119" s="50">
        <v>0</v>
      </c>
      <c r="BB119" s="49">
        <v>5</v>
      </c>
      <c r="BC119" s="50">
        <v>83.33333333333333</v>
      </c>
      <c r="BD119" s="49">
        <v>6</v>
      </c>
      <c r="BE119" s="49"/>
      <c r="BF119" s="49"/>
      <c r="BG119" s="49"/>
      <c r="BH119" s="49"/>
      <c r="BI119" s="49"/>
      <c r="BJ119" s="49"/>
      <c r="BK119" s="127" t="s">
        <v>1114</v>
      </c>
      <c r="BL119" s="127" t="s">
        <v>1114</v>
      </c>
      <c r="BM119" s="127" t="s">
        <v>1187</v>
      </c>
      <c r="BN119" s="127" t="s">
        <v>1187</v>
      </c>
      <c r="BO119" s="2"/>
      <c r="BP119" s="3"/>
      <c r="BQ119" s="3"/>
      <c r="BR119" s="3"/>
      <c r="BS119" s="3"/>
    </row>
    <row r="120" spans="1:71" ht="15">
      <c r="A120" s="65" t="s">
        <v>284</v>
      </c>
      <c r="B120" s="66"/>
      <c r="C120" s="66"/>
      <c r="D120" s="67">
        <v>150</v>
      </c>
      <c r="E120" s="69"/>
      <c r="F120" s="108" t="str">
        <f>HYPERLINK("https://yt3.ggpht.com/ytc/AAUvwnjLud725HbUAL7syDis4VfnTgkt60NG2-jE6g2XSg=s88-c-k-c0x00ffffff-no-rj")</f>
        <v>https://yt3.ggpht.com/ytc/AAUvwnjLud725HbUAL7syDis4VfnTgkt60NG2-jE6g2XSg=s88-c-k-c0x00ffffff-no-rj</v>
      </c>
      <c r="G120" s="66"/>
      <c r="H120" s="70" t="s">
        <v>563</v>
      </c>
      <c r="I120" s="71"/>
      <c r="J120" s="71" t="s">
        <v>159</v>
      </c>
      <c r="K120" s="70" t="s">
        <v>563</v>
      </c>
      <c r="L120" s="74">
        <v>1</v>
      </c>
      <c r="M120" s="75">
        <v>4087.451904296875</v>
      </c>
      <c r="N120" s="75">
        <v>8429.689453125</v>
      </c>
      <c r="O120" s="76"/>
      <c r="P120" s="77"/>
      <c r="Q120" s="77"/>
      <c r="R120" s="101"/>
      <c r="S120" s="49">
        <v>0</v>
      </c>
      <c r="T120" s="49">
        <v>1</v>
      </c>
      <c r="U120" s="50">
        <v>0</v>
      </c>
      <c r="V120" s="50">
        <v>0.003937</v>
      </c>
      <c r="W120" s="50">
        <v>0.004527</v>
      </c>
      <c r="X120" s="50">
        <v>0.486308</v>
      </c>
      <c r="Y120" s="50">
        <v>0</v>
      </c>
      <c r="Z120" s="50">
        <v>0</v>
      </c>
      <c r="AA120" s="72">
        <v>120</v>
      </c>
      <c r="AB120" s="72"/>
      <c r="AC120" s="73"/>
      <c r="AD120" s="89" t="s">
        <v>563</v>
      </c>
      <c r="AE120" s="89" t="s">
        <v>704</v>
      </c>
      <c r="AF120" s="89"/>
      <c r="AG120" s="89"/>
      <c r="AH120" s="89"/>
      <c r="AI120" s="89"/>
      <c r="AJ120" s="98">
        <v>42658.82136574074</v>
      </c>
      <c r="AK120" s="95" t="str">
        <f>HYPERLINK("https://yt3.ggpht.com/ytc/AAUvwnjLud725HbUAL7syDis4VfnTgkt60NG2-jE6g2XSg=s88-c-k-c0x00ffffff-no-rj")</f>
        <v>https://yt3.ggpht.com/ytc/AAUvwnjLud725HbUAL7syDis4VfnTgkt60NG2-jE6g2XSg=s88-c-k-c0x00ffffff-no-rj</v>
      </c>
      <c r="AL120" s="89">
        <v>9</v>
      </c>
      <c r="AM120" s="89">
        <v>0</v>
      </c>
      <c r="AN120" s="89">
        <v>1</v>
      </c>
      <c r="AO120" s="89" t="b">
        <v>0</v>
      </c>
      <c r="AP120" s="89">
        <v>1</v>
      </c>
      <c r="AQ120" s="89"/>
      <c r="AR120" s="89"/>
      <c r="AS120" s="89" t="s">
        <v>736</v>
      </c>
      <c r="AT120" s="95" t="str">
        <f>HYPERLINK("https://www.youtube.com/channel/UCL1rU-jRwC0itTwpu9z7Lmg")</f>
        <v>https://www.youtube.com/channel/UCL1rU-jRwC0itTwpu9z7Lmg</v>
      </c>
      <c r="AU120" s="89" t="str">
        <f>REPLACE(INDEX(GroupVertices[Group],MATCH(Vertices[[#This Row],[Vertex]],GroupVertices[Vertex],0)),1,1,"")</f>
        <v>2</v>
      </c>
      <c r="AV120" s="49">
        <v>0</v>
      </c>
      <c r="AW120" s="50">
        <v>0</v>
      </c>
      <c r="AX120" s="49">
        <v>0</v>
      </c>
      <c r="AY120" s="50">
        <v>0</v>
      </c>
      <c r="AZ120" s="49">
        <v>0</v>
      </c>
      <c r="BA120" s="50">
        <v>0</v>
      </c>
      <c r="BB120" s="49">
        <v>6</v>
      </c>
      <c r="BC120" s="50">
        <v>100</v>
      </c>
      <c r="BD120" s="49">
        <v>6</v>
      </c>
      <c r="BE120" s="49"/>
      <c r="BF120" s="49"/>
      <c r="BG120" s="49"/>
      <c r="BH120" s="49"/>
      <c r="BI120" s="49"/>
      <c r="BJ120" s="49"/>
      <c r="BK120" s="127" t="s">
        <v>1115</v>
      </c>
      <c r="BL120" s="127" t="s">
        <v>1115</v>
      </c>
      <c r="BM120" s="127" t="s">
        <v>1188</v>
      </c>
      <c r="BN120" s="127" t="s">
        <v>1188</v>
      </c>
      <c r="BO120" s="2"/>
      <c r="BP120" s="3"/>
      <c r="BQ120" s="3"/>
      <c r="BR120" s="3"/>
      <c r="BS120" s="3"/>
    </row>
    <row r="121" spans="1:71" ht="15">
      <c r="A121" s="65" t="s">
        <v>238</v>
      </c>
      <c r="B121" s="66"/>
      <c r="C121" s="66"/>
      <c r="D121" s="67">
        <v>150</v>
      </c>
      <c r="E121" s="69"/>
      <c r="F121" s="108" t="str">
        <f>HYPERLINK("https://yt3.ggpht.com/ytc/AAUvwnghf5xShfTQki_MVGSA3FhpZ8kpKo74TREo-g=s88-c-k-c0x00ffffff-no-rj")</f>
        <v>https://yt3.ggpht.com/ytc/AAUvwnghf5xShfTQki_MVGSA3FhpZ8kpKo74TREo-g=s88-c-k-c0x00ffffff-no-rj</v>
      </c>
      <c r="G121" s="66"/>
      <c r="H121" s="70" t="s">
        <v>517</v>
      </c>
      <c r="I121" s="71"/>
      <c r="J121" s="71" t="s">
        <v>159</v>
      </c>
      <c r="K121" s="70" t="s">
        <v>517</v>
      </c>
      <c r="L121" s="74">
        <v>1</v>
      </c>
      <c r="M121" s="75">
        <v>7058.7421875</v>
      </c>
      <c r="N121" s="75">
        <v>6885.11865234375</v>
      </c>
      <c r="O121" s="76"/>
      <c r="P121" s="77"/>
      <c r="Q121" s="77"/>
      <c r="R121" s="101"/>
      <c r="S121" s="49">
        <v>0</v>
      </c>
      <c r="T121" s="49">
        <v>1</v>
      </c>
      <c r="U121" s="50">
        <v>0</v>
      </c>
      <c r="V121" s="50">
        <v>0.022727</v>
      </c>
      <c r="W121" s="50">
        <v>0</v>
      </c>
      <c r="X121" s="50">
        <v>0.549699</v>
      </c>
      <c r="Y121" s="50">
        <v>0</v>
      </c>
      <c r="Z121" s="50">
        <v>0</v>
      </c>
      <c r="AA121" s="72">
        <v>121</v>
      </c>
      <c r="AB121" s="72"/>
      <c r="AC121" s="73"/>
      <c r="AD121" s="89" t="s">
        <v>517</v>
      </c>
      <c r="AE121" s="89"/>
      <c r="AF121" s="89"/>
      <c r="AG121" s="89"/>
      <c r="AH121" s="89"/>
      <c r="AI121" s="89"/>
      <c r="AJ121" s="98">
        <v>42987.562048611115</v>
      </c>
      <c r="AK121" s="95" t="str">
        <f>HYPERLINK("https://yt3.ggpht.com/ytc/AAUvwnghf5xShfTQki_MVGSA3FhpZ8kpKo74TREo-g=s88-c-k-c0x00ffffff-no-rj")</f>
        <v>https://yt3.ggpht.com/ytc/AAUvwnghf5xShfTQki_MVGSA3FhpZ8kpKo74TREo-g=s88-c-k-c0x00ffffff-no-rj</v>
      </c>
      <c r="AL121" s="89">
        <v>0</v>
      </c>
      <c r="AM121" s="89">
        <v>0</v>
      </c>
      <c r="AN121" s="89">
        <v>1</v>
      </c>
      <c r="AO121" s="89" t="b">
        <v>0</v>
      </c>
      <c r="AP121" s="89">
        <v>0</v>
      </c>
      <c r="AQ121" s="89"/>
      <c r="AR121" s="89"/>
      <c r="AS121" s="89" t="s">
        <v>736</v>
      </c>
      <c r="AT121" s="95" t="str">
        <f>HYPERLINK("https://www.youtube.com/channel/UC2m5BR47ai-hasWinpJQIrQ")</f>
        <v>https://www.youtube.com/channel/UC2m5BR47ai-hasWinpJQIrQ</v>
      </c>
      <c r="AU121" s="89" t="str">
        <f>REPLACE(INDEX(GroupVertices[Group],MATCH(Vertices[[#This Row],[Vertex]],GroupVertices[Vertex],0)),1,1,"")</f>
        <v>3</v>
      </c>
      <c r="AV121" s="49">
        <v>1</v>
      </c>
      <c r="AW121" s="50">
        <v>50</v>
      </c>
      <c r="AX121" s="49">
        <v>0</v>
      </c>
      <c r="AY121" s="50">
        <v>0</v>
      </c>
      <c r="AZ121" s="49">
        <v>0</v>
      </c>
      <c r="BA121" s="50">
        <v>0</v>
      </c>
      <c r="BB121" s="49">
        <v>1</v>
      </c>
      <c r="BC121" s="50">
        <v>50</v>
      </c>
      <c r="BD121" s="49">
        <v>2</v>
      </c>
      <c r="BE121" s="49"/>
      <c r="BF121" s="49"/>
      <c r="BG121" s="49"/>
      <c r="BH121" s="49"/>
      <c r="BI121" s="49"/>
      <c r="BJ121" s="49"/>
      <c r="BK121" s="127" t="s">
        <v>782</v>
      </c>
      <c r="BL121" s="127" t="s">
        <v>782</v>
      </c>
      <c r="BM121" s="127" t="s">
        <v>666</v>
      </c>
      <c r="BN121" s="127" t="s">
        <v>666</v>
      </c>
      <c r="BO121" s="2"/>
      <c r="BP121" s="3"/>
      <c r="BQ121" s="3"/>
      <c r="BR121" s="3"/>
      <c r="BS121" s="3"/>
    </row>
    <row r="122" spans="1:71" ht="15">
      <c r="A122" s="65" t="s">
        <v>274</v>
      </c>
      <c r="B122" s="66"/>
      <c r="C122" s="66"/>
      <c r="D122" s="67">
        <v>150</v>
      </c>
      <c r="E122" s="69"/>
      <c r="F122" s="108" t="str">
        <f>HYPERLINK("https://yt3.ggpht.com/ytc/AAUvwng9my-7u5APJNOvipGatF_WtNanmr_sq6PvKw=s88-c-k-c0x00ffffff-no-rj")</f>
        <v>https://yt3.ggpht.com/ytc/AAUvwng9my-7u5APJNOvipGatF_WtNanmr_sq6PvKw=s88-c-k-c0x00ffffff-no-rj</v>
      </c>
      <c r="G122" s="66"/>
      <c r="H122" s="70" t="s">
        <v>553</v>
      </c>
      <c r="I122" s="71"/>
      <c r="J122" s="71" t="s">
        <v>159</v>
      </c>
      <c r="K122" s="70" t="s">
        <v>553</v>
      </c>
      <c r="L122" s="74">
        <v>1</v>
      </c>
      <c r="M122" s="75">
        <v>2731.9208984375</v>
      </c>
      <c r="N122" s="75">
        <v>4971.93603515625</v>
      </c>
      <c r="O122" s="76"/>
      <c r="P122" s="77"/>
      <c r="Q122" s="77"/>
      <c r="R122" s="101"/>
      <c r="S122" s="49">
        <v>0</v>
      </c>
      <c r="T122" s="49">
        <v>1</v>
      </c>
      <c r="U122" s="50">
        <v>0</v>
      </c>
      <c r="V122" s="50">
        <v>0.004695</v>
      </c>
      <c r="W122" s="50">
        <v>0.011737</v>
      </c>
      <c r="X122" s="50">
        <v>0.473657</v>
      </c>
      <c r="Y122" s="50">
        <v>0</v>
      </c>
      <c r="Z122" s="50">
        <v>0</v>
      </c>
      <c r="AA122" s="72">
        <v>122</v>
      </c>
      <c r="AB122" s="72"/>
      <c r="AC122" s="73"/>
      <c r="AD122" s="89" t="s">
        <v>553</v>
      </c>
      <c r="AE122" s="89"/>
      <c r="AF122" s="89"/>
      <c r="AG122" s="89"/>
      <c r="AH122" s="89"/>
      <c r="AI122" s="89"/>
      <c r="AJ122" s="98">
        <v>42651.0725</v>
      </c>
      <c r="AK122" s="95" t="str">
        <f>HYPERLINK("https://yt3.ggpht.com/ytc/AAUvwng9my-7u5APJNOvipGatF_WtNanmr_sq6PvKw=s88-c-k-c0x00ffffff-no-rj")</f>
        <v>https://yt3.ggpht.com/ytc/AAUvwng9my-7u5APJNOvipGatF_WtNanmr_sq6PvKw=s88-c-k-c0x00ffffff-no-rj</v>
      </c>
      <c r="AL122" s="89">
        <v>0</v>
      </c>
      <c r="AM122" s="89">
        <v>0</v>
      </c>
      <c r="AN122" s="89">
        <v>0</v>
      </c>
      <c r="AO122" s="89" t="b">
        <v>0</v>
      </c>
      <c r="AP122" s="89">
        <v>0</v>
      </c>
      <c r="AQ122" s="89"/>
      <c r="AR122" s="89"/>
      <c r="AS122" s="89" t="s">
        <v>736</v>
      </c>
      <c r="AT122" s="95" t="str">
        <f>HYPERLINK("https://www.youtube.com/channel/UCZPWJbdvBBrMxnzF6FiKm_A")</f>
        <v>https://www.youtube.com/channel/UCZPWJbdvBBrMxnzF6FiKm_A</v>
      </c>
      <c r="AU122" s="89" t="str">
        <f>REPLACE(INDEX(GroupVertices[Group],MATCH(Vertices[[#This Row],[Vertex]],GroupVertices[Vertex],0)),1,1,"")</f>
        <v>1</v>
      </c>
      <c r="AV122" s="49">
        <v>2</v>
      </c>
      <c r="AW122" s="50">
        <v>22.22222222222222</v>
      </c>
      <c r="AX122" s="49">
        <v>0</v>
      </c>
      <c r="AY122" s="50">
        <v>0</v>
      </c>
      <c r="AZ122" s="49">
        <v>0</v>
      </c>
      <c r="BA122" s="50">
        <v>0</v>
      </c>
      <c r="BB122" s="49">
        <v>7</v>
      </c>
      <c r="BC122" s="50">
        <v>77.77777777777777</v>
      </c>
      <c r="BD122" s="49">
        <v>9</v>
      </c>
      <c r="BE122" s="49"/>
      <c r="BF122" s="49"/>
      <c r="BG122" s="49"/>
      <c r="BH122" s="49"/>
      <c r="BI122" s="49"/>
      <c r="BJ122" s="49"/>
      <c r="BK122" s="127" t="s">
        <v>794</v>
      </c>
      <c r="BL122" s="127" t="s">
        <v>794</v>
      </c>
      <c r="BM122" s="127" t="s">
        <v>666</v>
      </c>
      <c r="BN122" s="127" t="s">
        <v>666</v>
      </c>
      <c r="BO122" s="2"/>
      <c r="BP122" s="3"/>
      <c r="BQ122" s="3"/>
      <c r="BR122" s="3"/>
      <c r="BS122" s="3"/>
    </row>
    <row r="123" spans="1:71" ht="15">
      <c r="A123" s="65" t="s">
        <v>317</v>
      </c>
      <c r="B123" s="66"/>
      <c r="C123" s="66"/>
      <c r="D123" s="67">
        <v>150</v>
      </c>
      <c r="E123" s="69"/>
      <c r="F123" s="108" t="str">
        <f>HYPERLINK("https://yt3.ggpht.com/ytc/AAUvwnhNf9AFXmNmhEKyBhxrsk3HinlZJT_8EmVDdTid=s88-c-k-c0x00ffffff-no-rj")</f>
        <v>https://yt3.ggpht.com/ytc/AAUvwnhNf9AFXmNmhEKyBhxrsk3HinlZJT_8EmVDdTid=s88-c-k-c0x00ffffff-no-rj</v>
      </c>
      <c r="G123" s="66"/>
      <c r="H123" s="70" t="s">
        <v>596</v>
      </c>
      <c r="I123" s="71"/>
      <c r="J123" s="71" t="s">
        <v>159</v>
      </c>
      <c r="K123" s="70" t="s">
        <v>596</v>
      </c>
      <c r="L123" s="74">
        <v>1</v>
      </c>
      <c r="M123" s="75">
        <v>2554.6806640625</v>
      </c>
      <c r="N123" s="75">
        <v>2521.752197265625</v>
      </c>
      <c r="O123" s="76"/>
      <c r="P123" s="77"/>
      <c r="Q123" s="77"/>
      <c r="R123" s="101"/>
      <c r="S123" s="49">
        <v>0</v>
      </c>
      <c r="T123" s="49">
        <v>1</v>
      </c>
      <c r="U123" s="50">
        <v>0</v>
      </c>
      <c r="V123" s="50">
        <v>0.004695</v>
      </c>
      <c r="W123" s="50">
        <v>0.011737</v>
      </c>
      <c r="X123" s="50">
        <v>0.473657</v>
      </c>
      <c r="Y123" s="50">
        <v>0</v>
      </c>
      <c r="Z123" s="50">
        <v>0</v>
      </c>
      <c r="AA123" s="72">
        <v>123</v>
      </c>
      <c r="AB123" s="72"/>
      <c r="AC123" s="73"/>
      <c r="AD123" s="89" t="s">
        <v>596</v>
      </c>
      <c r="AE123" s="89"/>
      <c r="AF123" s="89"/>
      <c r="AG123" s="89"/>
      <c r="AH123" s="89"/>
      <c r="AI123" s="89"/>
      <c r="AJ123" s="98">
        <v>43133.11232638889</v>
      </c>
      <c r="AK123" s="95" t="str">
        <f>HYPERLINK("https://yt3.ggpht.com/ytc/AAUvwnhNf9AFXmNmhEKyBhxrsk3HinlZJT_8EmVDdTid=s88-c-k-c0x00ffffff-no-rj")</f>
        <v>https://yt3.ggpht.com/ytc/AAUvwnhNf9AFXmNmhEKyBhxrsk3HinlZJT_8EmVDdTid=s88-c-k-c0x00ffffff-no-rj</v>
      </c>
      <c r="AL123" s="89">
        <v>0</v>
      </c>
      <c r="AM123" s="89">
        <v>0</v>
      </c>
      <c r="AN123" s="89">
        <v>2</v>
      </c>
      <c r="AO123" s="89" t="b">
        <v>0</v>
      </c>
      <c r="AP123" s="89">
        <v>0</v>
      </c>
      <c r="AQ123" s="89"/>
      <c r="AR123" s="89"/>
      <c r="AS123" s="89" t="s">
        <v>736</v>
      </c>
      <c r="AT123" s="95" t="str">
        <f>HYPERLINK("https://www.youtube.com/channel/UC7nIPfgorPJhL52Ne5qkn4Q")</f>
        <v>https://www.youtube.com/channel/UC7nIPfgorPJhL52Ne5qkn4Q</v>
      </c>
      <c r="AU123" s="89" t="str">
        <f>REPLACE(INDEX(GroupVertices[Group],MATCH(Vertices[[#This Row],[Vertex]],GroupVertices[Vertex],0)),1,1,"")</f>
        <v>1</v>
      </c>
      <c r="AV123" s="49">
        <v>0</v>
      </c>
      <c r="AW123" s="50">
        <v>0</v>
      </c>
      <c r="AX123" s="49">
        <v>0</v>
      </c>
      <c r="AY123" s="50">
        <v>0</v>
      </c>
      <c r="AZ123" s="49">
        <v>0</v>
      </c>
      <c r="BA123" s="50">
        <v>0</v>
      </c>
      <c r="BB123" s="49">
        <v>2</v>
      </c>
      <c r="BC123" s="50">
        <v>100</v>
      </c>
      <c r="BD123" s="49">
        <v>2</v>
      </c>
      <c r="BE123" s="49"/>
      <c r="BF123" s="49"/>
      <c r="BG123" s="49"/>
      <c r="BH123" s="49"/>
      <c r="BI123" s="49"/>
      <c r="BJ123" s="49"/>
      <c r="BK123" s="127" t="s">
        <v>464</v>
      </c>
      <c r="BL123" s="127" t="s">
        <v>464</v>
      </c>
      <c r="BM123" s="127" t="s">
        <v>1189</v>
      </c>
      <c r="BN123" s="127" t="s">
        <v>1189</v>
      </c>
      <c r="BO123" s="2"/>
      <c r="BP123" s="3"/>
      <c r="BQ123" s="3"/>
      <c r="BR123" s="3"/>
      <c r="BS123" s="3"/>
    </row>
    <row r="124" spans="1:71" ht="15">
      <c r="A124" s="65" t="s">
        <v>252</v>
      </c>
      <c r="B124" s="66"/>
      <c r="C124" s="66"/>
      <c r="D124" s="67">
        <v>150</v>
      </c>
      <c r="E124" s="69"/>
      <c r="F124" s="108" t="str">
        <f>HYPERLINK("https://yt3.ggpht.com/ytc/AAUvwngqS5wx91npIfPornJP8GEYGqzjurW439F0KDBy=s88-c-k-c0x00ffffff-no-rj")</f>
        <v>https://yt3.ggpht.com/ytc/AAUvwngqS5wx91npIfPornJP8GEYGqzjurW439F0KDBy=s88-c-k-c0x00ffffff-no-rj</v>
      </c>
      <c r="G124" s="66"/>
      <c r="H124" s="70" t="s">
        <v>531</v>
      </c>
      <c r="I124" s="71"/>
      <c r="J124" s="71" t="s">
        <v>159</v>
      </c>
      <c r="K124" s="70" t="s">
        <v>531</v>
      </c>
      <c r="L124" s="74">
        <v>1</v>
      </c>
      <c r="M124" s="75">
        <v>8339.4775390625</v>
      </c>
      <c r="N124" s="75">
        <v>9838.6123046875</v>
      </c>
      <c r="O124" s="76"/>
      <c r="P124" s="77"/>
      <c r="Q124" s="77"/>
      <c r="R124" s="101"/>
      <c r="S124" s="49">
        <v>0</v>
      </c>
      <c r="T124" s="49">
        <v>1</v>
      </c>
      <c r="U124" s="50">
        <v>0</v>
      </c>
      <c r="V124" s="50">
        <v>0.022727</v>
      </c>
      <c r="W124" s="50">
        <v>0</v>
      </c>
      <c r="X124" s="50">
        <v>0.549699</v>
      </c>
      <c r="Y124" s="50">
        <v>0</v>
      </c>
      <c r="Z124" s="50">
        <v>0</v>
      </c>
      <c r="AA124" s="72">
        <v>124</v>
      </c>
      <c r="AB124" s="72"/>
      <c r="AC124" s="73"/>
      <c r="AD124" s="89" t="s">
        <v>531</v>
      </c>
      <c r="AE124" s="89"/>
      <c r="AF124" s="89"/>
      <c r="AG124" s="89"/>
      <c r="AH124" s="89"/>
      <c r="AI124" s="89"/>
      <c r="AJ124" s="98">
        <v>44314.563564814816</v>
      </c>
      <c r="AK124" s="95" t="str">
        <f>HYPERLINK("https://yt3.ggpht.com/ytc/AAUvwngqS5wx91npIfPornJP8GEYGqzjurW439F0KDBy=s88-c-k-c0x00ffffff-no-rj")</f>
        <v>https://yt3.ggpht.com/ytc/AAUvwngqS5wx91npIfPornJP8GEYGqzjurW439F0KDBy=s88-c-k-c0x00ffffff-no-rj</v>
      </c>
      <c r="AL124" s="89">
        <v>0</v>
      </c>
      <c r="AM124" s="89">
        <v>0</v>
      </c>
      <c r="AN124" s="89">
        <v>2</v>
      </c>
      <c r="AO124" s="89" t="b">
        <v>0</v>
      </c>
      <c r="AP124" s="89">
        <v>0</v>
      </c>
      <c r="AQ124" s="89"/>
      <c r="AR124" s="89"/>
      <c r="AS124" s="89" t="s">
        <v>736</v>
      </c>
      <c r="AT124" s="95" t="str">
        <f>HYPERLINK("https://www.youtube.com/channel/UCX49f7UWiH1B6rW18m9Rhlw")</f>
        <v>https://www.youtube.com/channel/UCX49f7UWiH1B6rW18m9Rhlw</v>
      </c>
      <c r="AU124" s="89" t="str">
        <f>REPLACE(INDEX(GroupVertices[Group],MATCH(Vertices[[#This Row],[Vertex]],GroupVertices[Vertex],0)),1,1,"")</f>
        <v>3</v>
      </c>
      <c r="AV124" s="49">
        <v>2</v>
      </c>
      <c r="AW124" s="50">
        <v>8.695652173913043</v>
      </c>
      <c r="AX124" s="49">
        <v>1</v>
      </c>
      <c r="AY124" s="50">
        <v>4.3478260869565215</v>
      </c>
      <c r="AZ124" s="49">
        <v>0</v>
      </c>
      <c r="BA124" s="50">
        <v>0</v>
      </c>
      <c r="BB124" s="49">
        <v>20</v>
      </c>
      <c r="BC124" s="50">
        <v>86.95652173913044</v>
      </c>
      <c r="BD124" s="49">
        <v>23</v>
      </c>
      <c r="BE124" s="49"/>
      <c r="BF124" s="49"/>
      <c r="BG124" s="49"/>
      <c r="BH124" s="49"/>
      <c r="BI124" s="49"/>
      <c r="BJ124" s="49"/>
      <c r="BK124" s="127" t="s">
        <v>1116</v>
      </c>
      <c r="BL124" s="127" t="s">
        <v>1116</v>
      </c>
      <c r="BM124" s="127" t="s">
        <v>1190</v>
      </c>
      <c r="BN124" s="127" t="s">
        <v>1190</v>
      </c>
      <c r="BO124" s="2"/>
      <c r="BP124" s="3"/>
      <c r="BQ124" s="3"/>
      <c r="BR124" s="3"/>
      <c r="BS124" s="3"/>
    </row>
    <row r="125" spans="1:71" ht="15">
      <c r="A125" s="80" t="s">
        <v>353</v>
      </c>
      <c r="B125" s="110"/>
      <c r="C125" s="110"/>
      <c r="D125" s="111">
        <v>271.42857142857144</v>
      </c>
      <c r="E125" s="112"/>
      <c r="F125" s="108" t="str">
        <f>HYPERLINK("https://yt3.ggpht.com/ytc/AAUvwngI5m5KUoPN4Q7e_eRndHOKwEhZACucj-ZHwL4qXQ=s88-c-k-c0x00ffffff-no-rj")</f>
        <v>https://yt3.ggpht.com/ytc/AAUvwngI5m5KUoPN4Q7e_eRndHOKwEhZACucj-ZHwL4qXQ=s88-c-k-c0x00ffffff-no-rj</v>
      </c>
      <c r="G125" s="110"/>
      <c r="H125" s="113" t="s">
        <v>685</v>
      </c>
      <c r="I125" s="114"/>
      <c r="J125" s="114" t="s">
        <v>159</v>
      </c>
      <c r="K125" s="113" t="s">
        <v>685</v>
      </c>
      <c r="L125" s="115">
        <v>167.63333333333333</v>
      </c>
      <c r="M125" s="116">
        <v>6379.404296875</v>
      </c>
      <c r="N125" s="116">
        <v>1022.296630859375</v>
      </c>
      <c r="O125" s="117"/>
      <c r="P125" s="118"/>
      <c r="Q125" s="118"/>
      <c r="R125" s="119"/>
      <c r="S125" s="49">
        <v>1</v>
      </c>
      <c r="T125" s="49">
        <v>1</v>
      </c>
      <c r="U125" s="50">
        <v>0</v>
      </c>
      <c r="V125" s="50">
        <v>0</v>
      </c>
      <c r="W125" s="50">
        <v>0</v>
      </c>
      <c r="X125" s="50">
        <v>0.999996</v>
      </c>
      <c r="Y125" s="50">
        <v>0</v>
      </c>
      <c r="Z125" s="50">
        <v>0</v>
      </c>
      <c r="AA125" s="120">
        <v>125</v>
      </c>
      <c r="AB125" s="120"/>
      <c r="AC125" s="88"/>
      <c r="AD125" s="89" t="s">
        <v>685</v>
      </c>
      <c r="AE125" s="89" t="s">
        <v>727</v>
      </c>
      <c r="AF125" s="89"/>
      <c r="AG125" s="89"/>
      <c r="AH125" s="89"/>
      <c r="AI125" s="89"/>
      <c r="AJ125" s="98">
        <v>39308.024930555555</v>
      </c>
      <c r="AK125" s="95" t="str">
        <f>HYPERLINK("https://yt3.ggpht.com/ytc/AAUvwngI5m5KUoPN4Q7e_eRndHOKwEhZACucj-ZHwL4qXQ=s88-c-k-c0x00ffffff-no-rj")</f>
        <v>https://yt3.ggpht.com/ytc/AAUvwngI5m5KUoPN4Q7e_eRndHOKwEhZACucj-ZHwL4qXQ=s88-c-k-c0x00ffffff-no-rj</v>
      </c>
      <c r="AL125" s="89">
        <v>577720</v>
      </c>
      <c r="AM125" s="89">
        <v>0</v>
      </c>
      <c r="AN125" s="89">
        <v>3050</v>
      </c>
      <c r="AO125" s="89" t="b">
        <v>0</v>
      </c>
      <c r="AP125" s="89">
        <v>367</v>
      </c>
      <c r="AQ125" s="89"/>
      <c r="AR125" s="89"/>
      <c r="AS125" s="89" t="s">
        <v>736</v>
      </c>
      <c r="AT125" s="95" t="str">
        <f>HYPERLINK("https://www.youtube.com/channel/UCCd0rkFRNPa06VAEmnEJTAg")</f>
        <v>https://www.youtube.com/channel/UCCd0rkFRNPa06VAEmnEJTAg</v>
      </c>
      <c r="AU125" s="89" t="str">
        <f>REPLACE(INDEX(GroupVertices[Group],MATCH(Vertices[[#This Row],[Vertex]],GroupVertices[Vertex],0)),1,1,"")</f>
        <v>8</v>
      </c>
      <c r="AV125" s="49"/>
      <c r="AW125" s="50"/>
      <c r="AX125" s="49"/>
      <c r="AY125" s="50"/>
      <c r="AZ125" s="49"/>
      <c r="BA125" s="50"/>
      <c r="BB125" s="49"/>
      <c r="BC125" s="50"/>
      <c r="BD125" s="49"/>
      <c r="BE125" s="49"/>
      <c r="BF125" s="49"/>
      <c r="BG125" s="49"/>
      <c r="BH125" s="49"/>
      <c r="BI125" s="49"/>
      <c r="BJ125" s="49"/>
      <c r="BK125" s="127" t="s">
        <v>666</v>
      </c>
      <c r="BL125" s="127" t="s">
        <v>666</v>
      </c>
      <c r="BM125" s="127" t="s">
        <v>666</v>
      </c>
      <c r="BN125" s="127" t="s">
        <v>666</v>
      </c>
      <c r="BO125" s="2"/>
      <c r="BP125" s="3"/>
      <c r="BQ125" s="3"/>
      <c r="BR125" s="3"/>
      <c r="BS125" s="3"/>
    </row>
    <row r="126" spans="1:71" ht="15">
      <c r="A126" s="65" t="s">
        <v>351</v>
      </c>
      <c r="B126" s="66"/>
      <c r="C126" s="66"/>
      <c r="D126" s="67">
        <v>271.42857142857144</v>
      </c>
      <c r="E126" s="69"/>
      <c r="F126" s="108" t="str">
        <f>HYPERLINK("https://yt3.ggpht.com/ytc/AAUvwngofDURN4l780t6CZBB9nrzjr-cwwOfqture_bo-w=s88-c-k-c0x00ffffff-no-rj")</f>
        <v>https://yt3.ggpht.com/ytc/AAUvwngofDURN4l780t6CZBB9nrzjr-cwwOfqture_bo-w=s88-c-k-c0x00ffffff-no-rj</v>
      </c>
      <c r="G126" s="66"/>
      <c r="H126" s="70" t="s">
        <v>684</v>
      </c>
      <c r="I126" s="71"/>
      <c r="J126" s="71" t="s">
        <v>159</v>
      </c>
      <c r="K126" s="70" t="s">
        <v>684</v>
      </c>
      <c r="L126" s="74">
        <v>167.63333333333333</v>
      </c>
      <c r="M126" s="75">
        <v>7186.11767578125</v>
      </c>
      <c r="N126" s="75">
        <v>1022.296630859375</v>
      </c>
      <c r="O126" s="76"/>
      <c r="P126" s="77"/>
      <c r="Q126" s="77"/>
      <c r="R126" s="101"/>
      <c r="S126" s="49">
        <v>1</v>
      </c>
      <c r="T126" s="49">
        <v>1</v>
      </c>
      <c r="U126" s="50">
        <v>0</v>
      </c>
      <c r="V126" s="50">
        <v>0</v>
      </c>
      <c r="W126" s="50">
        <v>0</v>
      </c>
      <c r="X126" s="50">
        <v>0.999996</v>
      </c>
      <c r="Y126" s="50">
        <v>0</v>
      </c>
      <c r="Z126" s="50">
        <v>0</v>
      </c>
      <c r="AA126" s="72">
        <v>126</v>
      </c>
      <c r="AB126" s="72"/>
      <c r="AC126" s="73"/>
      <c r="AD126" s="89" t="s">
        <v>684</v>
      </c>
      <c r="AE126" s="89" t="s">
        <v>726</v>
      </c>
      <c r="AF126" s="89"/>
      <c r="AG126" s="89"/>
      <c r="AH126" s="89"/>
      <c r="AI126" s="89"/>
      <c r="AJ126" s="98">
        <v>41010.86337962963</v>
      </c>
      <c r="AK126" s="95" t="str">
        <f>HYPERLINK("https://yt3.ggpht.com/ytc/AAUvwngofDURN4l780t6CZBB9nrzjr-cwwOfqture_bo-w=s88-c-k-c0x00ffffff-no-rj")</f>
        <v>https://yt3.ggpht.com/ytc/AAUvwngofDURN4l780t6CZBB9nrzjr-cwwOfqture_bo-w=s88-c-k-c0x00ffffff-no-rj</v>
      </c>
      <c r="AL126" s="89">
        <v>8915938</v>
      </c>
      <c r="AM126" s="89">
        <v>0</v>
      </c>
      <c r="AN126" s="89">
        <v>56500</v>
      </c>
      <c r="AO126" s="89" t="b">
        <v>0</v>
      </c>
      <c r="AP126" s="89">
        <v>6300</v>
      </c>
      <c r="AQ126" s="89"/>
      <c r="AR126" s="89"/>
      <c r="AS126" s="89" t="s">
        <v>736</v>
      </c>
      <c r="AT126" s="95" t="str">
        <f>HYPERLINK("https://www.youtube.com/channel/UCckWkzE1dVhYCtAVrs3sC0g")</f>
        <v>https://www.youtube.com/channel/UCckWkzE1dVhYCtAVrs3sC0g</v>
      </c>
      <c r="AU126" s="89" t="str">
        <f>REPLACE(INDEX(GroupVertices[Group],MATCH(Vertices[[#This Row],[Vertex]],GroupVertices[Vertex],0)),1,1,"")</f>
        <v>8</v>
      </c>
      <c r="AV126" s="49"/>
      <c r="AW126" s="50"/>
      <c r="AX126" s="49"/>
      <c r="AY126" s="50"/>
      <c r="AZ126" s="49"/>
      <c r="BA126" s="50"/>
      <c r="BB126" s="49"/>
      <c r="BC126" s="50"/>
      <c r="BD126" s="49"/>
      <c r="BE126" s="49"/>
      <c r="BF126" s="49"/>
      <c r="BG126" s="49"/>
      <c r="BH126" s="49"/>
      <c r="BI126" s="49"/>
      <c r="BJ126" s="49"/>
      <c r="BK126" s="127" t="s">
        <v>666</v>
      </c>
      <c r="BL126" s="127" t="s">
        <v>666</v>
      </c>
      <c r="BM126" s="127" t="s">
        <v>666</v>
      </c>
      <c r="BN126" s="127" t="s">
        <v>666</v>
      </c>
      <c r="BO126" s="2"/>
      <c r="BP126" s="3"/>
      <c r="BQ126" s="3"/>
      <c r="BR126" s="3"/>
      <c r="BS126" s="3"/>
    </row>
    <row r="127" spans="1:71" ht="15">
      <c r="A127" s="65" t="s">
        <v>349</v>
      </c>
      <c r="B127" s="66"/>
      <c r="C127" s="66"/>
      <c r="D127" s="67">
        <v>1000</v>
      </c>
      <c r="E127" s="69"/>
      <c r="F127" s="108" t="str">
        <f>HYPERLINK("https://yt3.ggpht.com/ytc/AAUvwnh1J3YmbofB6Ft63iBCJsPMhbnsTbCEVyG0BXKw0g=s88-c-k-c0x00ffffff-no-rj")</f>
        <v>https://yt3.ggpht.com/ytc/AAUvwnh1J3YmbofB6Ft63iBCJsPMhbnsTbCEVyG0BXKw0g=s88-c-k-c0x00ffffff-no-rj</v>
      </c>
      <c r="G127" s="66"/>
      <c r="H127" s="70" t="s">
        <v>680</v>
      </c>
      <c r="I127" s="71"/>
      <c r="J127" s="71" t="s">
        <v>75</v>
      </c>
      <c r="K127" s="70" t="s">
        <v>680</v>
      </c>
      <c r="L127" s="74">
        <v>1167.4333333333334</v>
      </c>
      <c r="M127" s="75">
        <v>5164.859375</v>
      </c>
      <c r="N127" s="75">
        <v>2038.252197265625</v>
      </c>
      <c r="O127" s="76"/>
      <c r="P127" s="77"/>
      <c r="Q127" s="77"/>
      <c r="R127" s="101"/>
      <c r="S127" s="49">
        <v>7</v>
      </c>
      <c r="T127" s="49">
        <v>1</v>
      </c>
      <c r="U127" s="50">
        <v>80</v>
      </c>
      <c r="V127" s="50">
        <v>0.071429</v>
      </c>
      <c r="W127" s="50">
        <v>0</v>
      </c>
      <c r="X127" s="50">
        <v>3.294043</v>
      </c>
      <c r="Y127" s="50">
        <v>0</v>
      </c>
      <c r="Z127" s="50">
        <v>0</v>
      </c>
      <c r="AA127" s="72">
        <v>127</v>
      </c>
      <c r="AB127" s="72"/>
      <c r="AC127" s="73"/>
      <c r="AD127" s="89" t="s">
        <v>680</v>
      </c>
      <c r="AE127" s="89" t="s">
        <v>686</v>
      </c>
      <c r="AF127" s="89"/>
      <c r="AG127" s="89"/>
      <c r="AH127" s="89"/>
      <c r="AI127" s="89" t="s">
        <v>729</v>
      </c>
      <c r="AJ127" s="98">
        <v>38650.63481481482</v>
      </c>
      <c r="AK127" s="95" t="str">
        <f>HYPERLINK("https://yt3.ggpht.com/ytc/AAUvwnh1J3YmbofB6Ft63iBCJsPMhbnsTbCEVyG0BXKw0g=s88-c-k-c0x00ffffff-no-rj")</f>
        <v>https://yt3.ggpht.com/ytc/AAUvwnh1J3YmbofB6Ft63iBCJsPMhbnsTbCEVyG0BXKw0g=s88-c-k-c0x00ffffff-no-rj</v>
      </c>
      <c r="AL127" s="89">
        <v>66599768</v>
      </c>
      <c r="AM127" s="89">
        <v>0</v>
      </c>
      <c r="AN127" s="89">
        <v>706000</v>
      </c>
      <c r="AO127" s="89" t="b">
        <v>0</v>
      </c>
      <c r="AP127" s="89">
        <v>2171</v>
      </c>
      <c r="AQ127" s="89"/>
      <c r="AR127" s="89"/>
      <c r="AS127" s="89" t="s">
        <v>736</v>
      </c>
      <c r="AT127" s="95" t="str">
        <f>HYPERLINK("https://www.youtube.com/channel/UC07-dOwgza1IguKA86jqxNA")</f>
        <v>https://www.youtube.com/channel/UC07-dOwgza1IguKA86jqxNA</v>
      </c>
      <c r="AU127" s="89" t="str">
        <f>REPLACE(INDEX(GroupVertices[Group],MATCH(Vertices[[#This Row],[Vertex]],GroupVertices[Vertex],0)),1,1,"")</f>
        <v>4</v>
      </c>
      <c r="AV127" s="49"/>
      <c r="AW127" s="50"/>
      <c r="AX127" s="49"/>
      <c r="AY127" s="50"/>
      <c r="AZ127" s="49"/>
      <c r="BA127" s="50"/>
      <c r="BB127" s="49"/>
      <c r="BC127" s="50"/>
      <c r="BD127" s="49"/>
      <c r="BE127" s="49"/>
      <c r="BF127" s="49"/>
      <c r="BG127" s="49"/>
      <c r="BH127" s="49"/>
      <c r="BI127" s="49"/>
      <c r="BJ127" s="49"/>
      <c r="BK127" s="127" t="s">
        <v>666</v>
      </c>
      <c r="BL127" s="127" t="s">
        <v>666</v>
      </c>
      <c r="BM127" s="127" t="s">
        <v>666</v>
      </c>
      <c r="BN127" s="127" t="s">
        <v>666</v>
      </c>
      <c r="BO127" s="2"/>
      <c r="BP127" s="3"/>
      <c r="BQ127" s="3"/>
      <c r="BR127" s="3"/>
      <c r="BS127" s="3"/>
    </row>
    <row r="128" spans="1:71" ht="15">
      <c r="A128" s="65" t="s">
        <v>318</v>
      </c>
      <c r="B128" s="66"/>
      <c r="C128" s="66"/>
      <c r="D128" s="67">
        <v>150</v>
      </c>
      <c r="E128" s="69"/>
      <c r="F128" s="108" t="str">
        <f>HYPERLINK("https://yt3.ggpht.com/ytc/AAUvwniKAQgIhUrWc8sVllKI7HIRXCJtff1-cH7-qBps=s88-c-k-c0x00ffffff-no-rj")</f>
        <v>https://yt3.ggpht.com/ytc/AAUvwniKAQgIhUrWc8sVllKI7HIRXCJtff1-cH7-qBps=s88-c-k-c0x00ffffff-no-rj</v>
      </c>
      <c r="G128" s="66"/>
      <c r="H128" s="70" t="s">
        <v>597</v>
      </c>
      <c r="I128" s="71"/>
      <c r="J128" s="71" t="s">
        <v>159</v>
      </c>
      <c r="K128" s="70" t="s">
        <v>597</v>
      </c>
      <c r="L128" s="74">
        <v>1</v>
      </c>
      <c r="M128" s="75">
        <v>117.82261657714844</v>
      </c>
      <c r="N128" s="75">
        <v>4375.4755859375</v>
      </c>
      <c r="O128" s="76"/>
      <c r="P128" s="77"/>
      <c r="Q128" s="77"/>
      <c r="R128" s="101"/>
      <c r="S128" s="49">
        <v>0</v>
      </c>
      <c r="T128" s="49">
        <v>1</v>
      </c>
      <c r="U128" s="50">
        <v>0</v>
      </c>
      <c r="V128" s="50">
        <v>0.004695</v>
      </c>
      <c r="W128" s="50">
        <v>0.011737</v>
      </c>
      <c r="X128" s="50">
        <v>0.473657</v>
      </c>
      <c r="Y128" s="50">
        <v>0</v>
      </c>
      <c r="Z128" s="50">
        <v>0</v>
      </c>
      <c r="AA128" s="72">
        <v>128</v>
      </c>
      <c r="AB128" s="72"/>
      <c r="AC128" s="73"/>
      <c r="AD128" s="89" t="s">
        <v>597</v>
      </c>
      <c r="AE128" s="89"/>
      <c r="AF128" s="89"/>
      <c r="AG128" s="89"/>
      <c r="AH128" s="89"/>
      <c r="AI128" s="89"/>
      <c r="AJ128" s="98">
        <v>40315.74806712963</v>
      </c>
      <c r="AK128" s="95" t="str">
        <f>HYPERLINK("https://yt3.ggpht.com/ytc/AAUvwniKAQgIhUrWc8sVllKI7HIRXCJtff1-cH7-qBps=s88-c-k-c0x00ffffff-no-rj")</f>
        <v>https://yt3.ggpht.com/ytc/AAUvwniKAQgIhUrWc8sVllKI7HIRXCJtff1-cH7-qBps=s88-c-k-c0x00ffffff-no-rj</v>
      </c>
      <c r="AL128" s="89">
        <v>0</v>
      </c>
      <c r="AM128" s="89">
        <v>0</v>
      </c>
      <c r="AN128" s="89">
        <v>0</v>
      </c>
      <c r="AO128" s="89" t="b">
        <v>0</v>
      </c>
      <c r="AP128" s="89">
        <v>0</v>
      </c>
      <c r="AQ128" s="89"/>
      <c r="AR128" s="89"/>
      <c r="AS128" s="89" t="s">
        <v>736</v>
      </c>
      <c r="AT128" s="95" t="str">
        <f>HYPERLINK("https://www.youtube.com/channel/UCMqj6PcNzNbrIBmmVl0yoag")</f>
        <v>https://www.youtube.com/channel/UCMqj6PcNzNbrIBmmVl0yoag</v>
      </c>
      <c r="AU128" s="89" t="str">
        <f>REPLACE(INDEX(GroupVertices[Group],MATCH(Vertices[[#This Row],[Vertex]],GroupVertices[Vertex],0)),1,1,"")</f>
        <v>1</v>
      </c>
      <c r="AV128" s="49">
        <v>2</v>
      </c>
      <c r="AW128" s="50">
        <v>50</v>
      </c>
      <c r="AX128" s="49">
        <v>0</v>
      </c>
      <c r="AY128" s="50">
        <v>0</v>
      </c>
      <c r="AZ128" s="49">
        <v>0</v>
      </c>
      <c r="BA128" s="50">
        <v>0</v>
      </c>
      <c r="BB128" s="49">
        <v>2</v>
      </c>
      <c r="BC128" s="50">
        <v>50</v>
      </c>
      <c r="BD128" s="49">
        <v>4</v>
      </c>
      <c r="BE128" s="49"/>
      <c r="BF128" s="49"/>
      <c r="BG128" s="49"/>
      <c r="BH128" s="49"/>
      <c r="BI128" s="49"/>
      <c r="BJ128" s="49"/>
      <c r="BK128" s="127" t="s">
        <v>1117</v>
      </c>
      <c r="BL128" s="127" t="s">
        <v>1117</v>
      </c>
      <c r="BM128" s="127" t="s">
        <v>1191</v>
      </c>
      <c r="BN128" s="127" t="s">
        <v>1191</v>
      </c>
      <c r="BO128" s="2"/>
      <c r="BP128" s="3"/>
      <c r="BQ128" s="3"/>
      <c r="BR128" s="3"/>
      <c r="BS128" s="3"/>
    </row>
    <row r="129" spans="1:71" ht="15">
      <c r="A129" s="65" t="s">
        <v>328</v>
      </c>
      <c r="B129" s="66"/>
      <c r="C129" s="66"/>
      <c r="D129" s="67">
        <v>150</v>
      </c>
      <c r="E129" s="69"/>
      <c r="F129" s="108" t="str">
        <f>HYPERLINK("https://yt3.ggpht.com/ytc/AAUvwngqjnRk5JE49mOCzuRoRjt9Q0aNGfTjV1uepqFodg=s88-c-k-c0x00ffffff-no-rj")</f>
        <v>https://yt3.ggpht.com/ytc/AAUvwngqjnRk5JE49mOCzuRoRjt9Q0aNGfTjV1uepqFodg=s88-c-k-c0x00ffffff-no-rj</v>
      </c>
      <c r="G129" s="66"/>
      <c r="H129" s="70" t="s">
        <v>607</v>
      </c>
      <c r="I129" s="71"/>
      <c r="J129" s="71" t="s">
        <v>159</v>
      </c>
      <c r="K129" s="70" t="s">
        <v>607</v>
      </c>
      <c r="L129" s="74">
        <v>1</v>
      </c>
      <c r="M129" s="75">
        <v>3261.0458984375</v>
      </c>
      <c r="N129" s="75">
        <v>4690.13671875</v>
      </c>
      <c r="O129" s="76"/>
      <c r="P129" s="77"/>
      <c r="Q129" s="77"/>
      <c r="R129" s="101"/>
      <c r="S129" s="49">
        <v>0</v>
      </c>
      <c r="T129" s="49">
        <v>1</v>
      </c>
      <c r="U129" s="50">
        <v>0</v>
      </c>
      <c r="V129" s="50">
        <v>0.004695</v>
      </c>
      <c r="W129" s="50">
        <v>0.011737</v>
      </c>
      <c r="X129" s="50">
        <v>0.473657</v>
      </c>
      <c r="Y129" s="50">
        <v>0</v>
      </c>
      <c r="Z129" s="50">
        <v>0</v>
      </c>
      <c r="AA129" s="72">
        <v>129</v>
      </c>
      <c r="AB129" s="72"/>
      <c r="AC129" s="73"/>
      <c r="AD129" s="89" t="s">
        <v>607</v>
      </c>
      <c r="AE129" s="89" t="s">
        <v>719</v>
      </c>
      <c r="AF129" s="89"/>
      <c r="AG129" s="89"/>
      <c r="AH129" s="89"/>
      <c r="AI129" s="89"/>
      <c r="AJ129" s="98">
        <v>42631.02197916667</v>
      </c>
      <c r="AK129" s="95" t="str">
        <f>HYPERLINK("https://yt3.ggpht.com/ytc/AAUvwngqjnRk5JE49mOCzuRoRjt9Q0aNGfTjV1uepqFodg=s88-c-k-c0x00ffffff-no-rj")</f>
        <v>https://yt3.ggpht.com/ytc/AAUvwngqjnRk5JE49mOCzuRoRjt9Q0aNGfTjV1uepqFodg=s88-c-k-c0x00ffffff-no-rj</v>
      </c>
      <c r="AL129" s="89">
        <v>7629</v>
      </c>
      <c r="AM129" s="89">
        <v>0</v>
      </c>
      <c r="AN129" s="89">
        <v>214</v>
      </c>
      <c r="AO129" s="89" t="b">
        <v>0</v>
      </c>
      <c r="AP129" s="89">
        <v>79</v>
      </c>
      <c r="AQ129" s="89"/>
      <c r="AR129" s="89"/>
      <c r="AS129" s="89" t="s">
        <v>736</v>
      </c>
      <c r="AT129" s="95" t="str">
        <f>HYPERLINK("https://www.youtube.com/channel/UCSFVipfASWh43ZpnFG3Alvg")</f>
        <v>https://www.youtube.com/channel/UCSFVipfASWh43ZpnFG3Alvg</v>
      </c>
      <c r="AU129" s="89" t="str">
        <f>REPLACE(INDEX(GroupVertices[Group],MATCH(Vertices[[#This Row],[Vertex]],GroupVertices[Vertex],0)),1,1,"")</f>
        <v>1</v>
      </c>
      <c r="AV129" s="49">
        <v>0</v>
      </c>
      <c r="AW129" s="50">
        <v>0</v>
      </c>
      <c r="AX129" s="49">
        <v>0</v>
      </c>
      <c r="AY129" s="50">
        <v>0</v>
      </c>
      <c r="AZ129" s="49">
        <v>0</v>
      </c>
      <c r="BA129" s="50">
        <v>0</v>
      </c>
      <c r="BB129" s="49">
        <v>10</v>
      </c>
      <c r="BC129" s="50">
        <v>100</v>
      </c>
      <c r="BD129" s="49">
        <v>10</v>
      </c>
      <c r="BE129" s="49"/>
      <c r="BF129" s="49"/>
      <c r="BG129" s="49"/>
      <c r="BH129" s="49"/>
      <c r="BI129" s="49"/>
      <c r="BJ129" s="49"/>
      <c r="BK129" s="127" t="s">
        <v>1118</v>
      </c>
      <c r="BL129" s="127" t="s">
        <v>1118</v>
      </c>
      <c r="BM129" s="127" t="s">
        <v>1192</v>
      </c>
      <c r="BN129" s="127" t="s">
        <v>1192</v>
      </c>
      <c r="BO129" s="2"/>
      <c r="BP129" s="3"/>
      <c r="BQ129" s="3"/>
      <c r="BR129" s="3"/>
      <c r="BS129" s="3"/>
    </row>
    <row r="130" spans="1:71" ht="15">
      <c r="A130" s="65" t="s">
        <v>290</v>
      </c>
      <c r="B130" s="66"/>
      <c r="C130" s="66"/>
      <c r="D130" s="67">
        <v>150</v>
      </c>
      <c r="E130" s="69"/>
      <c r="F130" s="108" t="str">
        <f>HYPERLINK("https://yt3.ggpht.com/q8AO5osNXrEqecJkUSeP_d50MR7o_HDu2YF8vTBsOHN_WXidpL82iZDHajsOkd4AbS0axyarOA=s88-c-k-c0x00ffffff-no-rj")</f>
        <v>https://yt3.ggpht.com/q8AO5osNXrEqecJkUSeP_d50MR7o_HDu2YF8vTBsOHN_WXidpL82iZDHajsOkd4AbS0axyarOA=s88-c-k-c0x00ffffff-no-rj</v>
      </c>
      <c r="G130" s="66"/>
      <c r="H130" s="70" t="s">
        <v>569</v>
      </c>
      <c r="I130" s="71"/>
      <c r="J130" s="71" t="s">
        <v>159</v>
      </c>
      <c r="K130" s="70" t="s">
        <v>569</v>
      </c>
      <c r="L130" s="74">
        <v>1</v>
      </c>
      <c r="M130" s="75">
        <v>4910.705078125</v>
      </c>
      <c r="N130" s="75">
        <v>4220.71533203125</v>
      </c>
      <c r="O130" s="76"/>
      <c r="P130" s="77"/>
      <c r="Q130" s="77"/>
      <c r="R130" s="101"/>
      <c r="S130" s="49">
        <v>0</v>
      </c>
      <c r="T130" s="49">
        <v>1</v>
      </c>
      <c r="U130" s="50">
        <v>0</v>
      </c>
      <c r="V130" s="50">
        <v>0.003937</v>
      </c>
      <c r="W130" s="50">
        <v>0.004527</v>
      </c>
      <c r="X130" s="50">
        <v>0.486308</v>
      </c>
      <c r="Y130" s="50">
        <v>0</v>
      </c>
      <c r="Z130" s="50">
        <v>0</v>
      </c>
      <c r="AA130" s="72">
        <v>130</v>
      </c>
      <c r="AB130" s="72"/>
      <c r="AC130" s="73"/>
      <c r="AD130" s="89" t="s">
        <v>569</v>
      </c>
      <c r="AE130" s="89"/>
      <c r="AF130" s="89"/>
      <c r="AG130" s="89"/>
      <c r="AH130" s="89"/>
      <c r="AI130" s="89"/>
      <c r="AJ130" s="98">
        <v>43439.54105324074</v>
      </c>
      <c r="AK130" s="95" t="str">
        <f>HYPERLINK("https://yt3.ggpht.com/q8AO5osNXrEqecJkUSeP_d50MR7o_HDu2YF8vTBsOHN_WXidpL82iZDHajsOkd4AbS0axyarOA=s88-c-k-c0x00ffffff-no-rj")</f>
        <v>https://yt3.ggpht.com/q8AO5osNXrEqecJkUSeP_d50MR7o_HDu2YF8vTBsOHN_WXidpL82iZDHajsOkd4AbS0axyarOA=s88-c-k-c0x00ffffff-no-rj</v>
      </c>
      <c r="AL130" s="89">
        <v>622</v>
      </c>
      <c r="AM130" s="89">
        <v>0</v>
      </c>
      <c r="AN130" s="89">
        <v>30</v>
      </c>
      <c r="AO130" s="89" t="b">
        <v>0</v>
      </c>
      <c r="AP130" s="89">
        <v>25</v>
      </c>
      <c r="AQ130" s="89"/>
      <c r="AR130" s="89"/>
      <c r="AS130" s="89" t="s">
        <v>736</v>
      </c>
      <c r="AT130" s="95" t="str">
        <f>HYPERLINK("https://www.youtube.com/channel/UCzoCYX25FsK-ndwsTo_rNlw")</f>
        <v>https://www.youtube.com/channel/UCzoCYX25FsK-ndwsTo_rNlw</v>
      </c>
      <c r="AU130" s="89" t="str">
        <f>REPLACE(INDEX(GroupVertices[Group],MATCH(Vertices[[#This Row],[Vertex]],GroupVertices[Vertex],0)),1,1,"")</f>
        <v>2</v>
      </c>
      <c r="AV130" s="49">
        <v>0</v>
      </c>
      <c r="AW130" s="50">
        <v>0</v>
      </c>
      <c r="AX130" s="49">
        <v>0</v>
      </c>
      <c r="AY130" s="50">
        <v>0</v>
      </c>
      <c r="AZ130" s="49">
        <v>0</v>
      </c>
      <c r="BA130" s="50">
        <v>0</v>
      </c>
      <c r="BB130" s="49">
        <v>1</v>
      </c>
      <c r="BC130" s="50">
        <v>100</v>
      </c>
      <c r="BD130" s="49">
        <v>1</v>
      </c>
      <c r="BE130" s="49"/>
      <c r="BF130" s="49"/>
      <c r="BG130" s="49"/>
      <c r="BH130" s="49"/>
      <c r="BI130" s="49"/>
      <c r="BJ130" s="49"/>
      <c r="BK130" s="127" t="s">
        <v>666</v>
      </c>
      <c r="BL130" s="127" t="s">
        <v>666</v>
      </c>
      <c r="BM130" s="127" t="s">
        <v>666</v>
      </c>
      <c r="BN130" s="127" t="s">
        <v>666</v>
      </c>
      <c r="BO130" s="2"/>
      <c r="BP130" s="3"/>
      <c r="BQ130" s="3"/>
      <c r="BR130" s="3"/>
      <c r="BS130" s="3"/>
    </row>
    <row r="131" spans="1:71" ht="15">
      <c r="A131" s="65" t="s">
        <v>310</v>
      </c>
      <c r="B131" s="81"/>
      <c r="C131" s="81"/>
      <c r="D131" s="82">
        <v>150</v>
      </c>
      <c r="E131" s="84"/>
      <c r="F131" s="109" t="str">
        <f>HYPERLINK("https://yt3.ggpht.com/ytc/AAUvwng7uWKqcxN_q9dlMHNxK1ooPbFHeEZocLO1-beR6g=s88-c-k-c0x00ffffff-no-rj")</f>
        <v>https://yt3.ggpht.com/ytc/AAUvwng7uWKqcxN_q9dlMHNxK1ooPbFHeEZocLO1-beR6g=s88-c-k-c0x00ffffff-no-rj</v>
      </c>
      <c r="G131" s="81"/>
      <c r="H131" s="85" t="s">
        <v>589</v>
      </c>
      <c r="I131" s="86"/>
      <c r="J131" s="86" t="s">
        <v>159</v>
      </c>
      <c r="K131" s="85" t="s">
        <v>589</v>
      </c>
      <c r="L131" s="102">
        <v>1</v>
      </c>
      <c r="M131" s="103">
        <v>412.52044677734375</v>
      </c>
      <c r="N131" s="103">
        <v>4891.16552734375</v>
      </c>
      <c r="O131" s="104"/>
      <c r="P131" s="105"/>
      <c r="Q131" s="105"/>
      <c r="R131" s="106"/>
      <c r="S131" s="49">
        <v>0</v>
      </c>
      <c r="T131" s="49">
        <v>1</v>
      </c>
      <c r="U131" s="50">
        <v>0</v>
      </c>
      <c r="V131" s="50">
        <v>0.004695</v>
      </c>
      <c r="W131" s="50">
        <v>0.011737</v>
      </c>
      <c r="X131" s="50">
        <v>0.473657</v>
      </c>
      <c r="Y131" s="50">
        <v>0</v>
      </c>
      <c r="Z131" s="50">
        <v>0</v>
      </c>
      <c r="AA131" s="107">
        <v>131</v>
      </c>
      <c r="AB131" s="107"/>
      <c r="AC131" s="73"/>
      <c r="AD131" s="89" t="s">
        <v>589</v>
      </c>
      <c r="AE131" s="89"/>
      <c r="AF131" s="89"/>
      <c r="AG131" s="89"/>
      <c r="AH131" s="89"/>
      <c r="AI131" s="89"/>
      <c r="AJ131" s="98">
        <v>42607.507314814815</v>
      </c>
      <c r="AK131" s="95" t="str">
        <f>HYPERLINK("https://yt3.ggpht.com/ytc/AAUvwng7uWKqcxN_q9dlMHNxK1ooPbFHeEZocLO1-beR6g=s88-c-k-c0x00ffffff-no-rj")</f>
        <v>https://yt3.ggpht.com/ytc/AAUvwng7uWKqcxN_q9dlMHNxK1ooPbFHeEZocLO1-beR6g=s88-c-k-c0x00ffffff-no-rj</v>
      </c>
      <c r="AL131" s="89">
        <v>0</v>
      </c>
      <c r="AM131" s="89">
        <v>0</v>
      </c>
      <c r="AN131" s="89">
        <v>7</v>
      </c>
      <c r="AO131" s="89" t="b">
        <v>0</v>
      </c>
      <c r="AP131" s="89">
        <v>0</v>
      </c>
      <c r="AQ131" s="89"/>
      <c r="AR131" s="89"/>
      <c r="AS131" s="89" t="s">
        <v>736</v>
      </c>
      <c r="AT131" s="95" t="str">
        <f>HYPERLINK("https://www.youtube.com/channel/UCnkFrB1A-54rSDf1RYW_lnw")</f>
        <v>https://www.youtube.com/channel/UCnkFrB1A-54rSDf1RYW_lnw</v>
      </c>
      <c r="AU131" s="89" t="str">
        <f>REPLACE(INDEX(GroupVertices[Group],MATCH(Vertices[[#This Row],[Vertex]],GroupVertices[Vertex],0)),1,1,"")</f>
        <v>1</v>
      </c>
      <c r="AV131" s="49">
        <v>0</v>
      </c>
      <c r="AW131" s="50">
        <v>0</v>
      </c>
      <c r="AX131" s="49">
        <v>0</v>
      </c>
      <c r="AY131" s="50">
        <v>0</v>
      </c>
      <c r="AZ131" s="49">
        <v>0</v>
      </c>
      <c r="BA131" s="50">
        <v>0</v>
      </c>
      <c r="BB131" s="49">
        <v>3</v>
      </c>
      <c r="BC131" s="50">
        <v>100</v>
      </c>
      <c r="BD131" s="49">
        <v>3</v>
      </c>
      <c r="BE131" s="49"/>
      <c r="BF131" s="49"/>
      <c r="BG131" s="49"/>
      <c r="BH131" s="49"/>
      <c r="BI131" s="49"/>
      <c r="BJ131" s="49"/>
      <c r="BK131" s="127" t="s">
        <v>1119</v>
      </c>
      <c r="BL131" s="127" t="s">
        <v>1119</v>
      </c>
      <c r="BM131" s="127" t="s">
        <v>666</v>
      </c>
      <c r="BN131" s="127" t="s">
        <v>666</v>
      </c>
      <c r="BO131" s="2"/>
      <c r="BP131" s="3"/>
      <c r="BQ131" s="3"/>
      <c r="BR131" s="3"/>
      <c r="BS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888</v>
      </c>
      <c r="Z2" s="54" t="s">
        <v>889</v>
      </c>
      <c r="AA2" s="54" t="s">
        <v>890</v>
      </c>
      <c r="AB2" s="54" t="s">
        <v>891</v>
      </c>
      <c r="AC2" s="54" t="s">
        <v>892</v>
      </c>
      <c r="AD2" s="54" t="s">
        <v>893</v>
      </c>
      <c r="AE2" s="54" t="s">
        <v>894</v>
      </c>
      <c r="AF2" s="54" t="s">
        <v>895</v>
      </c>
      <c r="AG2" s="54" t="s">
        <v>898</v>
      </c>
      <c r="AH2" s="13" t="s">
        <v>960</v>
      </c>
      <c r="AI2" s="13" t="s">
        <v>974</v>
      </c>
      <c r="AJ2" s="13" t="s">
        <v>987</v>
      </c>
      <c r="AK2" s="13" t="s">
        <v>999</v>
      </c>
      <c r="AL2" s="13" t="s">
        <v>1034</v>
      </c>
    </row>
    <row r="3" spans="1:38" ht="15">
      <c r="A3" s="65" t="s">
        <v>739</v>
      </c>
      <c r="B3" s="66" t="s">
        <v>750</v>
      </c>
      <c r="C3" s="66" t="s">
        <v>56</v>
      </c>
      <c r="D3" s="122"/>
      <c r="E3" s="14"/>
      <c r="F3" s="15" t="s">
        <v>1222</v>
      </c>
      <c r="G3" s="64"/>
      <c r="H3" s="64"/>
      <c r="I3" s="123">
        <v>3</v>
      </c>
      <c r="J3" s="51"/>
      <c r="K3" s="49">
        <v>49</v>
      </c>
      <c r="L3" s="49">
        <v>52</v>
      </c>
      <c r="M3" s="49">
        <v>12</v>
      </c>
      <c r="N3" s="49">
        <v>64</v>
      </c>
      <c r="O3" s="49">
        <v>3</v>
      </c>
      <c r="P3" s="50">
        <v>0</v>
      </c>
      <c r="Q3" s="50">
        <v>0</v>
      </c>
      <c r="R3" s="49">
        <v>1</v>
      </c>
      <c r="S3" s="49">
        <v>0</v>
      </c>
      <c r="T3" s="49">
        <v>49</v>
      </c>
      <c r="U3" s="49">
        <v>64</v>
      </c>
      <c r="V3" s="49">
        <v>4</v>
      </c>
      <c r="W3" s="50">
        <v>2.018326</v>
      </c>
      <c r="X3" s="50">
        <v>0.0233843537414966</v>
      </c>
      <c r="Y3" s="49">
        <v>48</v>
      </c>
      <c r="Z3" s="50">
        <v>4.619826756496631</v>
      </c>
      <c r="AA3" s="49">
        <v>27</v>
      </c>
      <c r="AB3" s="50">
        <v>2.598652550529355</v>
      </c>
      <c r="AC3" s="49">
        <v>0</v>
      </c>
      <c r="AD3" s="50">
        <v>0</v>
      </c>
      <c r="AE3" s="49">
        <v>964</v>
      </c>
      <c r="AF3" s="50">
        <v>92.78152069297401</v>
      </c>
      <c r="AG3" s="49">
        <v>1039</v>
      </c>
      <c r="AH3" s="89" t="s">
        <v>961</v>
      </c>
      <c r="AI3" s="89" t="s">
        <v>975</v>
      </c>
      <c r="AJ3" s="89"/>
      <c r="AK3" s="93" t="s">
        <v>1000</v>
      </c>
      <c r="AL3" s="93" t="s">
        <v>1035</v>
      </c>
    </row>
    <row r="4" spans="1:38" ht="15">
      <c r="A4" s="65" t="s">
        <v>740</v>
      </c>
      <c r="B4" s="66" t="s">
        <v>751</v>
      </c>
      <c r="C4" s="66" t="s">
        <v>56</v>
      </c>
      <c r="D4" s="122"/>
      <c r="E4" s="14"/>
      <c r="F4" s="15" t="s">
        <v>1223</v>
      </c>
      <c r="G4" s="64"/>
      <c r="H4" s="64"/>
      <c r="I4" s="123">
        <v>4</v>
      </c>
      <c r="J4" s="78"/>
      <c r="K4" s="49">
        <v>25</v>
      </c>
      <c r="L4" s="49">
        <v>22</v>
      </c>
      <c r="M4" s="49">
        <v>8</v>
      </c>
      <c r="N4" s="49">
        <v>30</v>
      </c>
      <c r="O4" s="49">
        <v>4</v>
      </c>
      <c r="P4" s="50">
        <v>0</v>
      </c>
      <c r="Q4" s="50">
        <v>0</v>
      </c>
      <c r="R4" s="49">
        <v>1</v>
      </c>
      <c r="S4" s="49">
        <v>0</v>
      </c>
      <c r="T4" s="49">
        <v>25</v>
      </c>
      <c r="U4" s="49">
        <v>30</v>
      </c>
      <c r="V4" s="49">
        <v>2</v>
      </c>
      <c r="W4" s="50">
        <v>1.8432</v>
      </c>
      <c r="X4" s="50">
        <v>0.04</v>
      </c>
      <c r="Y4" s="49">
        <v>4</v>
      </c>
      <c r="Z4" s="50">
        <v>3.6363636363636362</v>
      </c>
      <c r="AA4" s="49">
        <v>2</v>
      </c>
      <c r="AB4" s="50">
        <v>1.8181818181818181</v>
      </c>
      <c r="AC4" s="49">
        <v>0</v>
      </c>
      <c r="AD4" s="50">
        <v>0</v>
      </c>
      <c r="AE4" s="49">
        <v>104</v>
      </c>
      <c r="AF4" s="50">
        <v>94.54545454545455</v>
      </c>
      <c r="AG4" s="49">
        <v>110</v>
      </c>
      <c r="AH4" s="89"/>
      <c r="AI4" s="89"/>
      <c r="AJ4" s="89"/>
      <c r="AK4" s="93" t="s">
        <v>1001</v>
      </c>
      <c r="AL4" s="93" t="s">
        <v>1022</v>
      </c>
    </row>
    <row r="5" spans="1:38" ht="15">
      <c r="A5" s="65" t="s">
        <v>741</v>
      </c>
      <c r="B5" s="66" t="s">
        <v>752</v>
      </c>
      <c r="C5" s="66" t="s">
        <v>56</v>
      </c>
      <c r="D5" s="122"/>
      <c r="E5" s="14"/>
      <c r="F5" s="15" t="s">
        <v>1224</v>
      </c>
      <c r="G5" s="64"/>
      <c r="H5" s="64"/>
      <c r="I5" s="123">
        <v>5</v>
      </c>
      <c r="J5" s="78"/>
      <c r="K5" s="49">
        <v>23</v>
      </c>
      <c r="L5" s="49">
        <v>22</v>
      </c>
      <c r="M5" s="49">
        <v>2</v>
      </c>
      <c r="N5" s="49">
        <v>24</v>
      </c>
      <c r="O5" s="49">
        <v>2</v>
      </c>
      <c r="P5" s="50">
        <v>0</v>
      </c>
      <c r="Q5" s="50">
        <v>0</v>
      </c>
      <c r="R5" s="49">
        <v>1</v>
      </c>
      <c r="S5" s="49">
        <v>0</v>
      </c>
      <c r="T5" s="49">
        <v>23</v>
      </c>
      <c r="U5" s="49">
        <v>24</v>
      </c>
      <c r="V5" s="49">
        <v>3</v>
      </c>
      <c r="W5" s="50">
        <v>1.905482</v>
      </c>
      <c r="X5" s="50">
        <v>0.043478260869565216</v>
      </c>
      <c r="Y5" s="49">
        <v>19</v>
      </c>
      <c r="Z5" s="50">
        <v>16.379310344827587</v>
      </c>
      <c r="AA5" s="49">
        <v>2</v>
      </c>
      <c r="AB5" s="50">
        <v>1.7241379310344827</v>
      </c>
      <c r="AC5" s="49">
        <v>0</v>
      </c>
      <c r="AD5" s="50">
        <v>0</v>
      </c>
      <c r="AE5" s="49">
        <v>95</v>
      </c>
      <c r="AF5" s="50">
        <v>81.89655172413794</v>
      </c>
      <c r="AG5" s="49">
        <v>116</v>
      </c>
      <c r="AH5" s="89"/>
      <c r="AI5" s="89"/>
      <c r="AJ5" s="89"/>
      <c r="AK5" s="93" t="s">
        <v>1002</v>
      </c>
      <c r="AL5" s="93" t="s">
        <v>1024</v>
      </c>
    </row>
    <row r="6" spans="1:38" ht="15">
      <c r="A6" s="65" t="s">
        <v>742</v>
      </c>
      <c r="B6" s="66" t="s">
        <v>753</v>
      </c>
      <c r="C6" s="66" t="s">
        <v>56</v>
      </c>
      <c r="D6" s="122"/>
      <c r="E6" s="14"/>
      <c r="F6" s="15" t="s">
        <v>1225</v>
      </c>
      <c r="G6" s="64"/>
      <c r="H6" s="64"/>
      <c r="I6" s="123">
        <v>6</v>
      </c>
      <c r="J6" s="78"/>
      <c r="K6" s="49">
        <v>11</v>
      </c>
      <c r="L6" s="49">
        <v>10</v>
      </c>
      <c r="M6" s="49">
        <v>2</v>
      </c>
      <c r="N6" s="49">
        <v>12</v>
      </c>
      <c r="O6" s="49">
        <v>1</v>
      </c>
      <c r="P6" s="50">
        <v>0</v>
      </c>
      <c r="Q6" s="50">
        <v>0</v>
      </c>
      <c r="R6" s="49">
        <v>1</v>
      </c>
      <c r="S6" s="49">
        <v>0</v>
      </c>
      <c r="T6" s="49">
        <v>11</v>
      </c>
      <c r="U6" s="49">
        <v>12</v>
      </c>
      <c r="V6" s="49">
        <v>4</v>
      </c>
      <c r="W6" s="50">
        <v>2.14876</v>
      </c>
      <c r="X6" s="50">
        <v>0.09090909090909091</v>
      </c>
      <c r="Y6" s="49">
        <v>3</v>
      </c>
      <c r="Z6" s="50">
        <v>5.555555555555555</v>
      </c>
      <c r="AA6" s="49">
        <v>1</v>
      </c>
      <c r="AB6" s="50">
        <v>1.8518518518518519</v>
      </c>
      <c r="AC6" s="49">
        <v>0</v>
      </c>
      <c r="AD6" s="50">
        <v>0</v>
      </c>
      <c r="AE6" s="49">
        <v>50</v>
      </c>
      <c r="AF6" s="50">
        <v>92.5925925925926</v>
      </c>
      <c r="AG6" s="49">
        <v>54</v>
      </c>
      <c r="AH6" s="89"/>
      <c r="AI6" s="89"/>
      <c r="AJ6" s="89"/>
      <c r="AK6" s="93" t="s">
        <v>1003</v>
      </c>
      <c r="AL6" s="93" t="s">
        <v>1026</v>
      </c>
    </row>
    <row r="7" spans="1:38" ht="15">
      <c r="A7" s="65" t="s">
        <v>743</v>
      </c>
      <c r="B7" s="66" t="s">
        <v>754</v>
      </c>
      <c r="C7" s="66" t="s">
        <v>56</v>
      </c>
      <c r="D7" s="122"/>
      <c r="E7" s="14"/>
      <c r="F7" s="15" t="s">
        <v>1226</v>
      </c>
      <c r="G7" s="64"/>
      <c r="H7" s="64"/>
      <c r="I7" s="123">
        <v>7</v>
      </c>
      <c r="J7" s="78"/>
      <c r="K7" s="49">
        <v>6</v>
      </c>
      <c r="L7" s="49">
        <v>5</v>
      </c>
      <c r="M7" s="49">
        <v>2</v>
      </c>
      <c r="N7" s="49">
        <v>7</v>
      </c>
      <c r="O7" s="49">
        <v>1</v>
      </c>
      <c r="P7" s="50">
        <v>0</v>
      </c>
      <c r="Q7" s="50">
        <v>0</v>
      </c>
      <c r="R7" s="49">
        <v>1</v>
      </c>
      <c r="S7" s="49">
        <v>0</v>
      </c>
      <c r="T7" s="49">
        <v>6</v>
      </c>
      <c r="U7" s="49">
        <v>7</v>
      </c>
      <c r="V7" s="49">
        <v>3</v>
      </c>
      <c r="W7" s="50">
        <v>1.555556</v>
      </c>
      <c r="X7" s="50">
        <v>0.16666666666666666</v>
      </c>
      <c r="Y7" s="49">
        <v>0</v>
      </c>
      <c r="Z7" s="50">
        <v>0</v>
      </c>
      <c r="AA7" s="49">
        <v>1</v>
      </c>
      <c r="AB7" s="50">
        <v>1.3333333333333333</v>
      </c>
      <c r="AC7" s="49">
        <v>0</v>
      </c>
      <c r="AD7" s="50">
        <v>0</v>
      </c>
      <c r="AE7" s="49">
        <v>74</v>
      </c>
      <c r="AF7" s="50">
        <v>98.66666666666667</v>
      </c>
      <c r="AG7" s="49">
        <v>75</v>
      </c>
      <c r="AH7" s="89" t="s">
        <v>936</v>
      </c>
      <c r="AI7" s="89" t="s">
        <v>665</v>
      </c>
      <c r="AJ7" s="89"/>
      <c r="AK7" s="93" t="s">
        <v>1004</v>
      </c>
      <c r="AL7" s="93" t="s">
        <v>1036</v>
      </c>
    </row>
    <row r="8" spans="1:38" ht="15">
      <c r="A8" s="65" t="s">
        <v>744</v>
      </c>
      <c r="B8" s="66" t="s">
        <v>755</v>
      </c>
      <c r="C8" s="66" t="s">
        <v>56</v>
      </c>
      <c r="D8" s="122"/>
      <c r="E8" s="14"/>
      <c r="F8" s="15" t="s">
        <v>1227</v>
      </c>
      <c r="G8" s="64"/>
      <c r="H8" s="64"/>
      <c r="I8" s="123">
        <v>8</v>
      </c>
      <c r="J8" s="78"/>
      <c r="K8" s="49">
        <v>3</v>
      </c>
      <c r="L8" s="49">
        <v>2</v>
      </c>
      <c r="M8" s="49">
        <v>0</v>
      </c>
      <c r="N8" s="49">
        <v>2</v>
      </c>
      <c r="O8" s="49">
        <v>0</v>
      </c>
      <c r="P8" s="50">
        <v>0</v>
      </c>
      <c r="Q8" s="50">
        <v>0</v>
      </c>
      <c r="R8" s="49">
        <v>1</v>
      </c>
      <c r="S8" s="49">
        <v>0</v>
      </c>
      <c r="T8" s="49">
        <v>3</v>
      </c>
      <c r="U8" s="49">
        <v>2</v>
      </c>
      <c r="V8" s="49">
        <v>2</v>
      </c>
      <c r="W8" s="50">
        <v>0.888889</v>
      </c>
      <c r="X8" s="50">
        <v>0.3333333333333333</v>
      </c>
      <c r="Y8" s="49">
        <v>8</v>
      </c>
      <c r="Z8" s="50">
        <v>6.837606837606837</v>
      </c>
      <c r="AA8" s="49">
        <v>2</v>
      </c>
      <c r="AB8" s="50">
        <v>1.7094017094017093</v>
      </c>
      <c r="AC8" s="49">
        <v>0</v>
      </c>
      <c r="AD8" s="50">
        <v>0</v>
      </c>
      <c r="AE8" s="49">
        <v>107</v>
      </c>
      <c r="AF8" s="50">
        <v>91.45299145299145</v>
      </c>
      <c r="AG8" s="49">
        <v>117</v>
      </c>
      <c r="AH8" s="89" t="s">
        <v>934</v>
      </c>
      <c r="AI8" s="89" t="s">
        <v>963</v>
      </c>
      <c r="AJ8" s="89"/>
      <c r="AK8" s="93" t="s">
        <v>1005</v>
      </c>
      <c r="AL8" s="93" t="s">
        <v>1037</v>
      </c>
    </row>
    <row r="9" spans="1:38" ht="15">
      <c r="A9" s="65" t="s">
        <v>745</v>
      </c>
      <c r="B9" s="66" t="s">
        <v>756</v>
      </c>
      <c r="C9" s="66" t="s">
        <v>56</v>
      </c>
      <c r="D9" s="122"/>
      <c r="E9" s="14"/>
      <c r="F9" s="15" t="s">
        <v>745</v>
      </c>
      <c r="G9" s="64"/>
      <c r="H9" s="64"/>
      <c r="I9" s="123">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5</v>
      </c>
      <c r="AF9" s="50">
        <v>100</v>
      </c>
      <c r="AG9" s="49">
        <v>5</v>
      </c>
      <c r="AH9" s="89"/>
      <c r="AI9" s="89"/>
      <c r="AJ9" s="89"/>
      <c r="AK9" s="93" t="s">
        <v>666</v>
      </c>
      <c r="AL9" s="93" t="s">
        <v>666</v>
      </c>
    </row>
    <row r="10" spans="1:38" ht="14.25" customHeight="1">
      <c r="A10" s="65" t="s">
        <v>746</v>
      </c>
      <c r="B10" s="66" t="s">
        <v>757</v>
      </c>
      <c r="C10" s="66" t="s">
        <v>56</v>
      </c>
      <c r="D10" s="122"/>
      <c r="E10" s="14"/>
      <c r="F10" s="15" t="s">
        <v>746</v>
      </c>
      <c r="G10" s="64"/>
      <c r="H10" s="64"/>
      <c r="I10" s="123">
        <v>10</v>
      </c>
      <c r="J10" s="78"/>
      <c r="K10" s="49">
        <v>3</v>
      </c>
      <c r="L10" s="49">
        <v>3</v>
      </c>
      <c r="M10" s="49">
        <v>0</v>
      </c>
      <c r="N10" s="49">
        <v>3</v>
      </c>
      <c r="O10" s="49">
        <v>3</v>
      </c>
      <c r="P10" s="50" t="s">
        <v>764</v>
      </c>
      <c r="Q10" s="50" t="s">
        <v>764</v>
      </c>
      <c r="R10" s="49">
        <v>3</v>
      </c>
      <c r="S10" s="49">
        <v>3</v>
      </c>
      <c r="T10" s="49">
        <v>1</v>
      </c>
      <c r="U10" s="49">
        <v>1</v>
      </c>
      <c r="V10" s="49">
        <v>0</v>
      </c>
      <c r="W10" s="50">
        <v>0</v>
      </c>
      <c r="X10" s="50">
        <v>0</v>
      </c>
      <c r="Y10" s="49">
        <v>0</v>
      </c>
      <c r="Z10" s="50">
        <v>0</v>
      </c>
      <c r="AA10" s="49">
        <v>0</v>
      </c>
      <c r="AB10" s="50">
        <v>0</v>
      </c>
      <c r="AC10" s="49">
        <v>0</v>
      </c>
      <c r="AD10" s="50">
        <v>0</v>
      </c>
      <c r="AE10" s="49">
        <v>0</v>
      </c>
      <c r="AF10" s="50">
        <v>0</v>
      </c>
      <c r="AG10" s="49">
        <v>0</v>
      </c>
      <c r="AH10" s="89"/>
      <c r="AI10" s="89"/>
      <c r="AJ10" s="89"/>
      <c r="AK10" s="93" t="s">
        <v>666</v>
      </c>
      <c r="AL10" s="93" t="s">
        <v>666</v>
      </c>
    </row>
    <row r="11" spans="1:38" ht="15">
      <c r="A11" s="65" t="s">
        <v>747</v>
      </c>
      <c r="B11" s="66" t="s">
        <v>758</v>
      </c>
      <c r="C11" s="66" t="s">
        <v>56</v>
      </c>
      <c r="D11" s="122"/>
      <c r="E11" s="14"/>
      <c r="F11" s="15" t="s">
        <v>747</v>
      </c>
      <c r="G11" s="64"/>
      <c r="H11" s="64"/>
      <c r="I11" s="123">
        <v>11</v>
      </c>
      <c r="J11" s="78"/>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8</v>
      </c>
      <c r="AF11" s="50">
        <v>100</v>
      </c>
      <c r="AG11" s="49">
        <v>8</v>
      </c>
      <c r="AH11" s="89"/>
      <c r="AI11" s="89"/>
      <c r="AJ11" s="89"/>
      <c r="AK11" s="93" t="s">
        <v>666</v>
      </c>
      <c r="AL11" s="93" t="s">
        <v>666</v>
      </c>
    </row>
    <row r="12" spans="1:38" ht="15">
      <c r="A12" s="65" t="s">
        <v>748</v>
      </c>
      <c r="B12" s="66" t="s">
        <v>759</v>
      </c>
      <c r="C12" s="66" t="s">
        <v>56</v>
      </c>
      <c r="D12" s="122"/>
      <c r="E12" s="14"/>
      <c r="F12" s="15" t="s">
        <v>1228</v>
      </c>
      <c r="G12" s="64"/>
      <c r="H12" s="64"/>
      <c r="I12" s="123">
        <v>12</v>
      </c>
      <c r="J12" s="78"/>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15</v>
      </c>
      <c r="AF12" s="50">
        <v>100</v>
      </c>
      <c r="AG12" s="49">
        <v>15</v>
      </c>
      <c r="AH12" s="89"/>
      <c r="AI12" s="89"/>
      <c r="AJ12" s="89"/>
      <c r="AK12" s="93" t="s">
        <v>784</v>
      </c>
      <c r="AL12" s="93" t="s">
        <v>666</v>
      </c>
    </row>
    <row r="13" spans="1:38" ht="15">
      <c r="A13" s="65" t="s">
        <v>749</v>
      </c>
      <c r="B13" s="66" t="s">
        <v>760</v>
      </c>
      <c r="C13" s="66" t="s">
        <v>56</v>
      </c>
      <c r="D13" s="122"/>
      <c r="E13" s="14"/>
      <c r="F13" s="15" t="s">
        <v>749</v>
      </c>
      <c r="G13" s="64"/>
      <c r="H13" s="64"/>
      <c r="I13" s="123">
        <v>13</v>
      </c>
      <c r="J13" s="78"/>
      <c r="K13" s="49">
        <v>2</v>
      </c>
      <c r="L13" s="49">
        <v>1</v>
      </c>
      <c r="M13" s="49">
        <v>0</v>
      </c>
      <c r="N13" s="49">
        <v>1</v>
      </c>
      <c r="O13" s="49">
        <v>0</v>
      </c>
      <c r="P13" s="50">
        <v>0</v>
      </c>
      <c r="Q13" s="50">
        <v>0</v>
      </c>
      <c r="R13" s="49">
        <v>1</v>
      </c>
      <c r="S13" s="49">
        <v>0</v>
      </c>
      <c r="T13" s="49">
        <v>2</v>
      </c>
      <c r="U13" s="49">
        <v>1</v>
      </c>
      <c r="V13" s="49">
        <v>1</v>
      </c>
      <c r="W13" s="50">
        <v>0.5</v>
      </c>
      <c r="X13" s="50">
        <v>0.5</v>
      </c>
      <c r="Y13" s="49">
        <v>1</v>
      </c>
      <c r="Z13" s="50">
        <v>12.5</v>
      </c>
      <c r="AA13" s="49">
        <v>0</v>
      </c>
      <c r="AB13" s="50">
        <v>0</v>
      </c>
      <c r="AC13" s="49">
        <v>0</v>
      </c>
      <c r="AD13" s="50">
        <v>0</v>
      </c>
      <c r="AE13" s="49">
        <v>7</v>
      </c>
      <c r="AF13" s="50">
        <v>87.5</v>
      </c>
      <c r="AG13" s="49">
        <v>8</v>
      </c>
      <c r="AH13" s="89"/>
      <c r="AI13" s="89"/>
      <c r="AJ13" s="89"/>
      <c r="AK13" s="93" t="s">
        <v>666</v>
      </c>
      <c r="AL13" s="93" t="s">
        <v>666</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739</v>
      </c>
      <c r="B2" s="93" t="s">
        <v>347</v>
      </c>
      <c r="C2" s="89">
        <f>VLOOKUP(GroupVertices[[#This Row],[Vertex]],Vertices[],MATCH("ID",Vertices[[#Headers],[Vertex]:[Top Word Pairs in Comment by Salience]],0),FALSE)</f>
        <v>108</v>
      </c>
    </row>
    <row r="3" spans="1:3" ht="15">
      <c r="A3" s="90" t="s">
        <v>739</v>
      </c>
      <c r="B3" s="93" t="s">
        <v>352</v>
      </c>
      <c r="C3" s="89">
        <f>VLOOKUP(GroupVertices[[#This Row],[Vertex]],Vertices[],MATCH("ID",Vertices[[#Headers],[Vertex]:[Top Word Pairs in Comment by Salience]],0),FALSE)</f>
        <v>85</v>
      </c>
    </row>
    <row r="4" spans="1:3" ht="15">
      <c r="A4" s="90" t="s">
        <v>739</v>
      </c>
      <c r="B4" s="93" t="s">
        <v>346</v>
      </c>
      <c r="C4" s="89">
        <f>VLOOKUP(GroupVertices[[#This Row],[Vertex]],Vertices[],MATCH("ID",Vertices[[#Headers],[Vertex]:[Top Word Pairs in Comment by Salience]],0),FALSE)</f>
        <v>47</v>
      </c>
    </row>
    <row r="5" spans="1:3" ht="15">
      <c r="A5" s="90" t="s">
        <v>739</v>
      </c>
      <c r="B5" s="93" t="s">
        <v>345</v>
      </c>
      <c r="C5" s="89">
        <f>VLOOKUP(GroupVertices[[#This Row],[Vertex]],Vertices[],MATCH("ID",Vertices[[#Headers],[Vertex]:[Top Word Pairs in Comment by Salience]],0),FALSE)</f>
        <v>54</v>
      </c>
    </row>
    <row r="6" spans="1:3" ht="15">
      <c r="A6" s="90" t="s">
        <v>739</v>
      </c>
      <c r="B6" s="93" t="s">
        <v>344</v>
      </c>
      <c r="C6" s="89">
        <f>VLOOKUP(GroupVertices[[#This Row],[Vertex]],Vertices[],MATCH("ID",Vertices[[#Headers],[Vertex]:[Top Word Pairs in Comment by Salience]],0),FALSE)</f>
        <v>27</v>
      </c>
    </row>
    <row r="7" spans="1:3" ht="15">
      <c r="A7" s="90" t="s">
        <v>739</v>
      </c>
      <c r="B7" s="93" t="s">
        <v>341</v>
      </c>
      <c r="C7" s="89">
        <f>VLOOKUP(GroupVertices[[#This Row],[Vertex]],Vertices[],MATCH("ID",Vertices[[#Headers],[Vertex]:[Top Word Pairs in Comment by Salience]],0),FALSE)</f>
        <v>90</v>
      </c>
    </row>
    <row r="8" spans="1:3" ht="15">
      <c r="A8" s="90" t="s">
        <v>739</v>
      </c>
      <c r="B8" s="93" t="s">
        <v>340</v>
      </c>
      <c r="C8" s="89">
        <f>VLOOKUP(GroupVertices[[#This Row],[Vertex]],Vertices[],MATCH("ID",Vertices[[#Headers],[Vertex]:[Top Word Pairs in Comment by Salience]],0),FALSE)</f>
        <v>66</v>
      </c>
    </row>
    <row r="9" spans="1:3" ht="15">
      <c r="A9" s="90" t="s">
        <v>739</v>
      </c>
      <c r="B9" s="93" t="s">
        <v>339</v>
      </c>
      <c r="C9" s="89">
        <f>VLOOKUP(GroupVertices[[#This Row],[Vertex]],Vertices[],MATCH("ID",Vertices[[#Headers],[Vertex]:[Top Word Pairs in Comment by Salience]],0),FALSE)</f>
        <v>31</v>
      </c>
    </row>
    <row r="10" spans="1:3" ht="15">
      <c r="A10" s="90" t="s">
        <v>739</v>
      </c>
      <c r="B10" s="93" t="s">
        <v>338</v>
      </c>
      <c r="C10" s="89">
        <f>VLOOKUP(GroupVertices[[#This Row],[Vertex]],Vertices[],MATCH("ID",Vertices[[#Headers],[Vertex]:[Top Word Pairs in Comment by Salience]],0),FALSE)</f>
        <v>23</v>
      </c>
    </row>
    <row r="11" spans="1:3" ht="15">
      <c r="A11" s="90" t="s">
        <v>739</v>
      </c>
      <c r="B11" s="93" t="s">
        <v>337</v>
      </c>
      <c r="C11" s="89">
        <f>VLOOKUP(GroupVertices[[#This Row],[Vertex]],Vertices[],MATCH("ID",Vertices[[#Headers],[Vertex]:[Top Word Pairs in Comment by Salience]],0),FALSE)</f>
        <v>7</v>
      </c>
    </row>
    <row r="12" spans="1:3" ht="15">
      <c r="A12" s="90" t="s">
        <v>739</v>
      </c>
      <c r="B12" s="93" t="s">
        <v>336</v>
      </c>
      <c r="C12" s="89">
        <f>VLOOKUP(GroupVertices[[#This Row],[Vertex]],Vertices[],MATCH("ID",Vertices[[#Headers],[Vertex]:[Top Word Pairs in Comment by Salience]],0),FALSE)</f>
        <v>60</v>
      </c>
    </row>
    <row r="13" spans="1:3" ht="15">
      <c r="A13" s="90" t="s">
        <v>739</v>
      </c>
      <c r="B13" s="93" t="s">
        <v>335</v>
      </c>
      <c r="C13" s="89">
        <f>VLOOKUP(GroupVertices[[#This Row],[Vertex]],Vertices[],MATCH("ID",Vertices[[#Headers],[Vertex]:[Top Word Pairs in Comment by Salience]],0),FALSE)</f>
        <v>49</v>
      </c>
    </row>
    <row r="14" spans="1:3" ht="15">
      <c r="A14" s="90" t="s">
        <v>739</v>
      </c>
      <c r="B14" s="93" t="s">
        <v>332</v>
      </c>
      <c r="C14" s="89">
        <f>VLOOKUP(GroupVertices[[#This Row],[Vertex]],Vertices[],MATCH("ID",Vertices[[#Headers],[Vertex]:[Top Word Pairs in Comment by Salience]],0),FALSE)</f>
        <v>99</v>
      </c>
    </row>
    <row r="15" spans="1:3" ht="15">
      <c r="A15" s="90" t="s">
        <v>739</v>
      </c>
      <c r="B15" s="93" t="s">
        <v>331</v>
      </c>
      <c r="C15" s="89">
        <f>VLOOKUP(GroupVertices[[#This Row],[Vertex]],Vertices[],MATCH("ID",Vertices[[#Headers],[Vertex]:[Top Word Pairs in Comment by Salience]],0),FALSE)</f>
        <v>44</v>
      </c>
    </row>
    <row r="16" spans="1:3" ht="15">
      <c r="A16" s="90" t="s">
        <v>739</v>
      </c>
      <c r="B16" s="93" t="s">
        <v>330</v>
      </c>
      <c r="C16" s="89">
        <f>VLOOKUP(GroupVertices[[#This Row],[Vertex]],Vertices[],MATCH("ID",Vertices[[#Headers],[Vertex]:[Top Word Pairs in Comment by Salience]],0),FALSE)</f>
        <v>8</v>
      </c>
    </row>
    <row r="17" spans="1:3" ht="15">
      <c r="A17" s="90" t="s">
        <v>739</v>
      </c>
      <c r="B17" s="93" t="s">
        <v>329</v>
      </c>
      <c r="C17" s="89">
        <f>VLOOKUP(GroupVertices[[#This Row],[Vertex]],Vertices[],MATCH("ID",Vertices[[#Headers],[Vertex]:[Top Word Pairs in Comment by Salience]],0),FALSE)</f>
        <v>33</v>
      </c>
    </row>
    <row r="18" spans="1:3" ht="15">
      <c r="A18" s="90" t="s">
        <v>739</v>
      </c>
      <c r="B18" s="93" t="s">
        <v>328</v>
      </c>
      <c r="C18" s="89">
        <f>VLOOKUP(GroupVertices[[#This Row],[Vertex]],Vertices[],MATCH("ID",Vertices[[#Headers],[Vertex]:[Top Word Pairs in Comment by Salience]],0),FALSE)</f>
        <v>129</v>
      </c>
    </row>
    <row r="19" spans="1:3" ht="15">
      <c r="A19" s="90" t="s">
        <v>739</v>
      </c>
      <c r="B19" s="93" t="s">
        <v>327</v>
      </c>
      <c r="C19" s="89">
        <f>VLOOKUP(GroupVertices[[#This Row],[Vertex]],Vertices[],MATCH("ID",Vertices[[#Headers],[Vertex]:[Top Word Pairs in Comment by Salience]],0),FALSE)</f>
        <v>91</v>
      </c>
    </row>
    <row r="20" spans="1:3" ht="15">
      <c r="A20" s="90" t="s">
        <v>739</v>
      </c>
      <c r="B20" s="93" t="s">
        <v>326</v>
      </c>
      <c r="C20" s="89">
        <f>VLOOKUP(GroupVertices[[#This Row],[Vertex]],Vertices[],MATCH("ID",Vertices[[#Headers],[Vertex]:[Top Word Pairs in Comment by Salience]],0),FALSE)</f>
        <v>96</v>
      </c>
    </row>
    <row r="21" spans="1:3" ht="15">
      <c r="A21" s="90" t="s">
        <v>739</v>
      </c>
      <c r="B21" s="93" t="s">
        <v>325</v>
      </c>
      <c r="C21" s="89">
        <f>VLOOKUP(GroupVertices[[#This Row],[Vertex]],Vertices[],MATCH("ID",Vertices[[#Headers],[Vertex]:[Top Word Pairs in Comment by Salience]],0),FALSE)</f>
        <v>116</v>
      </c>
    </row>
    <row r="22" spans="1:3" ht="15">
      <c r="A22" s="90" t="s">
        <v>739</v>
      </c>
      <c r="B22" s="93" t="s">
        <v>324</v>
      </c>
      <c r="C22" s="89">
        <f>VLOOKUP(GroupVertices[[#This Row],[Vertex]],Vertices[],MATCH("ID",Vertices[[#Headers],[Vertex]:[Top Word Pairs in Comment by Salience]],0),FALSE)</f>
        <v>10</v>
      </c>
    </row>
    <row r="23" spans="1:3" ht="15">
      <c r="A23" s="90" t="s">
        <v>739</v>
      </c>
      <c r="B23" s="93" t="s">
        <v>323</v>
      </c>
      <c r="C23" s="89">
        <f>VLOOKUP(GroupVertices[[#This Row],[Vertex]],Vertices[],MATCH("ID",Vertices[[#Headers],[Vertex]:[Top Word Pairs in Comment by Salience]],0),FALSE)</f>
        <v>101</v>
      </c>
    </row>
    <row r="24" spans="1:3" ht="15">
      <c r="A24" s="90" t="s">
        <v>739</v>
      </c>
      <c r="B24" s="93" t="s">
        <v>321</v>
      </c>
      <c r="C24" s="89">
        <f>VLOOKUP(GroupVertices[[#This Row],[Vertex]],Vertices[],MATCH("ID",Vertices[[#Headers],[Vertex]:[Top Word Pairs in Comment by Salience]],0),FALSE)</f>
        <v>73</v>
      </c>
    </row>
    <row r="25" spans="1:3" ht="15">
      <c r="A25" s="90" t="s">
        <v>739</v>
      </c>
      <c r="B25" s="93" t="s">
        <v>322</v>
      </c>
      <c r="C25" s="89">
        <f>VLOOKUP(GroupVertices[[#This Row],[Vertex]],Vertices[],MATCH("ID",Vertices[[#Headers],[Vertex]:[Top Word Pairs in Comment by Salience]],0),FALSE)</f>
        <v>38</v>
      </c>
    </row>
    <row r="26" spans="1:3" ht="15">
      <c r="A26" s="90" t="s">
        <v>739</v>
      </c>
      <c r="B26" s="93" t="s">
        <v>265</v>
      </c>
      <c r="C26" s="89">
        <f>VLOOKUP(GroupVertices[[#This Row],[Vertex]],Vertices[],MATCH("ID",Vertices[[#Headers],[Vertex]:[Top Word Pairs in Comment by Salience]],0),FALSE)</f>
        <v>102</v>
      </c>
    </row>
    <row r="27" spans="1:3" ht="15">
      <c r="A27" s="90" t="s">
        <v>739</v>
      </c>
      <c r="B27" s="93" t="s">
        <v>320</v>
      </c>
      <c r="C27" s="89">
        <f>VLOOKUP(GroupVertices[[#This Row],[Vertex]],Vertices[],MATCH("ID",Vertices[[#Headers],[Vertex]:[Top Word Pairs in Comment by Salience]],0),FALSE)</f>
        <v>50</v>
      </c>
    </row>
    <row r="28" spans="1:3" ht="15">
      <c r="A28" s="90" t="s">
        <v>739</v>
      </c>
      <c r="B28" s="93" t="s">
        <v>319</v>
      </c>
      <c r="C28" s="89">
        <f>VLOOKUP(GroupVertices[[#This Row],[Vertex]],Vertices[],MATCH("ID",Vertices[[#Headers],[Vertex]:[Top Word Pairs in Comment by Salience]],0),FALSE)</f>
        <v>109</v>
      </c>
    </row>
    <row r="29" spans="1:3" ht="15">
      <c r="A29" s="90" t="s">
        <v>739</v>
      </c>
      <c r="B29" s="93" t="s">
        <v>318</v>
      </c>
      <c r="C29" s="89">
        <f>VLOOKUP(GroupVertices[[#This Row],[Vertex]],Vertices[],MATCH("ID",Vertices[[#Headers],[Vertex]:[Top Word Pairs in Comment by Salience]],0),FALSE)</f>
        <v>128</v>
      </c>
    </row>
    <row r="30" spans="1:3" ht="15">
      <c r="A30" s="90" t="s">
        <v>739</v>
      </c>
      <c r="B30" s="93" t="s">
        <v>317</v>
      </c>
      <c r="C30" s="89">
        <f>VLOOKUP(GroupVertices[[#This Row],[Vertex]],Vertices[],MATCH("ID",Vertices[[#Headers],[Vertex]:[Top Word Pairs in Comment by Salience]],0),FALSE)</f>
        <v>123</v>
      </c>
    </row>
    <row r="31" spans="1:3" ht="15">
      <c r="A31" s="90" t="s">
        <v>739</v>
      </c>
      <c r="B31" s="93" t="s">
        <v>316</v>
      </c>
      <c r="C31" s="89">
        <f>VLOOKUP(GroupVertices[[#This Row],[Vertex]],Vertices[],MATCH("ID",Vertices[[#Headers],[Vertex]:[Top Word Pairs in Comment by Salience]],0),FALSE)</f>
        <v>92</v>
      </c>
    </row>
    <row r="32" spans="1:3" ht="15">
      <c r="A32" s="90" t="s">
        <v>739</v>
      </c>
      <c r="B32" s="93" t="s">
        <v>312</v>
      </c>
      <c r="C32" s="89">
        <f>VLOOKUP(GroupVertices[[#This Row],[Vertex]],Vertices[],MATCH("ID",Vertices[[#Headers],[Vertex]:[Top Word Pairs in Comment by Salience]],0),FALSE)</f>
        <v>118</v>
      </c>
    </row>
    <row r="33" spans="1:3" ht="15">
      <c r="A33" s="90" t="s">
        <v>739</v>
      </c>
      <c r="B33" s="93" t="s">
        <v>311</v>
      </c>
      <c r="C33" s="89">
        <f>VLOOKUP(GroupVertices[[#This Row],[Vertex]],Vertices[],MATCH("ID",Vertices[[#Headers],[Vertex]:[Top Word Pairs in Comment by Salience]],0),FALSE)</f>
        <v>13</v>
      </c>
    </row>
    <row r="34" spans="1:3" ht="15">
      <c r="A34" s="90" t="s">
        <v>739</v>
      </c>
      <c r="B34" s="93" t="s">
        <v>310</v>
      </c>
      <c r="C34" s="89">
        <f>VLOOKUP(GroupVertices[[#This Row],[Vertex]],Vertices[],MATCH("ID",Vertices[[#Headers],[Vertex]:[Top Word Pairs in Comment by Salience]],0),FALSE)</f>
        <v>131</v>
      </c>
    </row>
    <row r="35" spans="1:3" ht="15">
      <c r="A35" s="90" t="s">
        <v>739</v>
      </c>
      <c r="B35" s="93" t="s">
        <v>309</v>
      </c>
      <c r="C35" s="89">
        <f>VLOOKUP(GroupVertices[[#This Row],[Vertex]],Vertices[],MATCH("ID",Vertices[[#Headers],[Vertex]:[Top Word Pairs in Comment by Salience]],0),FALSE)</f>
        <v>103</v>
      </c>
    </row>
    <row r="36" spans="1:3" ht="15">
      <c r="A36" s="90" t="s">
        <v>739</v>
      </c>
      <c r="B36" s="93" t="s">
        <v>308</v>
      </c>
      <c r="C36" s="89">
        <f>VLOOKUP(GroupVertices[[#This Row],[Vertex]],Vertices[],MATCH("ID",Vertices[[#Headers],[Vertex]:[Top Word Pairs in Comment by Salience]],0),FALSE)</f>
        <v>69</v>
      </c>
    </row>
    <row r="37" spans="1:3" ht="15">
      <c r="A37" s="90" t="s">
        <v>739</v>
      </c>
      <c r="B37" s="93" t="s">
        <v>279</v>
      </c>
      <c r="C37" s="89">
        <f>VLOOKUP(GroupVertices[[#This Row],[Vertex]],Vertices[],MATCH("ID",Vertices[[#Headers],[Vertex]:[Top Word Pairs in Comment by Salience]],0),FALSE)</f>
        <v>9</v>
      </c>
    </row>
    <row r="38" spans="1:3" ht="15">
      <c r="A38" s="90" t="s">
        <v>739</v>
      </c>
      <c r="B38" s="93" t="s">
        <v>278</v>
      </c>
      <c r="C38" s="89">
        <f>VLOOKUP(GroupVertices[[#This Row],[Vertex]],Vertices[],MATCH("ID",Vertices[[#Headers],[Vertex]:[Top Word Pairs in Comment by Salience]],0),FALSE)</f>
        <v>72</v>
      </c>
    </row>
    <row r="39" spans="1:3" ht="15">
      <c r="A39" s="90" t="s">
        <v>739</v>
      </c>
      <c r="B39" s="93" t="s">
        <v>275</v>
      </c>
      <c r="C39" s="89">
        <f>VLOOKUP(GroupVertices[[#This Row],[Vertex]],Vertices[],MATCH("ID",Vertices[[#Headers],[Vertex]:[Top Word Pairs in Comment by Salience]],0),FALSE)</f>
        <v>105</v>
      </c>
    </row>
    <row r="40" spans="1:3" ht="15">
      <c r="A40" s="90" t="s">
        <v>739</v>
      </c>
      <c r="B40" s="93" t="s">
        <v>274</v>
      </c>
      <c r="C40" s="89">
        <f>VLOOKUP(GroupVertices[[#This Row],[Vertex]],Vertices[],MATCH("ID",Vertices[[#Headers],[Vertex]:[Top Word Pairs in Comment by Salience]],0),FALSE)</f>
        <v>122</v>
      </c>
    </row>
    <row r="41" spans="1:3" ht="15">
      <c r="A41" s="90" t="s">
        <v>739</v>
      </c>
      <c r="B41" s="93" t="s">
        <v>267</v>
      </c>
      <c r="C41" s="89">
        <f>VLOOKUP(GroupVertices[[#This Row],[Vertex]],Vertices[],MATCH("ID",Vertices[[#Headers],[Vertex]:[Top Word Pairs in Comment by Salience]],0),FALSE)</f>
        <v>45</v>
      </c>
    </row>
    <row r="42" spans="1:3" ht="15">
      <c r="A42" s="90" t="s">
        <v>739</v>
      </c>
      <c r="B42" s="93" t="s">
        <v>266</v>
      </c>
      <c r="C42" s="89">
        <f>VLOOKUP(GroupVertices[[#This Row],[Vertex]],Vertices[],MATCH("ID",Vertices[[#Headers],[Vertex]:[Top Word Pairs in Comment by Salience]],0),FALSE)</f>
        <v>74</v>
      </c>
    </row>
    <row r="43" spans="1:3" ht="15">
      <c r="A43" s="90" t="s">
        <v>739</v>
      </c>
      <c r="B43" s="93" t="s">
        <v>258</v>
      </c>
      <c r="C43" s="89">
        <f>VLOOKUP(GroupVertices[[#This Row],[Vertex]],Vertices[],MATCH("ID",Vertices[[#Headers],[Vertex]:[Top Word Pairs in Comment by Salience]],0),FALSE)</f>
        <v>15</v>
      </c>
    </row>
    <row r="44" spans="1:3" ht="15">
      <c r="A44" s="90" t="s">
        <v>739</v>
      </c>
      <c r="B44" s="93" t="s">
        <v>264</v>
      </c>
      <c r="C44" s="89">
        <f>VLOOKUP(GroupVertices[[#This Row],[Vertex]],Vertices[],MATCH("ID",Vertices[[#Headers],[Vertex]:[Top Word Pairs in Comment by Salience]],0),FALSE)</f>
        <v>22</v>
      </c>
    </row>
    <row r="45" spans="1:3" ht="15">
      <c r="A45" s="90" t="s">
        <v>739</v>
      </c>
      <c r="B45" s="93" t="s">
        <v>263</v>
      </c>
      <c r="C45" s="89">
        <f>VLOOKUP(GroupVertices[[#This Row],[Vertex]],Vertices[],MATCH("ID",Vertices[[#Headers],[Vertex]:[Top Word Pairs in Comment by Salience]],0),FALSE)</f>
        <v>58</v>
      </c>
    </row>
    <row r="46" spans="1:3" ht="15">
      <c r="A46" s="90" t="s">
        <v>739</v>
      </c>
      <c r="B46" s="93" t="s">
        <v>262</v>
      </c>
      <c r="C46" s="89">
        <f>VLOOKUP(GroupVertices[[#This Row],[Vertex]],Vertices[],MATCH("ID",Vertices[[#Headers],[Vertex]:[Top Word Pairs in Comment by Salience]],0),FALSE)</f>
        <v>82</v>
      </c>
    </row>
    <row r="47" spans="1:3" ht="15">
      <c r="A47" s="90" t="s">
        <v>739</v>
      </c>
      <c r="B47" s="93" t="s">
        <v>261</v>
      </c>
      <c r="C47" s="89">
        <f>VLOOKUP(GroupVertices[[#This Row],[Vertex]],Vertices[],MATCH("ID",Vertices[[#Headers],[Vertex]:[Top Word Pairs in Comment by Salience]],0),FALSE)</f>
        <v>4</v>
      </c>
    </row>
    <row r="48" spans="1:3" ht="15">
      <c r="A48" s="90" t="s">
        <v>739</v>
      </c>
      <c r="B48" s="93" t="s">
        <v>259</v>
      </c>
      <c r="C48" s="89">
        <f>VLOOKUP(GroupVertices[[#This Row],[Vertex]],Vertices[],MATCH("ID",Vertices[[#Headers],[Vertex]:[Top Word Pairs in Comment by Salience]],0),FALSE)</f>
        <v>30</v>
      </c>
    </row>
    <row r="49" spans="1:3" ht="15">
      <c r="A49" s="90" t="s">
        <v>739</v>
      </c>
      <c r="B49" s="93" t="s">
        <v>260</v>
      </c>
      <c r="C49" s="89">
        <f>VLOOKUP(GroupVertices[[#This Row],[Vertex]],Vertices[],MATCH("ID",Vertices[[#Headers],[Vertex]:[Top Word Pairs in Comment by Salience]],0),FALSE)</f>
        <v>113</v>
      </c>
    </row>
    <row r="50" spans="1:3" ht="15">
      <c r="A50" s="90" t="s">
        <v>739</v>
      </c>
      <c r="B50" s="93" t="s">
        <v>257</v>
      </c>
      <c r="C50" s="89">
        <f>VLOOKUP(GroupVertices[[#This Row],[Vertex]],Vertices[],MATCH("ID",Vertices[[#Headers],[Vertex]:[Top Word Pairs in Comment by Salience]],0),FALSE)</f>
        <v>81</v>
      </c>
    </row>
    <row r="51" spans="1:3" ht="15">
      <c r="A51" s="90" t="s">
        <v>740</v>
      </c>
      <c r="B51" s="93" t="s">
        <v>280</v>
      </c>
      <c r="C51" s="89">
        <f>VLOOKUP(GroupVertices[[#This Row],[Vertex]],Vertices[],MATCH("ID",Vertices[[#Headers],[Vertex]:[Top Word Pairs in Comment by Salience]],0),FALSE)</f>
        <v>77</v>
      </c>
    </row>
    <row r="52" spans="1:3" ht="15">
      <c r="A52" s="90" t="s">
        <v>740</v>
      </c>
      <c r="B52" s="93" t="s">
        <v>306</v>
      </c>
      <c r="C52" s="89">
        <f>VLOOKUP(GroupVertices[[#This Row],[Vertex]],Vertices[],MATCH("ID",Vertices[[#Headers],[Vertex]:[Top Word Pairs in Comment by Salience]],0),FALSE)</f>
        <v>48</v>
      </c>
    </row>
    <row r="53" spans="1:3" ht="15">
      <c r="A53" s="90" t="s">
        <v>740</v>
      </c>
      <c r="B53" s="93" t="s">
        <v>303</v>
      </c>
      <c r="C53" s="89">
        <f>VLOOKUP(GroupVertices[[#This Row],[Vertex]],Vertices[],MATCH("ID",Vertices[[#Headers],[Vertex]:[Top Word Pairs in Comment by Salience]],0),FALSE)</f>
        <v>76</v>
      </c>
    </row>
    <row r="54" spans="1:3" ht="15">
      <c r="A54" s="90" t="s">
        <v>740</v>
      </c>
      <c r="B54" s="93" t="s">
        <v>302</v>
      </c>
      <c r="C54" s="89">
        <f>VLOOKUP(GroupVertices[[#This Row],[Vertex]],Vertices[],MATCH("ID",Vertices[[#Headers],[Vertex]:[Top Word Pairs in Comment by Salience]],0),FALSE)</f>
        <v>94</v>
      </c>
    </row>
    <row r="55" spans="1:3" ht="15">
      <c r="A55" s="90" t="s">
        <v>740</v>
      </c>
      <c r="B55" s="93" t="s">
        <v>301</v>
      </c>
      <c r="C55" s="89">
        <f>VLOOKUP(GroupVertices[[#This Row],[Vertex]],Vertices[],MATCH("ID",Vertices[[#Headers],[Vertex]:[Top Word Pairs in Comment by Salience]],0),FALSE)</f>
        <v>11</v>
      </c>
    </row>
    <row r="56" spans="1:3" ht="15">
      <c r="A56" s="90" t="s">
        <v>740</v>
      </c>
      <c r="B56" s="93" t="s">
        <v>300</v>
      </c>
      <c r="C56" s="89">
        <f>VLOOKUP(GroupVertices[[#This Row],[Vertex]],Vertices[],MATCH("ID",Vertices[[#Headers],[Vertex]:[Top Word Pairs in Comment by Salience]],0),FALSE)</f>
        <v>18</v>
      </c>
    </row>
    <row r="57" spans="1:3" ht="15">
      <c r="A57" s="90" t="s">
        <v>740</v>
      </c>
      <c r="B57" s="93" t="s">
        <v>299</v>
      </c>
      <c r="C57" s="89">
        <f>VLOOKUP(GroupVertices[[#This Row],[Vertex]],Vertices[],MATCH("ID",Vertices[[#Headers],[Vertex]:[Top Word Pairs in Comment by Salience]],0),FALSE)</f>
        <v>3</v>
      </c>
    </row>
    <row r="58" spans="1:3" ht="15">
      <c r="A58" s="90" t="s">
        <v>740</v>
      </c>
      <c r="B58" s="93" t="s">
        <v>298</v>
      </c>
      <c r="C58" s="89">
        <f>VLOOKUP(GroupVertices[[#This Row],[Vertex]],Vertices[],MATCH("ID",Vertices[[#Headers],[Vertex]:[Top Word Pairs in Comment by Salience]],0),FALSE)</f>
        <v>107</v>
      </c>
    </row>
    <row r="59" spans="1:3" ht="15">
      <c r="A59" s="90" t="s">
        <v>740</v>
      </c>
      <c r="B59" s="93" t="s">
        <v>297</v>
      </c>
      <c r="C59" s="89">
        <f>VLOOKUP(GroupVertices[[#This Row],[Vertex]],Vertices[],MATCH("ID",Vertices[[#Headers],[Vertex]:[Top Word Pairs in Comment by Salience]],0),FALSE)</f>
        <v>112</v>
      </c>
    </row>
    <row r="60" spans="1:3" ht="15">
      <c r="A60" s="90" t="s">
        <v>740</v>
      </c>
      <c r="B60" s="93" t="s">
        <v>296</v>
      </c>
      <c r="C60" s="89">
        <f>VLOOKUP(GroupVertices[[#This Row],[Vertex]],Vertices[],MATCH("ID",Vertices[[#Headers],[Vertex]:[Top Word Pairs in Comment by Salience]],0),FALSE)</f>
        <v>117</v>
      </c>
    </row>
    <row r="61" spans="1:3" ht="15">
      <c r="A61" s="90" t="s">
        <v>740</v>
      </c>
      <c r="B61" s="93" t="s">
        <v>295</v>
      </c>
      <c r="C61" s="89">
        <f>VLOOKUP(GroupVertices[[#This Row],[Vertex]],Vertices[],MATCH("ID",Vertices[[#Headers],[Vertex]:[Top Word Pairs in Comment by Salience]],0),FALSE)</f>
        <v>36</v>
      </c>
    </row>
    <row r="62" spans="1:3" ht="15">
      <c r="A62" s="90" t="s">
        <v>740</v>
      </c>
      <c r="B62" s="93" t="s">
        <v>294</v>
      </c>
      <c r="C62" s="89">
        <f>VLOOKUP(GroupVertices[[#This Row],[Vertex]],Vertices[],MATCH("ID",Vertices[[#Headers],[Vertex]:[Top Word Pairs in Comment by Salience]],0),FALSE)</f>
        <v>119</v>
      </c>
    </row>
    <row r="63" spans="1:3" ht="15">
      <c r="A63" s="90" t="s">
        <v>740</v>
      </c>
      <c r="B63" s="93" t="s">
        <v>293</v>
      </c>
      <c r="C63" s="89">
        <f>VLOOKUP(GroupVertices[[#This Row],[Vertex]],Vertices[],MATCH("ID",Vertices[[#Headers],[Vertex]:[Top Word Pairs in Comment by Salience]],0),FALSE)</f>
        <v>68</v>
      </c>
    </row>
    <row r="64" spans="1:3" ht="15">
      <c r="A64" s="90" t="s">
        <v>740</v>
      </c>
      <c r="B64" s="93" t="s">
        <v>292</v>
      </c>
      <c r="C64" s="89">
        <f>VLOOKUP(GroupVertices[[#This Row],[Vertex]],Vertices[],MATCH("ID",Vertices[[#Headers],[Vertex]:[Top Word Pairs in Comment by Salience]],0),FALSE)</f>
        <v>29</v>
      </c>
    </row>
    <row r="65" spans="1:3" ht="15">
      <c r="A65" s="90" t="s">
        <v>740</v>
      </c>
      <c r="B65" s="93" t="s">
        <v>291</v>
      </c>
      <c r="C65" s="89">
        <f>VLOOKUP(GroupVertices[[#This Row],[Vertex]],Vertices[],MATCH("ID",Vertices[[#Headers],[Vertex]:[Top Word Pairs in Comment by Salience]],0),FALSE)</f>
        <v>6</v>
      </c>
    </row>
    <row r="66" spans="1:3" ht="15">
      <c r="A66" s="90" t="s">
        <v>740</v>
      </c>
      <c r="B66" s="93" t="s">
        <v>290</v>
      </c>
      <c r="C66" s="89">
        <f>VLOOKUP(GroupVertices[[#This Row],[Vertex]],Vertices[],MATCH("ID",Vertices[[#Headers],[Vertex]:[Top Word Pairs in Comment by Salience]],0),FALSE)</f>
        <v>130</v>
      </c>
    </row>
    <row r="67" spans="1:3" ht="15">
      <c r="A67" s="90" t="s">
        <v>740</v>
      </c>
      <c r="B67" s="93" t="s">
        <v>289</v>
      </c>
      <c r="C67" s="89">
        <f>VLOOKUP(GroupVertices[[#This Row],[Vertex]],Vertices[],MATCH("ID",Vertices[[#Headers],[Vertex]:[Top Word Pairs in Comment by Salience]],0),FALSE)</f>
        <v>59</v>
      </c>
    </row>
    <row r="68" spans="1:3" ht="15">
      <c r="A68" s="90" t="s">
        <v>740</v>
      </c>
      <c r="B68" s="93" t="s">
        <v>288</v>
      </c>
      <c r="C68" s="89">
        <f>VLOOKUP(GroupVertices[[#This Row],[Vertex]],Vertices[],MATCH("ID",Vertices[[#Headers],[Vertex]:[Top Word Pairs in Comment by Salience]],0),FALSE)</f>
        <v>28</v>
      </c>
    </row>
    <row r="69" spans="1:3" ht="15">
      <c r="A69" s="90" t="s">
        <v>740</v>
      </c>
      <c r="B69" s="93" t="s">
        <v>287</v>
      </c>
      <c r="C69" s="89">
        <f>VLOOKUP(GroupVertices[[#This Row],[Vertex]],Vertices[],MATCH("ID",Vertices[[#Headers],[Vertex]:[Top Word Pairs in Comment by Salience]],0),FALSE)</f>
        <v>51</v>
      </c>
    </row>
    <row r="70" spans="1:3" ht="15">
      <c r="A70" s="90" t="s">
        <v>740</v>
      </c>
      <c r="B70" s="93" t="s">
        <v>286</v>
      </c>
      <c r="C70" s="89">
        <f>VLOOKUP(GroupVertices[[#This Row],[Vertex]],Vertices[],MATCH("ID",Vertices[[#Headers],[Vertex]:[Top Word Pairs in Comment by Salience]],0),FALSE)</f>
        <v>12</v>
      </c>
    </row>
    <row r="71" spans="1:3" ht="15">
      <c r="A71" s="90" t="s">
        <v>740</v>
      </c>
      <c r="B71" s="93" t="s">
        <v>285</v>
      </c>
      <c r="C71" s="89">
        <f>VLOOKUP(GroupVertices[[#This Row],[Vertex]],Vertices[],MATCH("ID",Vertices[[#Headers],[Vertex]:[Top Word Pairs in Comment by Salience]],0),FALSE)</f>
        <v>70</v>
      </c>
    </row>
    <row r="72" spans="1:3" ht="15">
      <c r="A72" s="90" t="s">
        <v>740</v>
      </c>
      <c r="B72" s="93" t="s">
        <v>284</v>
      </c>
      <c r="C72" s="89">
        <f>VLOOKUP(GroupVertices[[#This Row],[Vertex]],Vertices[],MATCH("ID",Vertices[[#Headers],[Vertex]:[Top Word Pairs in Comment by Salience]],0),FALSE)</f>
        <v>120</v>
      </c>
    </row>
    <row r="73" spans="1:3" ht="15">
      <c r="A73" s="90" t="s">
        <v>740</v>
      </c>
      <c r="B73" s="93" t="s">
        <v>283</v>
      </c>
      <c r="C73" s="89">
        <f>VLOOKUP(GroupVertices[[#This Row],[Vertex]],Vertices[],MATCH("ID",Vertices[[#Headers],[Vertex]:[Top Word Pairs in Comment by Salience]],0),FALSE)</f>
        <v>61</v>
      </c>
    </row>
    <row r="74" spans="1:3" ht="15">
      <c r="A74" s="90" t="s">
        <v>740</v>
      </c>
      <c r="B74" s="93" t="s">
        <v>282</v>
      </c>
      <c r="C74" s="89">
        <f>VLOOKUP(GroupVertices[[#This Row],[Vertex]],Vertices[],MATCH("ID",Vertices[[#Headers],[Vertex]:[Top Word Pairs in Comment by Salience]],0),FALSE)</f>
        <v>64</v>
      </c>
    </row>
    <row r="75" spans="1:3" ht="15">
      <c r="A75" s="90" t="s">
        <v>740</v>
      </c>
      <c r="B75" s="93" t="s">
        <v>281</v>
      </c>
      <c r="C75" s="89">
        <f>VLOOKUP(GroupVertices[[#This Row],[Vertex]],Vertices[],MATCH("ID",Vertices[[#Headers],[Vertex]:[Top Word Pairs in Comment by Salience]],0),FALSE)</f>
        <v>21</v>
      </c>
    </row>
    <row r="76" spans="1:3" ht="15">
      <c r="A76" s="90" t="s">
        <v>741</v>
      </c>
      <c r="B76" s="93" t="s">
        <v>256</v>
      </c>
      <c r="C76" s="89">
        <f>VLOOKUP(GroupVertices[[#This Row],[Vertex]],Vertices[],MATCH("ID",Vertices[[#Headers],[Vertex]:[Top Word Pairs in Comment by Salience]],0),FALSE)</f>
        <v>93</v>
      </c>
    </row>
    <row r="77" spans="1:3" ht="15">
      <c r="A77" s="90" t="s">
        <v>741</v>
      </c>
      <c r="B77" s="93" t="s">
        <v>350</v>
      </c>
      <c r="C77" s="89">
        <f>VLOOKUP(GroupVertices[[#This Row],[Vertex]],Vertices[],MATCH("ID",Vertices[[#Headers],[Vertex]:[Top Word Pairs in Comment by Salience]],0),FALSE)</f>
        <v>42</v>
      </c>
    </row>
    <row r="78" spans="1:3" ht="15">
      <c r="A78" s="90" t="s">
        <v>741</v>
      </c>
      <c r="B78" s="93" t="s">
        <v>255</v>
      </c>
      <c r="C78" s="89">
        <f>VLOOKUP(GroupVertices[[#This Row],[Vertex]],Vertices[],MATCH("ID",Vertices[[#Headers],[Vertex]:[Top Word Pairs in Comment by Salience]],0),FALSE)</f>
        <v>84</v>
      </c>
    </row>
    <row r="79" spans="1:3" ht="15">
      <c r="A79" s="90" t="s">
        <v>741</v>
      </c>
      <c r="B79" s="93" t="s">
        <v>254</v>
      </c>
      <c r="C79" s="89">
        <f>VLOOKUP(GroupVertices[[#This Row],[Vertex]],Vertices[],MATCH("ID",Vertices[[#Headers],[Vertex]:[Top Word Pairs in Comment by Salience]],0),FALSE)</f>
        <v>86</v>
      </c>
    </row>
    <row r="80" spans="1:3" ht="15">
      <c r="A80" s="90" t="s">
        <v>741</v>
      </c>
      <c r="B80" s="93" t="s">
        <v>253</v>
      </c>
      <c r="C80" s="89">
        <f>VLOOKUP(GroupVertices[[#This Row],[Vertex]],Vertices[],MATCH("ID",Vertices[[#Headers],[Vertex]:[Top Word Pairs in Comment by Salience]],0),FALSE)</f>
        <v>95</v>
      </c>
    </row>
    <row r="81" spans="1:3" ht="15">
      <c r="A81" s="90" t="s">
        <v>741</v>
      </c>
      <c r="B81" s="93" t="s">
        <v>252</v>
      </c>
      <c r="C81" s="89">
        <f>VLOOKUP(GroupVertices[[#This Row],[Vertex]],Vertices[],MATCH("ID",Vertices[[#Headers],[Vertex]:[Top Word Pairs in Comment by Salience]],0),FALSE)</f>
        <v>124</v>
      </c>
    </row>
    <row r="82" spans="1:3" ht="15">
      <c r="A82" s="90" t="s">
        <v>741</v>
      </c>
      <c r="B82" s="93" t="s">
        <v>251</v>
      </c>
      <c r="C82" s="89">
        <f>VLOOKUP(GroupVertices[[#This Row],[Vertex]],Vertices[],MATCH("ID",Vertices[[#Headers],[Vertex]:[Top Word Pairs in Comment by Salience]],0),FALSE)</f>
        <v>115</v>
      </c>
    </row>
    <row r="83" spans="1:3" ht="15">
      <c r="A83" s="90" t="s">
        <v>741</v>
      </c>
      <c r="B83" s="93" t="s">
        <v>250</v>
      </c>
      <c r="C83" s="89">
        <f>VLOOKUP(GroupVertices[[#This Row],[Vertex]],Vertices[],MATCH("ID",Vertices[[#Headers],[Vertex]:[Top Word Pairs in Comment by Salience]],0),FALSE)</f>
        <v>56</v>
      </c>
    </row>
    <row r="84" spans="1:3" ht="15">
      <c r="A84" s="90" t="s">
        <v>741</v>
      </c>
      <c r="B84" s="93" t="s">
        <v>249</v>
      </c>
      <c r="C84" s="89">
        <f>VLOOKUP(GroupVertices[[#This Row],[Vertex]],Vertices[],MATCH("ID",Vertices[[#Headers],[Vertex]:[Top Word Pairs in Comment by Salience]],0),FALSE)</f>
        <v>87</v>
      </c>
    </row>
    <row r="85" spans="1:3" ht="15">
      <c r="A85" s="90" t="s">
        <v>741</v>
      </c>
      <c r="B85" s="93" t="s">
        <v>248</v>
      </c>
      <c r="C85" s="89">
        <f>VLOOKUP(GroupVertices[[#This Row],[Vertex]],Vertices[],MATCH("ID",Vertices[[#Headers],[Vertex]:[Top Word Pairs in Comment by Salience]],0),FALSE)</f>
        <v>57</v>
      </c>
    </row>
    <row r="86" spans="1:3" ht="15">
      <c r="A86" s="90" t="s">
        <v>741</v>
      </c>
      <c r="B86" s="93" t="s">
        <v>247</v>
      </c>
      <c r="C86" s="89">
        <f>VLOOKUP(GroupVertices[[#This Row],[Vertex]],Vertices[],MATCH("ID",Vertices[[#Headers],[Vertex]:[Top Word Pairs in Comment by Salience]],0),FALSE)</f>
        <v>104</v>
      </c>
    </row>
    <row r="87" spans="1:3" ht="15">
      <c r="A87" s="90" t="s">
        <v>741</v>
      </c>
      <c r="B87" s="93" t="s">
        <v>246</v>
      </c>
      <c r="C87" s="89">
        <f>VLOOKUP(GroupVertices[[#This Row],[Vertex]],Vertices[],MATCH("ID",Vertices[[#Headers],[Vertex]:[Top Word Pairs in Comment by Salience]],0),FALSE)</f>
        <v>114</v>
      </c>
    </row>
    <row r="88" spans="1:3" ht="15">
      <c r="A88" s="90" t="s">
        <v>741</v>
      </c>
      <c r="B88" s="93" t="s">
        <v>245</v>
      </c>
      <c r="C88" s="89">
        <f>VLOOKUP(GroupVertices[[#This Row],[Vertex]],Vertices[],MATCH("ID",Vertices[[#Headers],[Vertex]:[Top Word Pairs in Comment by Salience]],0),FALSE)</f>
        <v>25</v>
      </c>
    </row>
    <row r="89" spans="1:3" ht="15">
      <c r="A89" s="90" t="s">
        <v>741</v>
      </c>
      <c r="B89" s="93" t="s">
        <v>244</v>
      </c>
      <c r="C89" s="89">
        <f>VLOOKUP(GroupVertices[[#This Row],[Vertex]],Vertices[],MATCH("ID",Vertices[[#Headers],[Vertex]:[Top Word Pairs in Comment by Salience]],0),FALSE)</f>
        <v>80</v>
      </c>
    </row>
    <row r="90" spans="1:3" ht="15">
      <c r="A90" s="90" t="s">
        <v>741</v>
      </c>
      <c r="B90" s="93" t="s">
        <v>243</v>
      </c>
      <c r="C90" s="89">
        <f>VLOOKUP(GroupVertices[[#This Row],[Vertex]],Vertices[],MATCH("ID",Vertices[[#Headers],[Vertex]:[Top Word Pairs in Comment by Salience]],0),FALSE)</f>
        <v>40</v>
      </c>
    </row>
    <row r="91" spans="1:3" ht="15">
      <c r="A91" s="90" t="s">
        <v>741</v>
      </c>
      <c r="B91" s="93" t="s">
        <v>242</v>
      </c>
      <c r="C91" s="89">
        <f>VLOOKUP(GroupVertices[[#This Row],[Vertex]],Vertices[],MATCH("ID",Vertices[[#Headers],[Vertex]:[Top Word Pairs in Comment by Salience]],0),FALSE)</f>
        <v>62</v>
      </c>
    </row>
    <row r="92" spans="1:3" ht="15">
      <c r="A92" s="90" t="s">
        <v>741</v>
      </c>
      <c r="B92" s="93" t="s">
        <v>241</v>
      </c>
      <c r="C92" s="89">
        <f>VLOOKUP(GroupVertices[[#This Row],[Vertex]],Vertices[],MATCH("ID",Vertices[[#Headers],[Vertex]:[Top Word Pairs in Comment by Salience]],0),FALSE)</f>
        <v>97</v>
      </c>
    </row>
    <row r="93" spans="1:3" ht="15">
      <c r="A93" s="90" t="s">
        <v>741</v>
      </c>
      <c r="B93" s="93" t="s">
        <v>240</v>
      </c>
      <c r="C93" s="89">
        <f>VLOOKUP(GroupVertices[[#This Row],[Vertex]],Vertices[],MATCH("ID",Vertices[[#Headers],[Vertex]:[Top Word Pairs in Comment by Salience]],0),FALSE)</f>
        <v>110</v>
      </c>
    </row>
    <row r="94" spans="1:3" ht="15">
      <c r="A94" s="90" t="s">
        <v>741</v>
      </c>
      <c r="B94" s="93" t="s">
        <v>239</v>
      </c>
      <c r="C94" s="89">
        <f>VLOOKUP(GroupVertices[[#This Row],[Vertex]],Vertices[],MATCH("ID",Vertices[[#Headers],[Vertex]:[Top Word Pairs in Comment by Salience]],0),FALSE)</f>
        <v>111</v>
      </c>
    </row>
    <row r="95" spans="1:3" ht="15">
      <c r="A95" s="90" t="s">
        <v>741</v>
      </c>
      <c r="B95" s="93" t="s">
        <v>238</v>
      </c>
      <c r="C95" s="89">
        <f>VLOOKUP(GroupVertices[[#This Row],[Vertex]],Vertices[],MATCH("ID",Vertices[[#Headers],[Vertex]:[Top Word Pairs in Comment by Salience]],0),FALSE)</f>
        <v>121</v>
      </c>
    </row>
    <row r="96" spans="1:3" ht="15">
      <c r="A96" s="90" t="s">
        <v>741</v>
      </c>
      <c r="B96" s="93" t="s">
        <v>237</v>
      </c>
      <c r="C96" s="89">
        <f>VLOOKUP(GroupVertices[[#This Row],[Vertex]],Vertices[],MATCH("ID",Vertices[[#Headers],[Vertex]:[Top Word Pairs in Comment by Salience]],0),FALSE)</f>
        <v>67</v>
      </c>
    </row>
    <row r="97" spans="1:3" ht="15">
      <c r="A97" s="90" t="s">
        <v>741</v>
      </c>
      <c r="B97" s="93" t="s">
        <v>236</v>
      </c>
      <c r="C97" s="89">
        <f>VLOOKUP(GroupVertices[[#This Row],[Vertex]],Vertices[],MATCH("ID",Vertices[[#Headers],[Vertex]:[Top Word Pairs in Comment by Salience]],0),FALSE)</f>
        <v>78</v>
      </c>
    </row>
    <row r="98" spans="1:3" ht="15">
      <c r="A98" s="90" t="s">
        <v>741</v>
      </c>
      <c r="B98" s="93" t="s">
        <v>235</v>
      </c>
      <c r="C98" s="89">
        <f>VLOOKUP(GroupVertices[[#This Row],[Vertex]],Vertices[],MATCH("ID",Vertices[[#Headers],[Vertex]:[Top Word Pairs in Comment by Salience]],0),FALSE)</f>
        <v>89</v>
      </c>
    </row>
    <row r="99" spans="1:3" ht="15">
      <c r="A99" s="90" t="s">
        <v>742</v>
      </c>
      <c r="B99" s="93" t="s">
        <v>234</v>
      </c>
      <c r="C99" s="89">
        <f>VLOOKUP(GroupVertices[[#This Row],[Vertex]],Vertices[],MATCH("ID",Vertices[[#Headers],[Vertex]:[Top Word Pairs in Comment by Salience]],0),FALSE)</f>
        <v>98</v>
      </c>
    </row>
    <row r="100" spans="1:3" ht="15">
      <c r="A100" s="90" t="s">
        <v>742</v>
      </c>
      <c r="B100" s="93" t="s">
        <v>349</v>
      </c>
      <c r="C100" s="89">
        <f>VLOOKUP(GroupVertices[[#This Row],[Vertex]],Vertices[],MATCH("ID",Vertices[[#Headers],[Vertex]:[Top Word Pairs in Comment by Salience]],0),FALSE)</f>
        <v>127</v>
      </c>
    </row>
    <row r="101" spans="1:3" ht="15">
      <c r="A101" s="90" t="s">
        <v>742</v>
      </c>
      <c r="B101" s="93" t="s">
        <v>233</v>
      </c>
      <c r="C101" s="89">
        <f>VLOOKUP(GroupVertices[[#This Row],[Vertex]],Vertices[],MATCH("ID",Vertices[[#Headers],[Vertex]:[Top Word Pairs in Comment by Salience]],0),FALSE)</f>
        <v>63</v>
      </c>
    </row>
    <row r="102" spans="1:3" ht="15">
      <c r="A102" s="90" t="s">
        <v>742</v>
      </c>
      <c r="B102" s="93" t="s">
        <v>232</v>
      </c>
      <c r="C102" s="89">
        <f>VLOOKUP(GroupVertices[[#This Row],[Vertex]],Vertices[],MATCH("ID",Vertices[[#Headers],[Vertex]:[Top Word Pairs in Comment by Salience]],0),FALSE)</f>
        <v>53</v>
      </c>
    </row>
    <row r="103" spans="1:3" ht="15">
      <c r="A103" s="90" t="s">
        <v>742</v>
      </c>
      <c r="B103" s="93" t="s">
        <v>231</v>
      </c>
      <c r="C103" s="89">
        <f>VLOOKUP(GroupVertices[[#This Row],[Vertex]],Vertices[],MATCH("ID",Vertices[[#Headers],[Vertex]:[Top Word Pairs in Comment by Salience]],0),FALSE)</f>
        <v>37</v>
      </c>
    </row>
    <row r="104" spans="1:3" ht="15">
      <c r="A104" s="90" t="s">
        <v>742</v>
      </c>
      <c r="B104" s="93" t="s">
        <v>230</v>
      </c>
      <c r="C104" s="89">
        <f>VLOOKUP(GroupVertices[[#This Row],[Vertex]],Vertices[],MATCH("ID",Vertices[[#Headers],[Vertex]:[Top Word Pairs in Comment by Salience]],0),FALSE)</f>
        <v>14</v>
      </c>
    </row>
    <row r="105" spans="1:3" ht="15">
      <c r="A105" s="90" t="s">
        <v>742</v>
      </c>
      <c r="B105" s="93" t="s">
        <v>229</v>
      </c>
      <c r="C105" s="89">
        <f>VLOOKUP(GroupVertices[[#This Row],[Vertex]],Vertices[],MATCH("ID",Vertices[[#Headers],[Vertex]:[Top Word Pairs in Comment by Salience]],0),FALSE)</f>
        <v>65</v>
      </c>
    </row>
    <row r="106" spans="1:3" ht="15">
      <c r="A106" s="90" t="s">
        <v>742</v>
      </c>
      <c r="B106" s="93" t="s">
        <v>227</v>
      </c>
      <c r="C106" s="89">
        <f>VLOOKUP(GroupVertices[[#This Row],[Vertex]],Vertices[],MATCH("ID",Vertices[[#Headers],[Vertex]:[Top Word Pairs in Comment by Salience]],0),FALSE)</f>
        <v>19</v>
      </c>
    </row>
    <row r="107" spans="1:3" ht="15">
      <c r="A107" s="90" t="s">
        <v>742</v>
      </c>
      <c r="B107" s="93" t="s">
        <v>228</v>
      </c>
      <c r="C107" s="89">
        <f>VLOOKUP(GroupVertices[[#This Row],[Vertex]],Vertices[],MATCH("ID",Vertices[[#Headers],[Vertex]:[Top Word Pairs in Comment by Salience]],0),FALSE)</f>
        <v>20</v>
      </c>
    </row>
    <row r="108" spans="1:3" ht="15">
      <c r="A108" s="90" t="s">
        <v>742</v>
      </c>
      <c r="B108" s="93" t="s">
        <v>226</v>
      </c>
      <c r="C108" s="89">
        <f>VLOOKUP(GroupVertices[[#This Row],[Vertex]],Vertices[],MATCH("ID",Vertices[[#Headers],[Vertex]:[Top Word Pairs in Comment by Salience]],0),FALSE)</f>
        <v>75</v>
      </c>
    </row>
    <row r="109" spans="1:3" ht="15">
      <c r="A109" s="90" t="s">
        <v>742</v>
      </c>
      <c r="B109" s="93" t="s">
        <v>354</v>
      </c>
      <c r="C109" s="89">
        <f>VLOOKUP(GroupVertices[[#This Row],[Vertex]],Vertices[],MATCH("ID",Vertices[[#Headers],[Vertex]:[Top Word Pairs in Comment by Salience]],0),FALSE)</f>
        <v>52</v>
      </c>
    </row>
    <row r="110" spans="1:3" ht="15">
      <c r="A110" s="90" t="s">
        <v>743</v>
      </c>
      <c r="B110" s="93" t="s">
        <v>315</v>
      </c>
      <c r="C110" s="89">
        <f>VLOOKUP(GroupVertices[[#This Row],[Vertex]],Vertices[],MATCH("ID",Vertices[[#Headers],[Vertex]:[Top Word Pairs in Comment by Salience]],0),FALSE)</f>
        <v>46</v>
      </c>
    </row>
    <row r="111" spans="1:3" ht="15">
      <c r="A111" s="90" t="s">
        <v>743</v>
      </c>
      <c r="B111" s="93" t="s">
        <v>305</v>
      </c>
      <c r="C111" s="89">
        <f>VLOOKUP(GroupVertices[[#This Row],[Vertex]],Vertices[],MATCH("ID",Vertices[[#Headers],[Vertex]:[Top Word Pairs in Comment by Salience]],0),FALSE)</f>
        <v>88</v>
      </c>
    </row>
    <row r="112" spans="1:3" ht="15">
      <c r="A112" s="90" t="s">
        <v>743</v>
      </c>
      <c r="B112" s="93" t="s">
        <v>314</v>
      </c>
      <c r="C112" s="89">
        <f>VLOOKUP(GroupVertices[[#This Row],[Vertex]],Vertices[],MATCH("ID",Vertices[[#Headers],[Vertex]:[Top Word Pairs in Comment by Salience]],0),FALSE)</f>
        <v>16</v>
      </c>
    </row>
    <row r="113" spans="1:3" ht="15">
      <c r="A113" s="90" t="s">
        <v>743</v>
      </c>
      <c r="B113" s="93" t="s">
        <v>307</v>
      </c>
      <c r="C113" s="89">
        <f>VLOOKUP(GroupVertices[[#This Row],[Vertex]],Vertices[],MATCH("ID",Vertices[[#Headers],[Vertex]:[Top Word Pairs in Comment by Salience]],0),FALSE)</f>
        <v>35</v>
      </c>
    </row>
    <row r="114" spans="1:3" ht="15">
      <c r="A114" s="90" t="s">
        <v>743</v>
      </c>
      <c r="B114" s="93" t="s">
        <v>304</v>
      </c>
      <c r="C114" s="89">
        <f>VLOOKUP(GroupVertices[[#This Row],[Vertex]],Vertices[],MATCH("ID",Vertices[[#Headers],[Vertex]:[Top Word Pairs in Comment by Salience]],0),FALSE)</f>
        <v>32</v>
      </c>
    </row>
    <row r="115" spans="1:3" ht="15">
      <c r="A115" s="90" t="s">
        <v>743</v>
      </c>
      <c r="B115" s="93" t="s">
        <v>313</v>
      </c>
      <c r="C115" s="89">
        <f>VLOOKUP(GroupVertices[[#This Row],[Vertex]],Vertices[],MATCH("ID",Vertices[[#Headers],[Vertex]:[Top Word Pairs in Comment by Salience]],0),FALSE)</f>
        <v>17</v>
      </c>
    </row>
    <row r="116" spans="1:3" ht="15">
      <c r="A116" s="90" t="s">
        <v>744</v>
      </c>
      <c r="B116" s="93" t="s">
        <v>273</v>
      </c>
      <c r="C116" s="89">
        <f>VLOOKUP(GroupVertices[[#This Row],[Vertex]],Vertices[],MATCH("ID",Vertices[[#Headers],[Vertex]:[Top Word Pairs in Comment by Salience]],0),FALSE)</f>
        <v>34</v>
      </c>
    </row>
    <row r="117" spans="1:3" ht="15">
      <c r="A117" s="90" t="s">
        <v>744</v>
      </c>
      <c r="B117" s="93" t="s">
        <v>271</v>
      </c>
      <c r="C117" s="89">
        <f>VLOOKUP(GroupVertices[[#This Row],[Vertex]],Vertices[],MATCH("ID",Vertices[[#Headers],[Vertex]:[Top Word Pairs in Comment by Salience]],0),FALSE)</f>
        <v>24</v>
      </c>
    </row>
    <row r="118" spans="1:3" ht="15">
      <c r="A118" s="90" t="s">
        <v>744</v>
      </c>
      <c r="B118" s="93" t="s">
        <v>272</v>
      </c>
      <c r="C118" s="89">
        <f>VLOOKUP(GroupVertices[[#This Row],[Vertex]],Vertices[],MATCH("ID",Vertices[[#Headers],[Vertex]:[Top Word Pairs in Comment by Salience]],0),FALSE)</f>
        <v>26</v>
      </c>
    </row>
    <row r="119" spans="1:3" ht="15">
      <c r="A119" s="90" t="s">
        <v>745</v>
      </c>
      <c r="B119" s="93" t="s">
        <v>269</v>
      </c>
      <c r="C119" s="89">
        <f>VLOOKUP(GroupVertices[[#This Row],[Vertex]],Vertices[],MATCH("ID",Vertices[[#Headers],[Vertex]:[Top Word Pairs in Comment by Salience]],0),FALSE)</f>
        <v>71</v>
      </c>
    </row>
    <row r="120" spans="1:3" ht="15">
      <c r="A120" s="90" t="s">
        <v>745</v>
      </c>
      <c r="B120" s="93" t="s">
        <v>270</v>
      </c>
      <c r="C120" s="89">
        <f>VLOOKUP(GroupVertices[[#This Row],[Vertex]],Vertices[],MATCH("ID",Vertices[[#Headers],[Vertex]:[Top Word Pairs in Comment by Salience]],0),FALSE)</f>
        <v>55</v>
      </c>
    </row>
    <row r="121" spans="1:3" ht="15">
      <c r="A121" s="90" t="s">
        <v>745</v>
      </c>
      <c r="B121" s="93" t="s">
        <v>268</v>
      </c>
      <c r="C121" s="89">
        <f>VLOOKUP(GroupVertices[[#This Row],[Vertex]],Vertices[],MATCH("ID",Vertices[[#Headers],[Vertex]:[Top Word Pairs in Comment by Salience]],0),FALSE)</f>
        <v>79</v>
      </c>
    </row>
    <row r="122" spans="1:3" ht="15">
      <c r="A122" s="90" t="s">
        <v>746</v>
      </c>
      <c r="B122" s="93" t="s">
        <v>348</v>
      </c>
      <c r="C122" s="89">
        <f>VLOOKUP(GroupVertices[[#This Row],[Vertex]],Vertices[],MATCH("ID",Vertices[[#Headers],[Vertex]:[Top Word Pairs in Comment by Salience]],0),FALSE)</f>
        <v>5</v>
      </c>
    </row>
    <row r="123" spans="1:3" ht="15">
      <c r="A123" s="90" t="s">
        <v>746</v>
      </c>
      <c r="B123" s="93" t="s">
        <v>351</v>
      </c>
      <c r="C123" s="89">
        <f>VLOOKUP(GroupVertices[[#This Row],[Vertex]],Vertices[],MATCH("ID",Vertices[[#Headers],[Vertex]:[Top Word Pairs in Comment by Salience]],0),FALSE)</f>
        <v>126</v>
      </c>
    </row>
    <row r="124" spans="1:3" ht="15">
      <c r="A124" s="90" t="s">
        <v>746</v>
      </c>
      <c r="B124" s="93" t="s">
        <v>353</v>
      </c>
      <c r="C124" s="89">
        <f>VLOOKUP(GroupVertices[[#This Row],[Vertex]],Vertices[],MATCH("ID",Vertices[[#Headers],[Vertex]:[Top Word Pairs in Comment by Salience]],0),FALSE)</f>
        <v>125</v>
      </c>
    </row>
    <row r="125" spans="1:3" ht="15">
      <c r="A125" s="90" t="s">
        <v>747</v>
      </c>
      <c r="B125" s="93" t="s">
        <v>343</v>
      </c>
      <c r="C125" s="89">
        <f>VLOOKUP(GroupVertices[[#This Row],[Vertex]],Vertices[],MATCH("ID",Vertices[[#Headers],[Vertex]:[Top Word Pairs in Comment by Salience]],0),FALSE)</f>
        <v>100</v>
      </c>
    </row>
    <row r="126" spans="1:3" ht="15">
      <c r="A126" s="90" t="s">
        <v>747</v>
      </c>
      <c r="B126" s="93" t="s">
        <v>342</v>
      </c>
      <c r="C126" s="89">
        <f>VLOOKUP(GroupVertices[[#This Row],[Vertex]],Vertices[],MATCH("ID",Vertices[[#Headers],[Vertex]:[Top Word Pairs in Comment by Salience]],0),FALSE)</f>
        <v>106</v>
      </c>
    </row>
    <row r="127" spans="1:3" ht="15">
      <c r="A127" s="90" t="s">
        <v>748</v>
      </c>
      <c r="B127" s="93" t="s">
        <v>334</v>
      </c>
      <c r="C127" s="89">
        <f>VLOOKUP(GroupVertices[[#This Row],[Vertex]],Vertices[],MATCH("ID",Vertices[[#Headers],[Vertex]:[Top Word Pairs in Comment by Salience]],0),FALSE)</f>
        <v>39</v>
      </c>
    </row>
    <row r="128" spans="1:3" ht="15">
      <c r="A128" s="90" t="s">
        <v>748</v>
      </c>
      <c r="B128" s="93" t="s">
        <v>333</v>
      </c>
      <c r="C128" s="89">
        <f>VLOOKUP(GroupVertices[[#This Row],[Vertex]],Vertices[],MATCH("ID",Vertices[[#Headers],[Vertex]:[Top Word Pairs in Comment by Salience]],0),FALSE)</f>
        <v>43</v>
      </c>
    </row>
    <row r="129" spans="1:3" ht="15">
      <c r="A129" s="90" t="s">
        <v>749</v>
      </c>
      <c r="B129" s="93" t="s">
        <v>277</v>
      </c>
      <c r="C129" s="89">
        <f>VLOOKUP(GroupVertices[[#This Row],[Vertex]],Vertices[],MATCH("ID",Vertices[[#Headers],[Vertex]:[Top Word Pairs in Comment by Salience]],0),FALSE)</f>
        <v>83</v>
      </c>
    </row>
    <row r="130" spans="1:3" ht="15">
      <c r="A130" s="90" t="s">
        <v>749</v>
      </c>
      <c r="B130" s="93" t="s">
        <v>276</v>
      </c>
      <c r="C130" s="89">
        <f>VLOOKUP(GroupVertices[[#This Row],[Vertex]],Vertices[],MATCH("ID",Vertices[[#Headers],[Vertex]:[Top Word Pairs in Comment by Salience]],0),FALSE)</f>
        <v>41</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v>
      </c>
      <c r="B2" s="35" t="s">
        <v>737</v>
      </c>
      <c r="D2" s="32">
        <f>MIN(Vertices[Degree])</f>
        <v>0</v>
      </c>
      <c r="E2" s="3">
        <f>COUNTIF(Vertices[Degree],"&gt;= "&amp;D2)-COUNTIF(Vertices[Degree],"&gt;="&amp;D3)</f>
        <v>0</v>
      </c>
      <c r="F2" s="38">
        <f>MIN(Vertices[In-Degree])</f>
        <v>0</v>
      </c>
      <c r="G2" s="39">
        <f>COUNTIF(Vertices[In-Degree],"&gt;= "&amp;F2)-COUNTIF(Vertices[In-Degree],"&gt;="&amp;F3)</f>
        <v>119</v>
      </c>
      <c r="H2" s="38">
        <f>MIN(Vertices[Out-Degree])</f>
        <v>1</v>
      </c>
      <c r="I2" s="39">
        <f>COUNTIF(Vertices[Out-Degree],"&gt;= "&amp;H2)-COUNTIF(Vertices[Out-Degree],"&gt;="&amp;H3)</f>
        <v>114</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45</v>
      </c>
      <c r="P2" s="38">
        <f>MIN(Vertices[PageRank])</f>
        <v>0.448991</v>
      </c>
      <c r="Q2" s="39">
        <f>COUNTIF(Vertices[PageRank],"&gt;= "&amp;P2)-COUNTIF(Vertices[PageRank],"&gt;="&amp;P3)</f>
        <v>116</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32"/>
      <c r="B3" s="132"/>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5</v>
      </c>
      <c r="H3" s="40">
        <f aca="true" t="shared" si="3" ref="H3:H35">H2+($H$36-$H$2)/BinDivisor</f>
        <v>1.088235294117647</v>
      </c>
      <c r="I3" s="41">
        <f>COUNTIF(Vertices[Out-Degree],"&gt;= "&amp;H3)-COUNTIF(Vertices[Out-Degree],"&gt;="&amp;H4)</f>
        <v>0</v>
      </c>
      <c r="J3" s="40">
        <f aca="true" t="shared" si="4" ref="J3:J35">J2+($J$36-$J$2)/BinDivisor</f>
        <v>213.53529411764706</v>
      </c>
      <c r="K3" s="41">
        <f>COUNTIF(Vertices[Betweenness Centrality],"&gt;= "&amp;J3)-COUNTIF(Vertices[Betweenness Centrality],"&gt;="&amp;J4)</f>
        <v>3</v>
      </c>
      <c r="L3" s="40">
        <f aca="true" t="shared" si="5" ref="L3:L35">L2+($L$36-$L$2)/BinDivisor</f>
        <v>0.002100852941176471</v>
      </c>
      <c r="M3" s="41">
        <f>COUNTIF(Vertices[Closeness Centrality],"&gt;= "&amp;L3)-COUNTIF(Vertices[Closeness Centrality],"&gt;="&amp;L4)</f>
        <v>32</v>
      </c>
      <c r="N3" s="40">
        <f aca="true" t="shared" si="6" ref="N3:N35">N2+($N$36-$N$2)/BinDivisor</f>
        <v>0.002983205882352941</v>
      </c>
      <c r="O3" s="41">
        <f>COUNTIF(Vertices[Eigenvector Centrality],"&gt;= "&amp;N3)-COUNTIF(Vertices[Eigenvector Centrality],"&gt;="&amp;N4)</f>
        <v>23</v>
      </c>
      <c r="P3" s="40">
        <f aca="true" t="shared" si="7" ref="P3:P35">P2+($P$36-$P$2)/BinDivisor</f>
        <v>1.1077372352941177</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3.5294117647058822</v>
      </c>
      <c r="G4" s="39">
        <f>COUNTIF(Vertices[In-Degree],"&gt;= "&amp;F4)-COUNTIF(Vertices[In-Degree],"&gt;="&amp;F5)</f>
        <v>1</v>
      </c>
      <c r="H4" s="38">
        <f t="shared" si="3"/>
        <v>1.176470588235294</v>
      </c>
      <c r="I4" s="39">
        <f>COUNTIF(Vertices[Out-Degree],"&gt;= "&amp;H4)-COUNTIF(Vertices[Out-Degree],"&gt;="&amp;H5)</f>
        <v>0</v>
      </c>
      <c r="J4" s="38">
        <f t="shared" si="4"/>
        <v>427.0705882352941</v>
      </c>
      <c r="K4" s="39">
        <f>COUNTIF(Vertices[Betweenness Centrality],"&gt;= "&amp;J4)-COUNTIF(Vertices[Betweenness Centrality],"&gt;="&amp;J5)</f>
        <v>1</v>
      </c>
      <c r="L4" s="38">
        <f t="shared" si="5"/>
        <v>0.004201705882352942</v>
      </c>
      <c r="M4" s="39">
        <f>COUNTIF(Vertices[Closeness Centrality],"&gt;= "&amp;L4)-COUNTIF(Vertices[Closeness Centrality],"&gt;="&amp;L5)</f>
        <v>59</v>
      </c>
      <c r="N4" s="38">
        <f t="shared" si="6"/>
        <v>0.005966411764705882</v>
      </c>
      <c r="O4" s="39">
        <f>COUNTIF(Vertices[Eigenvector Centrality],"&gt;= "&amp;N4)-COUNTIF(Vertices[Eigenvector Centrality],"&gt;="&amp;N5)</f>
        <v>1</v>
      </c>
      <c r="P4" s="38">
        <f t="shared" si="7"/>
        <v>1.7664834705882355</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32"/>
      <c r="B5" s="132"/>
      <c r="D5" s="33">
        <f t="shared" si="1"/>
        <v>0</v>
      </c>
      <c r="E5" s="3">
        <f>COUNTIF(Vertices[Degree],"&gt;= "&amp;D5)-COUNTIF(Vertices[Degree],"&gt;="&amp;D6)</f>
        <v>0</v>
      </c>
      <c r="F5" s="40">
        <f t="shared" si="2"/>
        <v>5.294117647058823</v>
      </c>
      <c r="G5" s="41">
        <f>COUNTIF(Vertices[In-Degree],"&gt;= "&amp;F5)-COUNTIF(Vertices[In-Degree],"&gt;="&amp;F6)</f>
        <v>1</v>
      </c>
      <c r="H5" s="40">
        <f t="shared" si="3"/>
        <v>1.264705882352941</v>
      </c>
      <c r="I5" s="41">
        <f>COUNTIF(Vertices[Out-Degree],"&gt;= "&amp;H5)-COUNTIF(Vertices[Out-Degree],"&gt;="&amp;H6)</f>
        <v>0</v>
      </c>
      <c r="J5" s="40">
        <f t="shared" si="4"/>
        <v>640.6058823529412</v>
      </c>
      <c r="K5" s="41">
        <f>COUNTIF(Vertices[Betweenness Centrality],"&gt;= "&amp;J5)-COUNTIF(Vertices[Betweenness Centrality],"&gt;="&amp;J6)</f>
        <v>0</v>
      </c>
      <c r="L5" s="40">
        <f t="shared" si="5"/>
        <v>0.006302558823529413</v>
      </c>
      <c r="M5" s="41">
        <f>COUNTIF(Vertices[Closeness Centrality],"&gt;= "&amp;L5)-COUNTIF(Vertices[Closeness Centrality],"&gt;="&amp;L6)</f>
        <v>1</v>
      </c>
      <c r="N5" s="40">
        <f t="shared" si="6"/>
        <v>0.008949617647058823</v>
      </c>
      <c r="O5" s="41">
        <f>COUNTIF(Vertices[Eigenvector Centrality],"&gt;= "&amp;N5)-COUNTIF(Vertices[Eigenvector Centrality],"&gt;="&amp;N6)</f>
        <v>39</v>
      </c>
      <c r="P5" s="40">
        <f t="shared" si="7"/>
        <v>2.4252297058823533</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138</v>
      </c>
      <c r="D6" s="33">
        <f t="shared" si="1"/>
        <v>0</v>
      </c>
      <c r="E6" s="3">
        <f>COUNTIF(Vertices[Degree],"&gt;= "&amp;D6)-COUNTIF(Vertices[Degree],"&gt;="&amp;D7)</f>
        <v>0</v>
      </c>
      <c r="F6" s="38">
        <f t="shared" si="2"/>
        <v>7.0588235294117645</v>
      </c>
      <c r="G6" s="39">
        <f>COUNTIF(Vertices[In-Degree],"&gt;= "&amp;F6)-COUNTIF(Vertices[In-Degree],"&gt;="&amp;F7)</f>
        <v>0</v>
      </c>
      <c r="H6" s="38">
        <f t="shared" si="3"/>
        <v>1.3529411764705879</v>
      </c>
      <c r="I6" s="39">
        <f>COUNTIF(Vertices[Out-Degree],"&gt;= "&amp;H6)-COUNTIF(Vertices[Out-Degree],"&gt;="&amp;H7)</f>
        <v>0</v>
      </c>
      <c r="J6" s="38">
        <f t="shared" si="4"/>
        <v>854.1411764705882</v>
      </c>
      <c r="K6" s="39">
        <f>COUNTIF(Vertices[Betweenness Centrality],"&gt;= "&amp;J6)-COUNTIF(Vertices[Betweenness Centrality],"&gt;="&amp;J7)</f>
        <v>0</v>
      </c>
      <c r="L6" s="38">
        <f t="shared" si="5"/>
        <v>0.008403411764705883</v>
      </c>
      <c r="M6" s="39">
        <f>COUNTIF(Vertices[Closeness Centrality],"&gt;= "&amp;L6)-COUNTIF(Vertices[Closeness Centrality],"&gt;="&amp;L7)</f>
        <v>0</v>
      </c>
      <c r="N6" s="38">
        <f t="shared" si="6"/>
        <v>0.011932823529411765</v>
      </c>
      <c r="O6" s="39">
        <f>COUNTIF(Vertices[Eigenvector Centrality],"&gt;= "&amp;N6)-COUNTIF(Vertices[Eigenvector Centrality],"&gt;="&amp;N7)</f>
        <v>11</v>
      </c>
      <c r="P6" s="38">
        <f t="shared" si="7"/>
        <v>3.083975941176471</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26</v>
      </c>
      <c r="D7" s="33">
        <f t="shared" si="1"/>
        <v>0</v>
      </c>
      <c r="E7" s="3">
        <f>COUNTIF(Vertices[Degree],"&gt;= "&amp;D7)-COUNTIF(Vertices[Degree],"&gt;="&amp;D8)</f>
        <v>0</v>
      </c>
      <c r="F7" s="40">
        <f t="shared" si="2"/>
        <v>8.823529411764707</v>
      </c>
      <c r="G7" s="41">
        <f>COUNTIF(Vertices[In-Degree],"&gt;= "&amp;F7)-COUNTIF(Vertices[In-Degree],"&gt;="&amp;F8)</f>
        <v>0</v>
      </c>
      <c r="H7" s="40">
        <f t="shared" si="3"/>
        <v>1.4411764705882348</v>
      </c>
      <c r="I7" s="41">
        <f>COUNTIF(Vertices[Out-Degree],"&gt;= "&amp;H7)-COUNTIF(Vertices[Out-Degree],"&gt;="&amp;H8)</f>
        <v>0</v>
      </c>
      <c r="J7" s="40">
        <f t="shared" si="4"/>
        <v>1067.6764705882354</v>
      </c>
      <c r="K7" s="41">
        <f>COUNTIF(Vertices[Betweenness Centrality],"&gt;= "&amp;J7)-COUNTIF(Vertices[Betweenness Centrality],"&gt;="&amp;J8)</f>
        <v>0</v>
      </c>
      <c r="L7" s="40">
        <f t="shared" si="5"/>
        <v>0.010504264705882354</v>
      </c>
      <c r="M7" s="41">
        <f>COUNTIF(Vertices[Closeness Centrality],"&gt;= "&amp;L7)-COUNTIF(Vertices[Closeness Centrality],"&gt;="&amp;L8)</f>
        <v>0</v>
      </c>
      <c r="N7" s="40">
        <f t="shared" si="6"/>
        <v>0.014916029411764706</v>
      </c>
      <c r="O7" s="41">
        <f>COUNTIF(Vertices[Eigenvector Centrality],"&gt;= "&amp;N7)-COUNTIF(Vertices[Eigenvector Centrality],"&gt;="&amp;N8)</f>
        <v>5</v>
      </c>
      <c r="P7" s="40">
        <f t="shared" si="7"/>
        <v>3.742722176470589</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164</v>
      </c>
      <c r="D8" s="33">
        <f t="shared" si="1"/>
        <v>0</v>
      </c>
      <c r="E8" s="3">
        <f>COUNTIF(Vertices[Degree],"&gt;= "&amp;D8)-COUNTIF(Vertices[Degree],"&gt;="&amp;D9)</f>
        <v>0</v>
      </c>
      <c r="F8" s="38">
        <f t="shared" si="2"/>
        <v>10.588235294117649</v>
      </c>
      <c r="G8" s="39">
        <f>COUNTIF(Vertices[In-Degree],"&gt;= "&amp;F8)-COUNTIF(Vertices[In-Degree],"&gt;="&amp;F9)</f>
        <v>0</v>
      </c>
      <c r="H8" s="38">
        <f t="shared" si="3"/>
        <v>1.5294117647058818</v>
      </c>
      <c r="I8" s="39">
        <f>COUNTIF(Vertices[Out-Degree],"&gt;= "&amp;H8)-COUNTIF(Vertices[Out-Degree],"&gt;="&amp;H9)</f>
        <v>0</v>
      </c>
      <c r="J8" s="38">
        <f t="shared" si="4"/>
        <v>1281.2117647058824</v>
      </c>
      <c r="K8" s="39">
        <f>COUNTIF(Vertices[Betweenness Centrality],"&gt;= "&amp;J8)-COUNTIF(Vertices[Betweenness Centrality],"&gt;="&amp;J9)</f>
        <v>0</v>
      </c>
      <c r="L8" s="38">
        <f t="shared" si="5"/>
        <v>0.012605117647058824</v>
      </c>
      <c r="M8" s="39">
        <f>COUNTIF(Vertices[Closeness Centrality],"&gt;= "&amp;L8)-COUNTIF(Vertices[Closeness Centrality],"&gt;="&amp;L9)</f>
        <v>0</v>
      </c>
      <c r="N8" s="38">
        <f t="shared" si="6"/>
        <v>0.017899235294117646</v>
      </c>
      <c r="O8" s="39">
        <f>COUNTIF(Vertices[Eigenvector Centrality],"&gt;= "&amp;N8)-COUNTIF(Vertices[Eigenvector Centrality],"&gt;="&amp;N9)</f>
        <v>3</v>
      </c>
      <c r="P8" s="38">
        <f t="shared" si="7"/>
        <v>4.401468411764706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32"/>
      <c r="B9" s="132"/>
      <c r="D9" s="33">
        <f t="shared" si="1"/>
        <v>0</v>
      </c>
      <c r="E9" s="3">
        <f>COUNTIF(Vertices[Degree],"&gt;= "&amp;D9)-COUNTIF(Vertices[Degree],"&gt;="&amp;D10)</f>
        <v>0</v>
      </c>
      <c r="F9" s="40">
        <f t="shared" si="2"/>
        <v>12.35294117647059</v>
      </c>
      <c r="G9" s="41">
        <f>COUNTIF(Vertices[In-Degree],"&gt;= "&amp;F9)-COUNTIF(Vertices[In-Degree],"&gt;="&amp;F10)</f>
        <v>0</v>
      </c>
      <c r="H9" s="40">
        <f t="shared" si="3"/>
        <v>1.6176470588235288</v>
      </c>
      <c r="I9" s="41">
        <f>COUNTIF(Vertices[Out-Degree],"&gt;= "&amp;H9)-COUNTIF(Vertices[Out-Degree],"&gt;="&amp;H10)</f>
        <v>0</v>
      </c>
      <c r="J9" s="40">
        <f t="shared" si="4"/>
        <v>1494.7470588235294</v>
      </c>
      <c r="K9" s="41">
        <f>COUNTIF(Vertices[Betweenness Centrality],"&gt;= "&amp;J9)-COUNTIF(Vertices[Betweenness Centrality],"&gt;="&amp;J10)</f>
        <v>0</v>
      </c>
      <c r="L9" s="40">
        <f t="shared" si="5"/>
        <v>0.014705970588235294</v>
      </c>
      <c r="M9" s="41">
        <f>COUNTIF(Vertices[Closeness Centrality],"&gt;= "&amp;L9)-COUNTIF(Vertices[Closeness Centrality],"&gt;="&amp;L10)</f>
        <v>1</v>
      </c>
      <c r="N9" s="40">
        <f t="shared" si="6"/>
        <v>0.020882441176470586</v>
      </c>
      <c r="O9" s="41">
        <f>COUNTIF(Vertices[Eigenvector Centrality],"&gt;= "&amp;N9)-COUNTIF(Vertices[Eigenvector Centrality],"&gt;="&amp;N10)</f>
        <v>0</v>
      </c>
      <c r="P9" s="40">
        <f t="shared" si="7"/>
        <v>5.060214647058824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14</v>
      </c>
      <c r="D10" s="33">
        <f t="shared" si="1"/>
        <v>0</v>
      </c>
      <c r="E10" s="3">
        <f>COUNTIF(Vertices[Degree],"&gt;= "&amp;D10)-COUNTIF(Vertices[Degree],"&gt;="&amp;D11)</f>
        <v>0</v>
      </c>
      <c r="F10" s="38">
        <f t="shared" si="2"/>
        <v>14.117647058823533</v>
      </c>
      <c r="G10" s="39">
        <f>COUNTIF(Vertices[In-Degree],"&gt;= "&amp;F10)-COUNTIF(Vertices[In-Degree],"&gt;="&amp;F11)</f>
        <v>0</v>
      </c>
      <c r="H10" s="38">
        <f t="shared" si="3"/>
        <v>1.7058823529411757</v>
      </c>
      <c r="I10" s="39">
        <f>COUNTIF(Vertices[Out-Degree],"&gt;= "&amp;H10)-COUNTIF(Vertices[Out-Degree],"&gt;="&amp;H11)</f>
        <v>0</v>
      </c>
      <c r="J10" s="38">
        <f t="shared" si="4"/>
        <v>1708.2823529411764</v>
      </c>
      <c r="K10" s="39">
        <f>COUNTIF(Vertices[Betweenness Centrality],"&gt;= "&amp;J10)-COUNTIF(Vertices[Betweenness Centrality],"&gt;="&amp;J11)</f>
        <v>0</v>
      </c>
      <c r="L10" s="38">
        <f t="shared" si="5"/>
        <v>0.016806823529411766</v>
      </c>
      <c r="M10" s="39">
        <f>COUNTIF(Vertices[Closeness Centrality],"&gt;= "&amp;L10)-COUNTIF(Vertices[Closeness Centrality],"&gt;="&amp;L11)</f>
        <v>0</v>
      </c>
      <c r="N10" s="38">
        <f t="shared" si="6"/>
        <v>0.023865647058823526</v>
      </c>
      <c r="O10" s="39">
        <f>COUNTIF(Vertices[Eigenvector Centrality],"&gt;= "&amp;N10)-COUNTIF(Vertices[Eigenvector Centrality],"&gt;="&amp;N11)</f>
        <v>0</v>
      </c>
      <c r="P10" s="38">
        <f t="shared" si="7"/>
        <v>5.718960882352941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32"/>
      <c r="B11" s="132"/>
      <c r="D11" s="33">
        <f t="shared" si="1"/>
        <v>0</v>
      </c>
      <c r="E11" s="3">
        <f>COUNTIF(Vertices[Degree],"&gt;= "&amp;D11)-COUNTIF(Vertices[Degree],"&gt;="&amp;D12)</f>
        <v>0</v>
      </c>
      <c r="F11" s="40">
        <f t="shared" si="2"/>
        <v>15.882352941176475</v>
      </c>
      <c r="G11" s="41">
        <f>COUNTIF(Vertices[In-Degree],"&gt;= "&amp;F11)-COUNTIF(Vertices[In-Degree],"&gt;="&amp;F12)</f>
        <v>0</v>
      </c>
      <c r="H11" s="40">
        <f t="shared" si="3"/>
        <v>1.7941176470588227</v>
      </c>
      <c r="I11" s="41">
        <f>COUNTIF(Vertices[Out-Degree],"&gt;= "&amp;H11)-COUNTIF(Vertices[Out-Degree],"&gt;="&amp;H12)</f>
        <v>0</v>
      </c>
      <c r="J11" s="40">
        <f t="shared" si="4"/>
        <v>1921.8176470588235</v>
      </c>
      <c r="K11" s="41">
        <f>COUNTIF(Vertices[Betweenness Centrality],"&gt;= "&amp;J11)-COUNTIF(Vertices[Betweenness Centrality],"&gt;="&amp;J12)</f>
        <v>0</v>
      </c>
      <c r="L11" s="40">
        <f t="shared" si="5"/>
        <v>0.018907676470588237</v>
      </c>
      <c r="M11" s="41">
        <f>COUNTIF(Vertices[Closeness Centrality],"&gt;= "&amp;L11)-COUNTIF(Vertices[Closeness Centrality],"&gt;="&amp;L12)</f>
        <v>0</v>
      </c>
      <c r="N11" s="40">
        <f t="shared" si="6"/>
        <v>0.026848852941176466</v>
      </c>
      <c r="O11" s="41">
        <f>COUNTIF(Vertices[Eigenvector Centrality],"&gt;= "&amp;N11)-COUNTIF(Vertices[Eigenvector Centrality],"&gt;="&amp;N12)</f>
        <v>0</v>
      </c>
      <c r="P11" s="40">
        <f t="shared" si="7"/>
        <v>6.377707117647058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17.647058823529417</v>
      </c>
      <c r="G12" s="39">
        <f>COUNTIF(Vertices[In-Degree],"&gt;= "&amp;F12)-COUNTIF(Vertices[In-Degree],"&gt;="&amp;F13)</f>
        <v>0</v>
      </c>
      <c r="H12" s="38">
        <f t="shared" si="3"/>
        <v>1.8823529411764697</v>
      </c>
      <c r="I12" s="39">
        <f>COUNTIF(Vertices[Out-Degree],"&gt;= "&amp;H12)-COUNTIF(Vertices[Out-Degree],"&gt;="&amp;H13)</f>
        <v>0</v>
      </c>
      <c r="J12" s="38">
        <f t="shared" si="4"/>
        <v>2135.3529411764707</v>
      </c>
      <c r="K12" s="39">
        <f>COUNTIF(Vertices[Betweenness Centrality],"&gt;= "&amp;J12)-COUNTIF(Vertices[Betweenness Centrality],"&gt;="&amp;J13)</f>
        <v>0</v>
      </c>
      <c r="L12" s="38">
        <f t="shared" si="5"/>
        <v>0.021008529411764707</v>
      </c>
      <c r="M12" s="39">
        <f>COUNTIF(Vertices[Closeness Centrality],"&gt;= "&amp;L12)-COUNTIF(Vertices[Closeness Centrality],"&gt;="&amp;L13)</f>
        <v>20</v>
      </c>
      <c r="N12" s="38">
        <f t="shared" si="6"/>
        <v>0.029832058823529406</v>
      </c>
      <c r="O12" s="39">
        <f>COUNTIF(Vertices[Eigenvector Centrality],"&gt;= "&amp;N12)-COUNTIF(Vertices[Eigenvector Centrality],"&gt;="&amp;N13)</f>
        <v>0</v>
      </c>
      <c r="P12" s="38">
        <f t="shared" si="7"/>
        <v>7.036453352941176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19.41176470588236</v>
      </c>
      <c r="G13" s="41">
        <f>COUNTIF(Vertices[In-Degree],"&gt;= "&amp;F13)-COUNTIF(Vertices[In-Degree],"&gt;="&amp;F14)</f>
        <v>0</v>
      </c>
      <c r="H13" s="40">
        <f t="shared" si="3"/>
        <v>1.9705882352941166</v>
      </c>
      <c r="I13" s="41">
        <f>COUNTIF(Vertices[Out-Degree],"&gt;= "&amp;H13)-COUNTIF(Vertices[Out-Degree],"&gt;="&amp;H14)</f>
        <v>10</v>
      </c>
      <c r="J13" s="40">
        <f t="shared" si="4"/>
        <v>2348.8882352941177</v>
      </c>
      <c r="K13" s="41">
        <f>COUNTIF(Vertices[Betweenness Centrality],"&gt;= "&amp;J13)-COUNTIF(Vertices[Betweenness Centrality],"&gt;="&amp;J14)</f>
        <v>0</v>
      </c>
      <c r="L13" s="40">
        <f t="shared" si="5"/>
        <v>0.023109382352941178</v>
      </c>
      <c r="M13" s="41">
        <f>COUNTIF(Vertices[Closeness Centrality],"&gt;= "&amp;L13)-COUNTIF(Vertices[Closeness Centrality],"&gt;="&amp;L14)</f>
        <v>1</v>
      </c>
      <c r="N13" s="40">
        <f t="shared" si="6"/>
        <v>0.03281526470588235</v>
      </c>
      <c r="O13" s="41">
        <f>COUNTIF(Vertices[Eigenvector Centrality],"&gt;= "&amp;N13)-COUNTIF(Vertices[Eigenvector Centrality],"&gt;="&amp;N14)</f>
        <v>0</v>
      </c>
      <c r="P13" s="40">
        <f t="shared" si="7"/>
        <v>7.695199588235293</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132"/>
      <c r="B14" s="132"/>
      <c r="D14" s="33">
        <f t="shared" si="1"/>
        <v>0</v>
      </c>
      <c r="E14" s="3">
        <f>COUNTIF(Vertices[Degree],"&gt;= "&amp;D14)-COUNTIF(Vertices[Degree],"&gt;="&amp;D15)</f>
        <v>0</v>
      </c>
      <c r="F14" s="38">
        <f t="shared" si="2"/>
        <v>21.1764705882353</v>
      </c>
      <c r="G14" s="39">
        <f>COUNTIF(Vertices[In-Degree],"&gt;= "&amp;F14)-COUNTIF(Vertices[In-Degree],"&gt;="&amp;F15)</f>
        <v>1</v>
      </c>
      <c r="H14" s="38">
        <f t="shared" si="3"/>
        <v>2.0588235294117636</v>
      </c>
      <c r="I14" s="39">
        <f>COUNTIF(Vertices[Out-Degree],"&gt;= "&amp;H14)-COUNTIF(Vertices[Out-Degree],"&gt;="&amp;H15)</f>
        <v>0</v>
      </c>
      <c r="J14" s="38">
        <f t="shared" si="4"/>
        <v>2562.423529411765</v>
      </c>
      <c r="K14" s="39">
        <f>COUNTIF(Vertices[Betweenness Centrality],"&gt;= "&amp;J14)-COUNTIF(Vertices[Betweenness Centrality],"&gt;="&amp;J15)</f>
        <v>0</v>
      </c>
      <c r="L14" s="38">
        <f t="shared" si="5"/>
        <v>0.025210235294117648</v>
      </c>
      <c r="M14" s="39">
        <f>COUNTIF(Vertices[Closeness Centrality],"&gt;= "&amp;L14)-COUNTIF(Vertices[Closeness Centrality],"&gt;="&amp;L15)</f>
        <v>0</v>
      </c>
      <c r="N14" s="38">
        <f t="shared" si="6"/>
        <v>0.03579847058823529</v>
      </c>
      <c r="O14" s="39">
        <f>COUNTIF(Vertices[Eigenvector Centrality],"&gt;= "&amp;N14)-COUNTIF(Vertices[Eigenvector Centrality],"&gt;="&amp;N15)</f>
        <v>0</v>
      </c>
      <c r="P14" s="38">
        <f t="shared" si="7"/>
        <v>8.353945823529411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6</v>
      </c>
      <c r="D15" s="33">
        <f t="shared" si="1"/>
        <v>0</v>
      </c>
      <c r="E15" s="3">
        <f>COUNTIF(Vertices[Degree],"&gt;= "&amp;D15)-COUNTIF(Vertices[Degree],"&gt;="&amp;D16)</f>
        <v>0</v>
      </c>
      <c r="F15" s="40">
        <f t="shared" si="2"/>
        <v>22.941176470588243</v>
      </c>
      <c r="G15" s="41">
        <f>COUNTIF(Vertices[In-Degree],"&gt;= "&amp;F15)-COUNTIF(Vertices[In-Degree],"&gt;="&amp;F16)</f>
        <v>0</v>
      </c>
      <c r="H15" s="40">
        <f t="shared" si="3"/>
        <v>2.147058823529411</v>
      </c>
      <c r="I15" s="41">
        <f>COUNTIF(Vertices[Out-Degree],"&gt;= "&amp;H15)-COUNTIF(Vertices[Out-Degree],"&gt;="&amp;H16)</f>
        <v>0</v>
      </c>
      <c r="J15" s="40">
        <f t="shared" si="4"/>
        <v>2775.958823529412</v>
      </c>
      <c r="K15" s="41">
        <f>COUNTIF(Vertices[Betweenness Centrality],"&gt;= "&amp;J15)-COUNTIF(Vertices[Betweenness Centrality],"&gt;="&amp;J16)</f>
        <v>0</v>
      </c>
      <c r="L15" s="40">
        <f t="shared" si="5"/>
        <v>0.027311088235294118</v>
      </c>
      <c r="M15" s="41">
        <f>COUNTIF(Vertices[Closeness Centrality],"&gt;= "&amp;L15)-COUNTIF(Vertices[Closeness Centrality],"&gt;="&amp;L16)</f>
        <v>0</v>
      </c>
      <c r="N15" s="40">
        <f t="shared" si="6"/>
        <v>0.038781676470588236</v>
      </c>
      <c r="O15" s="41">
        <f>COUNTIF(Vertices[Eigenvector Centrality],"&gt;= "&amp;N15)-COUNTIF(Vertices[Eigenvector Centrality],"&gt;="&amp;N16)</f>
        <v>1</v>
      </c>
      <c r="P15" s="40">
        <f t="shared" si="7"/>
        <v>9.012692058823529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3</v>
      </c>
      <c r="D16" s="33">
        <f t="shared" si="1"/>
        <v>0</v>
      </c>
      <c r="E16" s="3">
        <f>COUNTIF(Vertices[Degree],"&gt;= "&amp;D16)-COUNTIF(Vertices[Degree],"&gt;="&amp;D17)</f>
        <v>0</v>
      </c>
      <c r="F16" s="38">
        <f t="shared" si="2"/>
        <v>24.705882352941185</v>
      </c>
      <c r="G16" s="39">
        <f>COUNTIF(Vertices[In-Degree],"&gt;= "&amp;F16)-COUNTIF(Vertices[In-Degree],"&gt;="&amp;F17)</f>
        <v>0</v>
      </c>
      <c r="H16" s="38">
        <f t="shared" si="3"/>
        <v>2.235294117647058</v>
      </c>
      <c r="I16" s="39">
        <f>COUNTIF(Vertices[Out-Degree],"&gt;= "&amp;H16)-COUNTIF(Vertices[Out-Degree],"&gt;="&amp;H17)</f>
        <v>0</v>
      </c>
      <c r="J16" s="38">
        <f t="shared" si="4"/>
        <v>2989.494117647059</v>
      </c>
      <c r="K16" s="39">
        <f>COUNTIF(Vertices[Betweenness Centrality],"&gt;= "&amp;J16)-COUNTIF(Vertices[Betweenness Centrality],"&gt;="&amp;J17)</f>
        <v>0</v>
      </c>
      <c r="L16" s="38">
        <f t="shared" si="5"/>
        <v>0.02941194117647059</v>
      </c>
      <c r="M16" s="39">
        <f>COUNTIF(Vertices[Closeness Centrality],"&gt;= "&amp;L16)-COUNTIF(Vertices[Closeness Centrality],"&gt;="&amp;L17)</f>
        <v>0</v>
      </c>
      <c r="N16" s="38">
        <f t="shared" si="6"/>
        <v>0.04176488235294118</v>
      </c>
      <c r="O16" s="39">
        <f>COUNTIF(Vertices[Eigenvector Centrality],"&gt;= "&amp;N16)-COUNTIF(Vertices[Eigenvector Centrality],"&gt;="&amp;N17)</f>
        <v>0</v>
      </c>
      <c r="P16" s="38">
        <f t="shared" si="7"/>
        <v>9.671438294117646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92</v>
      </c>
      <c r="D17" s="33">
        <f t="shared" si="1"/>
        <v>0</v>
      </c>
      <c r="E17" s="3">
        <f>COUNTIF(Vertices[Degree],"&gt;= "&amp;D17)-COUNTIF(Vertices[Degree],"&gt;="&amp;D18)</f>
        <v>0</v>
      </c>
      <c r="F17" s="40">
        <f t="shared" si="2"/>
        <v>26.470588235294127</v>
      </c>
      <c r="G17" s="41">
        <f>COUNTIF(Vertices[In-Degree],"&gt;= "&amp;F17)-COUNTIF(Vertices[In-Degree],"&gt;="&amp;F18)</f>
        <v>1</v>
      </c>
      <c r="H17" s="40">
        <f t="shared" si="3"/>
        <v>2.323529411764705</v>
      </c>
      <c r="I17" s="41">
        <f>COUNTIF(Vertices[Out-Degree],"&gt;= "&amp;H17)-COUNTIF(Vertices[Out-Degree],"&gt;="&amp;H18)</f>
        <v>0</v>
      </c>
      <c r="J17" s="40">
        <f t="shared" si="4"/>
        <v>3203.029411764706</v>
      </c>
      <c r="K17" s="41">
        <f>COUNTIF(Vertices[Betweenness Centrality],"&gt;= "&amp;J17)-COUNTIF(Vertices[Betweenness Centrality],"&gt;="&amp;J18)</f>
        <v>1</v>
      </c>
      <c r="L17" s="40">
        <f t="shared" si="5"/>
        <v>0.03151279411764706</v>
      </c>
      <c r="M17" s="41">
        <f>COUNTIF(Vertices[Closeness Centrality],"&gt;= "&amp;L17)-COUNTIF(Vertices[Closeness Centrality],"&gt;="&amp;L18)</f>
        <v>2</v>
      </c>
      <c r="N17" s="40">
        <f t="shared" si="6"/>
        <v>0.04474808823529412</v>
      </c>
      <c r="O17" s="41">
        <f>COUNTIF(Vertices[Eigenvector Centrality],"&gt;= "&amp;N17)-COUNTIF(Vertices[Eigenvector Centrality],"&gt;="&amp;N18)</f>
        <v>0</v>
      </c>
      <c r="P17" s="40">
        <f t="shared" si="7"/>
        <v>10.330184529411763</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125</v>
      </c>
      <c r="D18" s="33">
        <f t="shared" si="1"/>
        <v>0</v>
      </c>
      <c r="E18" s="3">
        <f>COUNTIF(Vertices[Degree],"&gt;= "&amp;D18)-COUNTIF(Vertices[Degree],"&gt;="&amp;D19)</f>
        <v>0</v>
      </c>
      <c r="F18" s="38">
        <f t="shared" si="2"/>
        <v>28.23529411764707</v>
      </c>
      <c r="G18" s="39">
        <f>COUNTIF(Vertices[In-Degree],"&gt;= "&amp;F18)-COUNTIF(Vertices[In-Degree],"&gt;="&amp;F19)</f>
        <v>0</v>
      </c>
      <c r="H18" s="38">
        <f t="shared" si="3"/>
        <v>2.4117647058823524</v>
      </c>
      <c r="I18" s="39">
        <f>COUNTIF(Vertices[Out-Degree],"&gt;= "&amp;H18)-COUNTIF(Vertices[Out-Degree],"&gt;="&amp;H19)</f>
        <v>0</v>
      </c>
      <c r="J18" s="38">
        <f t="shared" si="4"/>
        <v>3416.564705882353</v>
      </c>
      <c r="K18" s="39">
        <f>COUNTIF(Vertices[Betweenness Centrality],"&gt;= "&amp;J18)-COUNTIF(Vertices[Betweenness Centrality],"&gt;="&amp;J19)</f>
        <v>0</v>
      </c>
      <c r="L18" s="38">
        <f t="shared" si="5"/>
        <v>0.03361364705882353</v>
      </c>
      <c r="M18" s="39">
        <f>COUNTIF(Vertices[Closeness Centrality],"&gt;= "&amp;L18)-COUNTIF(Vertices[Closeness Centrality],"&gt;="&amp;L19)</f>
        <v>2</v>
      </c>
      <c r="N18" s="38">
        <f t="shared" si="6"/>
        <v>0.047731294117647066</v>
      </c>
      <c r="O18" s="39">
        <f>COUNTIF(Vertices[Eigenvector Centrality],"&gt;= "&amp;N18)-COUNTIF(Vertices[Eigenvector Centrality],"&gt;="&amp;N19)</f>
        <v>0</v>
      </c>
      <c r="P18" s="38">
        <f t="shared" si="7"/>
        <v>10.98893076470588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32"/>
      <c r="B19" s="132"/>
      <c r="D19" s="33">
        <f t="shared" si="1"/>
        <v>0</v>
      </c>
      <c r="E19" s="3">
        <f>COUNTIF(Vertices[Degree],"&gt;= "&amp;D19)-COUNTIF(Vertices[Degree],"&gt;="&amp;D20)</f>
        <v>0</v>
      </c>
      <c r="F19" s="40">
        <f t="shared" si="2"/>
        <v>30.00000000000001</v>
      </c>
      <c r="G19" s="41">
        <f>COUNTIF(Vertices[In-Degree],"&gt;= "&amp;F19)-COUNTIF(Vertices[In-Degree],"&gt;="&amp;F20)</f>
        <v>0</v>
      </c>
      <c r="H19" s="40">
        <f t="shared" si="3"/>
        <v>2.4999999999999996</v>
      </c>
      <c r="I19" s="41">
        <f>COUNTIF(Vertices[Out-Degree],"&gt;= "&amp;H19)-COUNTIF(Vertices[Out-Degree],"&gt;="&amp;H20)</f>
        <v>0</v>
      </c>
      <c r="J19" s="40">
        <f t="shared" si="4"/>
        <v>3630.1</v>
      </c>
      <c r="K19" s="41">
        <f>COUNTIF(Vertices[Betweenness Centrality],"&gt;= "&amp;J19)-COUNTIF(Vertices[Betweenness Centrality],"&gt;="&amp;J20)</f>
        <v>0</v>
      </c>
      <c r="L19" s="40">
        <f t="shared" si="5"/>
        <v>0.0357145</v>
      </c>
      <c r="M19" s="41">
        <f>COUNTIF(Vertices[Closeness Centrality],"&gt;= "&amp;L19)-COUNTIF(Vertices[Closeness Centrality],"&gt;="&amp;L20)</f>
        <v>0</v>
      </c>
      <c r="N19" s="40">
        <f t="shared" si="6"/>
        <v>0.05071450000000001</v>
      </c>
      <c r="O19" s="41">
        <f>COUNTIF(Vertices[Eigenvector Centrality],"&gt;= "&amp;N19)-COUNTIF(Vertices[Eigenvector Centrality],"&gt;="&amp;N20)</f>
        <v>0</v>
      </c>
      <c r="P19" s="40">
        <f t="shared" si="7"/>
        <v>11.647676999999998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31.764705882352953</v>
      </c>
      <c r="G20" s="39">
        <f>COUNTIF(Vertices[In-Degree],"&gt;= "&amp;F20)-COUNTIF(Vertices[In-Degree],"&gt;="&amp;F21)</f>
        <v>0</v>
      </c>
      <c r="H20" s="38">
        <f t="shared" si="3"/>
        <v>2.5882352941176467</v>
      </c>
      <c r="I20" s="39">
        <f>COUNTIF(Vertices[Out-Degree],"&gt;= "&amp;H20)-COUNTIF(Vertices[Out-Degree],"&gt;="&amp;H21)</f>
        <v>0</v>
      </c>
      <c r="J20" s="38">
        <f t="shared" si="4"/>
        <v>3843.635294117647</v>
      </c>
      <c r="K20" s="39">
        <f>COUNTIF(Vertices[Betweenness Centrality],"&gt;= "&amp;J20)-COUNTIF(Vertices[Betweenness Centrality],"&gt;="&amp;J21)</f>
        <v>0</v>
      </c>
      <c r="L20" s="38">
        <f t="shared" si="5"/>
        <v>0.037815352941176474</v>
      </c>
      <c r="M20" s="39">
        <f>COUNTIF(Vertices[Closeness Centrality],"&gt;= "&amp;L20)-COUNTIF(Vertices[Closeness Centrality],"&gt;="&amp;L21)</f>
        <v>0</v>
      </c>
      <c r="N20" s="38">
        <f t="shared" si="6"/>
        <v>0.05369770588235295</v>
      </c>
      <c r="O20" s="39">
        <f>COUNTIF(Vertices[Eigenvector Centrality],"&gt;= "&amp;N20)-COUNTIF(Vertices[Eigenvector Centrality],"&gt;="&amp;N21)</f>
        <v>0</v>
      </c>
      <c r="P20" s="38">
        <f t="shared" si="7"/>
        <v>12.306423235294115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2.447296</v>
      </c>
      <c r="D21" s="33">
        <f t="shared" si="1"/>
        <v>0</v>
      </c>
      <c r="E21" s="3">
        <f>COUNTIF(Vertices[Degree],"&gt;= "&amp;D21)-COUNTIF(Vertices[Degree],"&gt;="&amp;D22)</f>
        <v>0</v>
      </c>
      <c r="F21" s="40">
        <f t="shared" si="2"/>
        <v>33.52941176470589</v>
      </c>
      <c r="G21" s="41">
        <f>COUNTIF(Vertices[In-Degree],"&gt;= "&amp;F21)-COUNTIF(Vertices[In-Degree],"&gt;="&amp;F22)</f>
        <v>0</v>
      </c>
      <c r="H21" s="40">
        <f t="shared" si="3"/>
        <v>2.676470588235294</v>
      </c>
      <c r="I21" s="41">
        <f>COUNTIF(Vertices[Out-Degree],"&gt;= "&amp;H21)-COUNTIF(Vertices[Out-Degree],"&gt;="&amp;H22)</f>
        <v>0</v>
      </c>
      <c r="J21" s="40">
        <f t="shared" si="4"/>
        <v>4057.170588235294</v>
      </c>
      <c r="K21" s="41">
        <f>COUNTIF(Vertices[Betweenness Centrality],"&gt;= "&amp;J21)-COUNTIF(Vertices[Betweenness Centrality],"&gt;="&amp;J22)</f>
        <v>0</v>
      </c>
      <c r="L21" s="40">
        <f t="shared" si="5"/>
        <v>0.039916205882352944</v>
      </c>
      <c r="M21" s="41">
        <f>COUNTIF(Vertices[Closeness Centrality],"&gt;= "&amp;L21)-COUNTIF(Vertices[Closeness Centrality],"&gt;="&amp;L22)</f>
        <v>0</v>
      </c>
      <c r="N21" s="40">
        <f t="shared" si="6"/>
        <v>0.056680911764705896</v>
      </c>
      <c r="O21" s="41">
        <f>COUNTIF(Vertices[Eigenvector Centrality],"&gt;= "&amp;N21)-COUNTIF(Vertices[Eigenvector Centrality],"&gt;="&amp;N22)</f>
        <v>0</v>
      </c>
      <c r="P21" s="40">
        <f t="shared" si="7"/>
        <v>12.965169470588233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32"/>
      <c r="B22" s="132"/>
      <c r="D22" s="33">
        <f t="shared" si="1"/>
        <v>0</v>
      </c>
      <c r="E22" s="3">
        <f>COUNTIF(Vertices[Degree],"&gt;= "&amp;D22)-COUNTIF(Vertices[Degree],"&gt;="&amp;D23)</f>
        <v>0</v>
      </c>
      <c r="F22" s="38">
        <f t="shared" si="2"/>
        <v>35.29411764705883</v>
      </c>
      <c r="G22" s="39">
        <f>COUNTIF(Vertices[In-Degree],"&gt;= "&amp;F22)-COUNTIF(Vertices[In-Degree],"&gt;="&amp;F23)</f>
        <v>0</v>
      </c>
      <c r="H22" s="38">
        <f t="shared" si="3"/>
        <v>2.764705882352941</v>
      </c>
      <c r="I22" s="39">
        <f>COUNTIF(Vertices[Out-Degree],"&gt;= "&amp;H22)-COUNTIF(Vertices[Out-Degree],"&gt;="&amp;H23)</f>
        <v>0</v>
      </c>
      <c r="J22" s="38">
        <f t="shared" si="4"/>
        <v>4270.705882352941</v>
      </c>
      <c r="K22" s="39">
        <f>COUNTIF(Vertices[Betweenness Centrality],"&gt;= "&amp;J22)-COUNTIF(Vertices[Betweenness Centrality],"&gt;="&amp;J23)</f>
        <v>0</v>
      </c>
      <c r="L22" s="38">
        <f t="shared" si="5"/>
        <v>0.042017058823529414</v>
      </c>
      <c r="M22" s="39">
        <f>COUNTIF(Vertices[Closeness Centrality],"&gt;= "&amp;L22)-COUNTIF(Vertices[Closeness Centrality],"&gt;="&amp;L23)</f>
        <v>4</v>
      </c>
      <c r="N22" s="38">
        <f t="shared" si="6"/>
        <v>0.05966411764705884</v>
      </c>
      <c r="O22" s="39">
        <f>COUNTIF(Vertices[Eigenvector Centrality],"&gt;= "&amp;N22)-COUNTIF(Vertices[Eigenvector Centrality],"&gt;="&amp;N23)</f>
        <v>0</v>
      </c>
      <c r="P22" s="38">
        <f t="shared" si="7"/>
        <v>13.62391570588235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0.008478682170542635</v>
      </c>
      <c r="D23" s="33">
        <f t="shared" si="1"/>
        <v>0</v>
      </c>
      <c r="E23" s="3">
        <f>COUNTIF(Vertices[Degree],"&gt;= "&amp;D23)-COUNTIF(Vertices[Degree],"&gt;="&amp;D24)</f>
        <v>0</v>
      </c>
      <c r="F23" s="40">
        <f t="shared" si="2"/>
        <v>37.058823529411775</v>
      </c>
      <c r="G23" s="41">
        <f>COUNTIF(Vertices[In-Degree],"&gt;= "&amp;F23)-COUNTIF(Vertices[In-Degree],"&gt;="&amp;F24)</f>
        <v>0</v>
      </c>
      <c r="H23" s="40">
        <f t="shared" si="3"/>
        <v>2.8529411764705883</v>
      </c>
      <c r="I23" s="41">
        <f>COUNTIF(Vertices[Out-Degree],"&gt;= "&amp;H23)-COUNTIF(Vertices[Out-Degree],"&gt;="&amp;H24)</f>
        <v>0</v>
      </c>
      <c r="J23" s="40">
        <f t="shared" si="4"/>
        <v>4484.2411764705885</v>
      </c>
      <c r="K23" s="41">
        <f>COUNTIF(Vertices[Betweenness Centrality],"&gt;= "&amp;J23)-COUNTIF(Vertices[Betweenness Centrality],"&gt;="&amp;J24)</f>
        <v>0</v>
      </c>
      <c r="L23" s="40">
        <f t="shared" si="5"/>
        <v>0.044117911764705885</v>
      </c>
      <c r="M23" s="41">
        <f>COUNTIF(Vertices[Closeness Centrality],"&gt;= "&amp;L23)-COUNTIF(Vertices[Closeness Centrality],"&gt;="&amp;L24)</f>
        <v>0</v>
      </c>
      <c r="N23" s="40">
        <f t="shared" si="6"/>
        <v>0.06264732352941178</v>
      </c>
      <c r="O23" s="41">
        <f>COUNTIF(Vertices[Eigenvector Centrality],"&gt;= "&amp;N23)-COUNTIF(Vertices[Eigenvector Centrality],"&gt;="&amp;N24)</f>
        <v>0</v>
      </c>
      <c r="P23" s="40">
        <f t="shared" si="7"/>
        <v>14.282661941176467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903</v>
      </c>
      <c r="B24" s="35">
        <v>0.574584</v>
      </c>
      <c r="D24" s="33">
        <f t="shared" si="1"/>
        <v>0</v>
      </c>
      <c r="E24" s="3">
        <f>COUNTIF(Vertices[Degree],"&gt;= "&amp;D24)-COUNTIF(Vertices[Degree],"&gt;="&amp;D25)</f>
        <v>0</v>
      </c>
      <c r="F24" s="38">
        <f t="shared" si="2"/>
        <v>38.82352941176472</v>
      </c>
      <c r="G24" s="39">
        <f>COUNTIF(Vertices[In-Degree],"&gt;= "&amp;F24)-COUNTIF(Vertices[In-Degree],"&gt;="&amp;F25)</f>
        <v>0</v>
      </c>
      <c r="H24" s="38">
        <f t="shared" si="3"/>
        <v>2.9411764705882355</v>
      </c>
      <c r="I24" s="39">
        <f>COUNTIF(Vertices[Out-Degree],"&gt;= "&amp;H24)-COUNTIF(Vertices[Out-Degree],"&gt;="&amp;H25)</f>
        <v>4</v>
      </c>
      <c r="J24" s="38">
        <f t="shared" si="4"/>
        <v>4697.7764705882355</v>
      </c>
      <c r="K24" s="39">
        <f>COUNTIF(Vertices[Betweenness Centrality],"&gt;= "&amp;J24)-COUNTIF(Vertices[Betweenness Centrality],"&gt;="&amp;J25)</f>
        <v>0</v>
      </c>
      <c r="L24" s="38">
        <f t="shared" si="5"/>
        <v>0.046218764705882355</v>
      </c>
      <c r="M24" s="39">
        <f>COUNTIF(Vertices[Closeness Centrality],"&gt;= "&amp;L24)-COUNTIF(Vertices[Closeness Centrality],"&gt;="&amp;L25)</f>
        <v>2</v>
      </c>
      <c r="N24" s="38">
        <f t="shared" si="6"/>
        <v>0.06563052941176473</v>
      </c>
      <c r="O24" s="39">
        <f>COUNTIF(Vertices[Eigenvector Centrality],"&gt;= "&amp;N24)-COUNTIF(Vertices[Eigenvector Centrality],"&gt;="&amp;N25)</f>
        <v>0</v>
      </c>
      <c r="P24" s="38">
        <f t="shared" si="7"/>
        <v>14.941408176470585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132"/>
      <c r="B25" s="132"/>
      <c r="D25" s="33">
        <f t="shared" si="1"/>
        <v>0</v>
      </c>
      <c r="E25" s="3">
        <f>COUNTIF(Vertices[Degree],"&gt;= "&amp;D25)-COUNTIF(Vertices[Degree],"&gt;="&amp;D26)</f>
        <v>0</v>
      </c>
      <c r="F25" s="40">
        <f t="shared" si="2"/>
        <v>40.58823529411766</v>
      </c>
      <c r="G25" s="41">
        <f>COUNTIF(Vertices[In-Degree],"&gt;= "&amp;F25)-COUNTIF(Vertices[In-Degree],"&gt;="&amp;F26)</f>
        <v>0</v>
      </c>
      <c r="H25" s="40">
        <f t="shared" si="3"/>
        <v>3.0294117647058827</v>
      </c>
      <c r="I25" s="41">
        <f>COUNTIF(Vertices[Out-Degree],"&gt;= "&amp;H25)-COUNTIF(Vertices[Out-Degree],"&gt;="&amp;H26)</f>
        <v>0</v>
      </c>
      <c r="J25" s="40">
        <f t="shared" si="4"/>
        <v>4911.3117647058825</v>
      </c>
      <c r="K25" s="41">
        <f>COUNTIF(Vertices[Betweenness Centrality],"&gt;= "&amp;J25)-COUNTIF(Vertices[Betweenness Centrality],"&gt;="&amp;J26)</f>
        <v>0</v>
      </c>
      <c r="L25" s="40">
        <f t="shared" si="5"/>
        <v>0.048319617647058825</v>
      </c>
      <c r="M25" s="41">
        <f>COUNTIF(Vertices[Closeness Centrality],"&gt;= "&amp;L25)-COUNTIF(Vertices[Closeness Centrality],"&gt;="&amp;L26)</f>
        <v>0</v>
      </c>
      <c r="N25" s="40">
        <f t="shared" si="6"/>
        <v>0.06861373529411767</v>
      </c>
      <c r="O25" s="41">
        <f>COUNTIF(Vertices[Eigenvector Centrality],"&gt;= "&amp;N25)-COUNTIF(Vertices[Eigenvector Centrality],"&gt;="&amp;N26)</f>
        <v>0</v>
      </c>
      <c r="P25" s="40">
        <f t="shared" si="7"/>
        <v>15.600154411764702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904</v>
      </c>
      <c r="B26" s="35" t="s">
        <v>919</v>
      </c>
      <c r="D26" s="33">
        <f t="shared" si="1"/>
        <v>0</v>
      </c>
      <c r="E26" s="3">
        <f>COUNTIF(Vertices[Degree],"&gt;= "&amp;D26)-COUNTIF(Vertices[Degree],"&gt;="&amp;D27)</f>
        <v>0</v>
      </c>
      <c r="F26" s="38">
        <f t="shared" si="2"/>
        <v>42.3529411764706</v>
      </c>
      <c r="G26" s="39">
        <f>COUNTIF(Vertices[In-Degree],"&gt;= "&amp;F26)-COUNTIF(Vertices[In-Degree],"&gt;="&amp;F27)</f>
        <v>0</v>
      </c>
      <c r="H26" s="38">
        <f t="shared" si="3"/>
        <v>3.11764705882353</v>
      </c>
      <c r="I26" s="39">
        <f>COUNTIF(Vertices[Out-Degree],"&gt;= "&amp;H26)-COUNTIF(Vertices[Out-Degree],"&gt;="&amp;H27)</f>
        <v>0</v>
      </c>
      <c r="J26" s="38">
        <f t="shared" si="4"/>
        <v>5124.84705882353</v>
      </c>
      <c r="K26" s="39">
        <f>COUNTIF(Vertices[Betweenness Centrality],"&gt;= "&amp;J26)-COUNTIF(Vertices[Betweenness Centrality],"&gt;="&amp;J27)</f>
        <v>0</v>
      </c>
      <c r="L26" s="38">
        <f t="shared" si="5"/>
        <v>0.050420470588235296</v>
      </c>
      <c r="M26" s="39">
        <f>COUNTIF(Vertices[Closeness Centrality],"&gt;= "&amp;L26)-COUNTIF(Vertices[Closeness Centrality],"&gt;="&amp;L27)</f>
        <v>0</v>
      </c>
      <c r="N26" s="38">
        <f t="shared" si="6"/>
        <v>0.07159694117647061</v>
      </c>
      <c r="O26" s="39">
        <f>COUNTIF(Vertices[Eigenvector Centrality],"&gt;= "&amp;N26)-COUNTIF(Vertices[Eigenvector Centrality],"&gt;="&amp;N27)</f>
        <v>0</v>
      </c>
      <c r="P26" s="38">
        <f t="shared" si="7"/>
        <v>16.25890064705882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32"/>
      <c r="B27" s="132"/>
      <c r="D27" s="33">
        <f t="shared" si="1"/>
        <v>0</v>
      </c>
      <c r="E27" s="3">
        <f>COUNTIF(Vertices[Degree],"&gt;= "&amp;D27)-COUNTIF(Vertices[Degree],"&gt;="&amp;D28)</f>
        <v>0</v>
      </c>
      <c r="F27" s="40">
        <f t="shared" si="2"/>
        <v>44.11764705882354</v>
      </c>
      <c r="G27" s="41">
        <f>COUNTIF(Vertices[In-Degree],"&gt;= "&amp;F27)-COUNTIF(Vertices[In-Degree],"&gt;="&amp;F28)</f>
        <v>0</v>
      </c>
      <c r="H27" s="40">
        <f t="shared" si="3"/>
        <v>3.205882352941177</v>
      </c>
      <c r="I27" s="41">
        <f>COUNTIF(Vertices[Out-Degree],"&gt;= "&amp;H27)-COUNTIF(Vertices[Out-Degree],"&gt;="&amp;H28)</f>
        <v>0</v>
      </c>
      <c r="J27" s="40">
        <f t="shared" si="4"/>
        <v>5338.382352941177</v>
      </c>
      <c r="K27" s="41">
        <f>COUNTIF(Vertices[Betweenness Centrality],"&gt;= "&amp;J27)-COUNTIF(Vertices[Betweenness Centrality],"&gt;="&amp;J28)</f>
        <v>0</v>
      </c>
      <c r="L27" s="40">
        <f t="shared" si="5"/>
        <v>0.052521323529411766</v>
      </c>
      <c r="M27" s="41">
        <f>COUNTIF(Vertices[Closeness Centrality],"&gt;= "&amp;L27)-COUNTIF(Vertices[Closeness Centrality],"&gt;="&amp;L28)</f>
        <v>1</v>
      </c>
      <c r="N27" s="40">
        <f t="shared" si="6"/>
        <v>0.07458014705882356</v>
      </c>
      <c r="O27" s="41">
        <f>COUNTIF(Vertices[Eigenvector Centrality],"&gt;= "&amp;N27)-COUNTIF(Vertices[Eigenvector Centrality],"&gt;="&amp;N28)</f>
        <v>0</v>
      </c>
      <c r="P27" s="40">
        <f t="shared" si="7"/>
        <v>16.917646882352937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905</v>
      </c>
      <c r="B28" s="35" t="s">
        <v>1239</v>
      </c>
      <c r="D28" s="33">
        <f t="shared" si="1"/>
        <v>0</v>
      </c>
      <c r="E28" s="3">
        <f>COUNTIF(Vertices[Degree],"&gt;= "&amp;D28)-COUNTIF(Vertices[Degree],"&gt;="&amp;D29)</f>
        <v>0</v>
      </c>
      <c r="F28" s="38">
        <f t="shared" si="2"/>
        <v>45.882352941176485</v>
      </c>
      <c r="G28" s="39">
        <f>COUNTIF(Vertices[In-Degree],"&gt;= "&amp;F28)-COUNTIF(Vertices[In-Degree],"&gt;="&amp;F29)</f>
        <v>0</v>
      </c>
      <c r="H28" s="38">
        <f t="shared" si="3"/>
        <v>3.2941176470588243</v>
      </c>
      <c r="I28" s="39">
        <f>COUNTIF(Vertices[Out-Degree],"&gt;= "&amp;H28)-COUNTIF(Vertices[Out-Degree],"&gt;="&amp;H29)</f>
        <v>0</v>
      </c>
      <c r="J28" s="38">
        <f t="shared" si="4"/>
        <v>5551.917647058824</v>
      </c>
      <c r="K28" s="39">
        <f>COUNTIF(Vertices[Betweenness Centrality],"&gt;= "&amp;J28)-COUNTIF(Vertices[Betweenness Centrality],"&gt;="&amp;J29)</f>
        <v>0</v>
      </c>
      <c r="L28" s="38">
        <f t="shared" si="5"/>
        <v>0.054622176470588236</v>
      </c>
      <c r="M28" s="39">
        <f>COUNTIF(Vertices[Closeness Centrality],"&gt;= "&amp;L28)-COUNTIF(Vertices[Closeness Centrality],"&gt;="&amp;L29)</f>
        <v>0</v>
      </c>
      <c r="N28" s="38">
        <f t="shared" si="6"/>
        <v>0.0775633529411765</v>
      </c>
      <c r="O28" s="39">
        <f>COUNTIF(Vertices[Eigenvector Centrality],"&gt;= "&amp;N28)-COUNTIF(Vertices[Eigenvector Centrality],"&gt;="&amp;N29)</f>
        <v>0</v>
      </c>
      <c r="P28" s="38">
        <f t="shared" si="7"/>
        <v>17.576393117647054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906</v>
      </c>
      <c r="B29" s="35" t="s">
        <v>1240</v>
      </c>
      <c r="D29" s="33">
        <f t="shared" si="1"/>
        <v>0</v>
      </c>
      <c r="E29" s="3">
        <f>COUNTIF(Vertices[Degree],"&gt;= "&amp;D29)-COUNTIF(Vertices[Degree],"&gt;="&amp;D30)</f>
        <v>0</v>
      </c>
      <c r="F29" s="40">
        <f t="shared" si="2"/>
        <v>47.64705882352943</v>
      </c>
      <c r="G29" s="41">
        <f>COUNTIF(Vertices[In-Degree],"&gt;= "&amp;F29)-COUNTIF(Vertices[In-Degree],"&gt;="&amp;F30)</f>
        <v>0</v>
      </c>
      <c r="H29" s="40">
        <f t="shared" si="3"/>
        <v>3.3823529411764715</v>
      </c>
      <c r="I29" s="41">
        <f>COUNTIF(Vertices[Out-Degree],"&gt;= "&amp;H29)-COUNTIF(Vertices[Out-Degree],"&gt;="&amp;H30)</f>
        <v>0</v>
      </c>
      <c r="J29" s="40">
        <f t="shared" si="4"/>
        <v>5765.452941176471</v>
      </c>
      <c r="K29" s="41">
        <f>COUNTIF(Vertices[Betweenness Centrality],"&gt;= "&amp;J29)-COUNTIF(Vertices[Betweenness Centrality],"&gt;="&amp;J30)</f>
        <v>0</v>
      </c>
      <c r="L29" s="40">
        <f t="shared" si="5"/>
        <v>0.05672302941176471</v>
      </c>
      <c r="M29" s="41">
        <f>COUNTIF(Vertices[Closeness Centrality],"&gt;= "&amp;L29)-COUNTIF(Vertices[Closeness Centrality],"&gt;="&amp;L30)</f>
        <v>0</v>
      </c>
      <c r="N29" s="40">
        <f t="shared" si="6"/>
        <v>0.08054655882352944</v>
      </c>
      <c r="O29" s="41">
        <f>COUNTIF(Vertices[Eigenvector Centrality],"&gt;= "&amp;N29)-COUNTIF(Vertices[Eigenvector Centrality],"&gt;="&amp;N30)</f>
        <v>0</v>
      </c>
      <c r="P29" s="40">
        <f t="shared" si="7"/>
        <v>18.23513935294117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32"/>
      <c r="B30" s="132"/>
      <c r="D30" s="33">
        <f t="shared" si="1"/>
        <v>0</v>
      </c>
      <c r="E30" s="3">
        <f>COUNTIF(Vertices[Degree],"&gt;= "&amp;D30)-COUNTIF(Vertices[Degree],"&gt;="&amp;D31)</f>
        <v>0</v>
      </c>
      <c r="F30" s="38">
        <f t="shared" si="2"/>
        <v>49.41176470588237</v>
      </c>
      <c r="G30" s="39">
        <f>COUNTIF(Vertices[In-Degree],"&gt;= "&amp;F30)-COUNTIF(Vertices[In-Degree],"&gt;="&amp;F31)</f>
        <v>0</v>
      </c>
      <c r="H30" s="38">
        <f t="shared" si="3"/>
        <v>3.4705882352941186</v>
      </c>
      <c r="I30" s="39">
        <f>COUNTIF(Vertices[Out-Degree],"&gt;= "&amp;H30)-COUNTIF(Vertices[Out-Degree],"&gt;="&amp;H31)</f>
        <v>0</v>
      </c>
      <c r="J30" s="38">
        <f t="shared" si="4"/>
        <v>5978.988235294118</v>
      </c>
      <c r="K30" s="39">
        <f>COUNTIF(Vertices[Betweenness Centrality],"&gt;= "&amp;J30)-COUNTIF(Vertices[Betweenness Centrality],"&gt;="&amp;J31)</f>
        <v>0</v>
      </c>
      <c r="L30" s="38">
        <f t="shared" si="5"/>
        <v>0.05882388235294118</v>
      </c>
      <c r="M30" s="39">
        <f>COUNTIF(Vertices[Closeness Centrality],"&gt;= "&amp;L30)-COUNTIF(Vertices[Closeness Centrality],"&gt;="&amp;L31)</f>
        <v>0</v>
      </c>
      <c r="N30" s="38">
        <f t="shared" si="6"/>
        <v>0.08352976470588239</v>
      </c>
      <c r="O30" s="39">
        <f>COUNTIF(Vertices[Eigenvector Centrality],"&gt;= "&amp;N30)-COUNTIF(Vertices[Eigenvector Centrality],"&gt;="&amp;N31)</f>
        <v>0</v>
      </c>
      <c r="P30" s="38">
        <f t="shared" si="7"/>
        <v>18.89388558823529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907</v>
      </c>
      <c r="B31" s="35" t="s">
        <v>1231</v>
      </c>
      <c r="D31" s="33">
        <f t="shared" si="1"/>
        <v>0</v>
      </c>
      <c r="E31" s="3">
        <f>COUNTIF(Vertices[Degree],"&gt;= "&amp;D31)-COUNTIF(Vertices[Degree],"&gt;="&amp;D32)</f>
        <v>0</v>
      </c>
      <c r="F31" s="40">
        <f t="shared" si="2"/>
        <v>51.17647058823531</v>
      </c>
      <c r="G31" s="41">
        <f>COUNTIF(Vertices[In-Degree],"&gt;= "&amp;F31)-COUNTIF(Vertices[In-Degree],"&gt;="&amp;F32)</f>
        <v>0</v>
      </c>
      <c r="H31" s="40">
        <f t="shared" si="3"/>
        <v>3.558823529411766</v>
      </c>
      <c r="I31" s="41">
        <f>COUNTIF(Vertices[Out-Degree],"&gt;= "&amp;H31)-COUNTIF(Vertices[Out-Degree],"&gt;="&amp;H32)</f>
        <v>0</v>
      </c>
      <c r="J31" s="40">
        <f t="shared" si="4"/>
        <v>6192.523529411765</v>
      </c>
      <c r="K31" s="41">
        <f>COUNTIF(Vertices[Betweenness Centrality],"&gt;= "&amp;J31)-COUNTIF(Vertices[Betweenness Centrality],"&gt;="&amp;J32)</f>
        <v>0</v>
      </c>
      <c r="L31" s="40">
        <f t="shared" si="5"/>
        <v>0.06092473529411765</v>
      </c>
      <c r="M31" s="41">
        <f>COUNTIF(Vertices[Closeness Centrality],"&gt;= "&amp;L31)-COUNTIF(Vertices[Closeness Centrality],"&gt;="&amp;L32)</f>
        <v>0</v>
      </c>
      <c r="N31" s="40">
        <f t="shared" si="6"/>
        <v>0.08651297058823533</v>
      </c>
      <c r="O31" s="41">
        <f>COUNTIF(Vertices[Eigenvector Centrality],"&gt;= "&amp;N31)-COUNTIF(Vertices[Eigenvector Centrality],"&gt;="&amp;N32)</f>
        <v>0</v>
      </c>
      <c r="P31" s="40">
        <f t="shared" si="7"/>
        <v>19.552631823529406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908</v>
      </c>
      <c r="B32" s="35" t="s">
        <v>1232</v>
      </c>
      <c r="D32" s="33">
        <f t="shared" si="1"/>
        <v>0</v>
      </c>
      <c r="E32" s="3">
        <f>COUNTIF(Vertices[Degree],"&gt;= "&amp;D32)-COUNTIF(Vertices[Degree],"&gt;="&amp;D33)</f>
        <v>0</v>
      </c>
      <c r="F32" s="38">
        <f t="shared" si="2"/>
        <v>52.94117647058825</v>
      </c>
      <c r="G32" s="39">
        <f>COUNTIF(Vertices[In-Degree],"&gt;= "&amp;F32)-COUNTIF(Vertices[In-Degree],"&gt;="&amp;F33)</f>
        <v>0</v>
      </c>
      <c r="H32" s="38">
        <f t="shared" si="3"/>
        <v>3.647058823529413</v>
      </c>
      <c r="I32" s="39">
        <f>COUNTIF(Vertices[Out-Degree],"&gt;= "&amp;H32)-COUNTIF(Vertices[Out-Degree],"&gt;="&amp;H33)</f>
        <v>0</v>
      </c>
      <c r="J32" s="38">
        <f t="shared" si="4"/>
        <v>6406.058823529412</v>
      </c>
      <c r="K32" s="39">
        <f>COUNTIF(Vertices[Betweenness Centrality],"&gt;= "&amp;J32)-COUNTIF(Vertices[Betweenness Centrality],"&gt;="&amp;J33)</f>
        <v>0</v>
      </c>
      <c r="L32" s="38">
        <f t="shared" si="5"/>
        <v>0.06302558823529412</v>
      </c>
      <c r="M32" s="39">
        <f>COUNTIF(Vertices[Closeness Centrality],"&gt;= "&amp;L32)-COUNTIF(Vertices[Closeness Centrality],"&gt;="&amp;L33)</f>
        <v>0</v>
      </c>
      <c r="N32" s="38">
        <f t="shared" si="6"/>
        <v>0.08949617647058827</v>
      </c>
      <c r="O32" s="39">
        <f>COUNTIF(Vertices[Eigenvector Centrality],"&gt;= "&amp;N32)-COUNTIF(Vertices[Eigenvector Centrality],"&gt;="&amp;N33)</f>
        <v>0</v>
      </c>
      <c r="P32" s="38">
        <f t="shared" si="7"/>
        <v>20.211378058823524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909</v>
      </c>
      <c r="B33" s="54" t="s">
        <v>1233</v>
      </c>
      <c r="D33" s="33">
        <f t="shared" si="1"/>
        <v>0</v>
      </c>
      <c r="E33" s="3">
        <f>COUNTIF(Vertices[Degree],"&gt;= "&amp;D33)-COUNTIF(Vertices[Degree],"&gt;="&amp;D34)</f>
        <v>0</v>
      </c>
      <c r="F33" s="40">
        <f t="shared" si="2"/>
        <v>54.705882352941195</v>
      </c>
      <c r="G33" s="41">
        <f>COUNTIF(Vertices[In-Degree],"&gt;= "&amp;F33)-COUNTIF(Vertices[In-Degree],"&gt;="&amp;F34)</f>
        <v>0</v>
      </c>
      <c r="H33" s="40">
        <f t="shared" si="3"/>
        <v>3.73529411764706</v>
      </c>
      <c r="I33" s="41">
        <f>COUNTIF(Vertices[Out-Degree],"&gt;= "&amp;H33)-COUNTIF(Vertices[Out-Degree],"&gt;="&amp;H34)</f>
        <v>0</v>
      </c>
      <c r="J33" s="40">
        <f t="shared" si="4"/>
        <v>6619.594117647059</v>
      </c>
      <c r="K33" s="41">
        <f>COUNTIF(Vertices[Betweenness Centrality],"&gt;= "&amp;J33)-COUNTIF(Vertices[Betweenness Centrality],"&gt;="&amp;J34)</f>
        <v>0</v>
      </c>
      <c r="L33" s="40">
        <f t="shared" si="5"/>
        <v>0.0651264411764706</v>
      </c>
      <c r="M33" s="41">
        <f>COUNTIF(Vertices[Closeness Centrality],"&gt;= "&amp;L33)-COUNTIF(Vertices[Closeness Centrality],"&gt;="&amp;L34)</f>
        <v>0</v>
      </c>
      <c r="N33" s="40">
        <f t="shared" si="6"/>
        <v>0.09247938235294122</v>
      </c>
      <c r="O33" s="41">
        <f>COUNTIF(Vertices[Eigenvector Centrality],"&gt;= "&amp;N33)-COUNTIF(Vertices[Eigenvector Centrality],"&gt;="&amp;N34)</f>
        <v>0</v>
      </c>
      <c r="P33" s="40">
        <f t="shared" si="7"/>
        <v>20.87012429411764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910</v>
      </c>
      <c r="B34" s="35" t="s">
        <v>1234</v>
      </c>
      <c r="D34" s="33">
        <f t="shared" si="1"/>
        <v>0</v>
      </c>
      <c r="E34" s="3">
        <f>COUNTIF(Vertices[Degree],"&gt;= "&amp;D34)-COUNTIF(Vertices[Degree],"&gt;="&amp;D35)</f>
        <v>0</v>
      </c>
      <c r="F34" s="38">
        <f t="shared" si="2"/>
        <v>56.47058823529414</v>
      </c>
      <c r="G34" s="39">
        <f>COUNTIF(Vertices[In-Degree],"&gt;= "&amp;F34)-COUNTIF(Vertices[In-Degree],"&gt;="&amp;F35)</f>
        <v>0</v>
      </c>
      <c r="H34" s="38">
        <f t="shared" si="3"/>
        <v>3.8235294117647074</v>
      </c>
      <c r="I34" s="39">
        <f>COUNTIF(Vertices[Out-Degree],"&gt;= "&amp;H34)-COUNTIF(Vertices[Out-Degree],"&gt;="&amp;H35)</f>
        <v>0</v>
      </c>
      <c r="J34" s="38">
        <f t="shared" si="4"/>
        <v>6833.129411764706</v>
      </c>
      <c r="K34" s="39">
        <f>COUNTIF(Vertices[Betweenness Centrality],"&gt;= "&amp;J34)-COUNTIF(Vertices[Betweenness Centrality],"&gt;="&amp;J35)</f>
        <v>0</v>
      </c>
      <c r="L34" s="38">
        <f t="shared" si="5"/>
        <v>0.06722729411764707</v>
      </c>
      <c r="M34" s="39">
        <f>COUNTIF(Vertices[Closeness Centrality],"&gt;= "&amp;L34)-COUNTIF(Vertices[Closeness Centrality],"&gt;="&amp;L35)</f>
        <v>0</v>
      </c>
      <c r="N34" s="38">
        <f t="shared" si="6"/>
        <v>0.09546258823529416</v>
      </c>
      <c r="O34" s="39">
        <f>COUNTIF(Vertices[Eigenvector Centrality],"&gt;= "&amp;N34)-COUNTIF(Vertices[Eigenvector Centrality],"&gt;="&amp;N35)</f>
        <v>0</v>
      </c>
      <c r="P34" s="38">
        <f t="shared" si="7"/>
        <v>21.52887052941176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911</v>
      </c>
      <c r="B35" s="35" t="s">
        <v>1235</v>
      </c>
      <c r="D35" s="33">
        <f t="shared" si="1"/>
        <v>0</v>
      </c>
      <c r="E35" s="3">
        <f>COUNTIF(Vertices[Degree],"&gt;= "&amp;D35)-COUNTIF(Vertices[Degree],"&gt;="&amp;D36)</f>
        <v>0</v>
      </c>
      <c r="F35" s="40">
        <f t="shared" si="2"/>
        <v>58.23529411764708</v>
      </c>
      <c r="G35" s="41">
        <f>COUNTIF(Vertices[In-Degree],"&gt;= "&amp;F35)-COUNTIF(Vertices[In-Degree],"&gt;="&amp;F36)</f>
        <v>0</v>
      </c>
      <c r="H35" s="40">
        <f t="shared" si="3"/>
        <v>3.9117647058823546</v>
      </c>
      <c r="I35" s="41">
        <f>COUNTIF(Vertices[Out-Degree],"&gt;= "&amp;H35)-COUNTIF(Vertices[Out-Degree],"&gt;="&amp;H36)</f>
        <v>0</v>
      </c>
      <c r="J35" s="40">
        <f t="shared" si="4"/>
        <v>7046.664705882353</v>
      </c>
      <c r="K35" s="41">
        <f>COUNTIF(Vertices[Betweenness Centrality],"&gt;= "&amp;J35)-COUNTIF(Vertices[Betweenness Centrality],"&gt;="&amp;J36)</f>
        <v>0</v>
      </c>
      <c r="L35" s="40">
        <f t="shared" si="5"/>
        <v>0.06932814705882354</v>
      </c>
      <c r="M35" s="41">
        <f>COUNTIF(Vertices[Closeness Centrality],"&gt;= "&amp;L35)-COUNTIF(Vertices[Closeness Centrality],"&gt;="&amp;L36)</f>
        <v>0</v>
      </c>
      <c r="N35" s="40">
        <f t="shared" si="6"/>
        <v>0.0984457941176471</v>
      </c>
      <c r="O35" s="41">
        <f>COUNTIF(Vertices[Eigenvector Centrality],"&gt;= "&amp;N35)-COUNTIF(Vertices[Eigenvector Centrality],"&gt;="&amp;N36)</f>
        <v>0</v>
      </c>
      <c r="P35" s="40">
        <f t="shared" si="7"/>
        <v>22.187616764705876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912</v>
      </c>
      <c r="B36" s="35" t="s">
        <v>738</v>
      </c>
      <c r="D36" s="33">
        <f>MAX(Vertices[Degree])</f>
        <v>0</v>
      </c>
      <c r="E36" s="3">
        <f>COUNTIF(Vertices[Degree],"&gt;= "&amp;D36)-COUNTIF(Vertices[Degree],"&gt;="&amp;#REF!)</f>
        <v>0</v>
      </c>
      <c r="F36" s="42">
        <f>MAX(Vertices[In-Degree])</f>
        <v>60</v>
      </c>
      <c r="G36" s="43">
        <f>COUNTIF(Vertices[In-Degree],"&gt;= "&amp;F36)-COUNTIF(Vertices[In-Degree],"&gt;="&amp;#REF!)</f>
        <v>1</v>
      </c>
      <c r="H36" s="42">
        <f>MAX(Vertices[Out-Degree])</f>
        <v>4</v>
      </c>
      <c r="I36" s="43">
        <f>COUNTIF(Vertices[Out-Degree],"&gt;= "&amp;H36)-COUNTIF(Vertices[Out-Degree],"&gt;="&amp;#REF!)</f>
        <v>1</v>
      </c>
      <c r="J36" s="42">
        <f>MAX(Vertices[Betweenness Centrality])</f>
        <v>7260.2</v>
      </c>
      <c r="K36" s="43">
        <f>COUNTIF(Vertices[Betweenness Centrality],"&gt;= "&amp;J36)-COUNTIF(Vertices[Betweenness Centrality],"&gt;="&amp;#REF!)</f>
        <v>1</v>
      </c>
      <c r="L36" s="42">
        <f>MAX(Vertices[Closeness Centrality])</f>
        <v>0.071429</v>
      </c>
      <c r="M36" s="43">
        <f>COUNTIF(Vertices[Closeness Centrality],"&gt;= "&amp;L36)-COUNTIF(Vertices[Closeness Centrality],"&gt;="&amp;#REF!)</f>
        <v>1</v>
      </c>
      <c r="N36" s="42">
        <f>MAX(Vertices[Eigenvector Centrality])</f>
        <v>0.101429</v>
      </c>
      <c r="O36" s="43">
        <f>COUNTIF(Vertices[Eigenvector Centrality],"&gt;= "&amp;N36)-COUNTIF(Vertices[Eigenvector Centrality],"&gt;="&amp;#REF!)</f>
        <v>1</v>
      </c>
      <c r="P36" s="42">
        <f>MAX(Vertices[PageRank])</f>
        <v>22.846363</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913</v>
      </c>
      <c r="B37" s="35" t="s">
        <v>738</v>
      </c>
    </row>
    <row r="38" spans="1:2" ht="15">
      <c r="A38" s="35" t="s">
        <v>914</v>
      </c>
      <c r="B38" s="35" t="s">
        <v>738</v>
      </c>
    </row>
    <row r="39" spans="1:2" ht="15">
      <c r="A39" s="35" t="s">
        <v>915</v>
      </c>
      <c r="B39" s="35"/>
    </row>
    <row r="40" spans="1:2" ht="15">
      <c r="A40" s="35" t="s">
        <v>21</v>
      </c>
      <c r="B40" s="35"/>
    </row>
    <row r="41" spans="1:2" ht="15">
      <c r="A41" s="35" t="s">
        <v>916</v>
      </c>
      <c r="B41" s="35" t="s">
        <v>32</v>
      </c>
    </row>
    <row r="42" spans="1:2" ht="15">
      <c r="A42" s="35" t="s">
        <v>917</v>
      </c>
      <c r="B42" s="35"/>
    </row>
    <row r="43" spans="1:2" ht="15">
      <c r="A43" s="35" t="s">
        <v>918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60</v>
      </c>
    </row>
    <row r="83" spans="1:2" ht="15">
      <c r="A83" s="34" t="s">
        <v>90</v>
      </c>
      <c r="B83" s="48">
        <f>_xlfn.IFERROR(AVERAGE(Vertices[In-Degree]),NoMetricMessage)</f>
        <v>1.1627906976744187</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4</v>
      </c>
    </row>
    <row r="97" spans="1:2" ht="15">
      <c r="A97" s="34" t="s">
        <v>96</v>
      </c>
      <c r="B97" s="48">
        <f>_xlfn.IFERROR(AVERAGE(Vertices[Out-Degree]),NoMetricMessage)</f>
        <v>1.1627906976744187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7260.2</v>
      </c>
    </row>
    <row r="111" spans="1:2" ht="15">
      <c r="A111" s="34" t="s">
        <v>102</v>
      </c>
      <c r="B111" s="48">
        <f>_xlfn.IFERROR(AVERAGE(Vertices[Betweenness Centrality]),NoMetricMessage)</f>
        <v>103.28682171317828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0.071429</v>
      </c>
    </row>
    <row r="125" spans="1:2" ht="15">
      <c r="A125" s="34" t="s">
        <v>108</v>
      </c>
      <c r="B125" s="48">
        <f>_xlfn.IFERROR(AVERAGE(Vertices[Closeness Centrality]),NoMetricMessage)</f>
        <v>0.011134899224806198</v>
      </c>
    </row>
    <row r="126" spans="1:2" ht="15">
      <c r="A126" s="34" t="s">
        <v>109</v>
      </c>
      <c r="B126" s="48">
        <f>_xlfn.IFERROR(MEDIAN(Vertices[Closeness Centrality]),NoMetricMessage)</f>
        <v>0.004695</v>
      </c>
    </row>
    <row r="137" spans="1:2" ht="15">
      <c r="A137" s="34" t="s">
        <v>112</v>
      </c>
      <c r="B137" s="48">
        <f>IF(COUNT(Vertices[Eigenvector Centrality])&gt;0,N2,NoMetricMessage)</f>
        <v>0</v>
      </c>
    </row>
    <row r="138" spans="1:2" ht="15">
      <c r="A138" s="34" t="s">
        <v>113</v>
      </c>
      <c r="B138" s="48">
        <f>IF(COUNT(Vertices[Eigenvector Centrality])&gt;0,N36,NoMetricMessage)</f>
        <v>0.101429</v>
      </c>
    </row>
    <row r="139" spans="1:2" ht="15">
      <c r="A139" s="34" t="s">
        <v>114</v>
      </c>
      <c r="B139" s="48">
        <f>_xlfn.IFERROR(AVERAGE(Vertices[Eigenvector Centrality]),NoMetricMessage)</f>
        <v>0.007751906976744183</v>
      </c>
    </row>
    <row r="140" spans="1:2" ht="15">
      <c r="A140" s="34" t="s">
        <v>115</v>
      </c>
      <c r="B140" s="48">
        <f>_xlfn.IFERROR(MEDIAN(Vertices[Eigenvector Centrality]),NoMetricMessage)</f>
        <v>0.004527</v>
      </c>
    </row>
    <row r="151" spans="1:2" ht="15">
      <c r="A151" s="34" t="s">
        <v>140</v>
      </c>
      <c r="B151" s="48">
        <f>IF(COUNT(Vertices[PageRank])&gt;0,P2,NoMetricMessage)</f>
        <v>0.448991</v>
      </c>
    </row>
    <row r="152" spans="1:2" ht="15">
      <c r="A152" s="34" t="s">
        <v>141</v>
      </c>
      <c r="B152" s="48">
        <f>IF(COUNT(Vertices[PageRank])&gt;0,P36,NoMetricMessage)</f>
        <v>22.846363</v>
      </c>
    </row>
    <row r="153" spans="1:2" ht="15">
      <c r="A153" s="34" t="s">
        <v>142</v>
      </c>
      <c r="B153" s="48">
        <f>_xlfn.IFERROR(AVERAGE(Vertices[PageRank]),NoMetricMessage)</f>
        <v>0.9999959224806207</v>
      </c>
    </row>
    <row r="154" spans="1:2" ht="15">
      <c r="A154" s="34" t="s">
        <v>143</v>
      </c>
      <c r="B154" s="48">
        <f>_xlfn.IFERROR(MEDIAN(Vertices[PageRank]),NoMetricMessage)</f>
        <v>0.549699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0.028637148131391947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1230</v>
      </c>
    </row>
    <row r="23" spans="4:11" ht="409.5">
      <c r="D23">
        <v>11</v>
      </c>
      <c r="J23" t="s">
        <v>206</v>
      </c>
      <c r="K23" s="13" t="s">
        <v>1237</v>
      </c>
    </row>
    <row r="24" spans="10:11" ht="409.5">
      <c r="J24" t="s">
        <v>207</v>
      </c>
      <c r="K24" s="13" t="s">
        <v>1238</v>
      </c>
    </row>
    <row r="25" spans="10:11" ht="15">
      <c r="J25" t="s">
        <v>208</v>
      </c>
      <c r="K25" t="s">
        <v>1236</v>
      </c>
    </row>
    <row r="26" spans="10:11" ht="409.5">
      <c r="J26" t="s">
        <v>209</v>
      </c>
      <c r="K26" s="13" t="s">
        <v>1229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F1B62-0CD8-4B61-A30A-82A1C433B4A3}">
  <dimension ref="A1:G1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765</v>
      </c>
      <c r="B1" s="13" t="s">
        <v>870</v>
      </c>
      <c r="C1" s="13" t="s">
        <v>874</v>
      </c>
      <c r="D1" s="13" t="s">
        <v>144</v>
      </c>
      <c r="E1" s="13" t="s">
        <v>876</v>
      </c>
      <c r="F1" s="13" t="s">
        <v>877</v>
      </c>
      <c r="G1" s="13" t="s">
        <v>878</v>
      </c>
    </row>
    <row r="2" spans="1:7" ht="15">
      <c r="A2" s="89" t="s">
        <v>766</v>
      </c>
      <c r="B2" s="89" t="s">
        <v>871</v>
      </c>
      <c r="C2" s="125"/>
      <c r="D2" s="89"/>
      <c r="E2" s="89"/>
      <c r="F2" s="89"/>
      <c r="G2" s="89"/>
    </row>
    <row r="3" spans="1:7" ht="15">
      <c r="A3" s="90" t="s">
        <v>767</v>
      </c>
      <c r="B3" s="89" t="s">
        <v>872</v>
      </c>
      <c r="C3" s="125"/>
      <c r="D3" s="89"/>
      <c r="E3" s="89"/>
      <c r="F3" s="89"/>
      <c r="G3" s="89"/>
    </row>
    <row r="4" spans="1:7" ht="15">
      <c r="A4" s="90" t="s">
        <v>768</v>
      </c>
      <c r="B4" s="89" t="s">
        <v>873</v>
      </c>
      <c r="C4" s="125"/>
      <c r="D4" s="89"/>
      <c r="E4" s="89"/>
      <c r="F4" s="89"/>
      <c r="G4" s="89"/>
    </row>
    <row r="5" spans="1:7" ht="15">
      <c r="A5" s="90" t="s">
        <v>769</v>
      </c>
      <c r="B5" s="89">
        <v>83</v>
      </c>
      <c r="C5" s="125">
        <v>0.053652230122818355</v>
      </c>
      <c r="D5" s="89"/>
      <c r="E5" s="89"/>
      <c r="F5" s="89"/>
      <c r="G5" s="89"/>
    </row>
    <row r="6" spans="1:7" ht="15">
      <c r="A6" s="90" t="s">
        <v>770</v>
      </c>
      <c r="B6" s="89">
        <v>35</v>
      </c>
      <c r="C6" s="125">
        <v>0.02262443438914027</v>
      </c>
      <c r="D6" s="89"/>
      <c r="E6" s="89"/>
      <c r="F6" s="89"/>
      <c r="G6" s="89"/>
    </row>
    <row r="7" spans="1:7" ht="15">
      <c r="A7" s="90" t="s">
        <v>771</v>
      </c>
      <c r="B7" s="89">
        <v>0</v>
      </c>
      <c r="C7" s="125">
        <v>0</v>
      </c>
      <c r="D7" s="89"/>
      <c r="E7" s="89"/>
      <c r="F7" s="89"/>
      <c r="G7" s="89"/>
    </row>
    <row r="8" spans="1:7" ht="15">
      <c r="A8" s="90" t="s">
        <v>772</v>
      </c>
      <c r="B8" s="89">
        <v>1429</v>
      </c>
      <c r="C8" s="125">
        <v>0.9237233354880413</v>
      </c>
      <c r="D8" s="89"/>
      <c r="E8" s="89"/>
      <c r="F8" s="89"/>
      <c r="G8" s="89"/>
    </row>
    <row r="9" spans="1:7" ht="15">
      <c r="A9" s="90" t="s">
        <v>773</v>
      </c>
      <c r="B9" s="89">
        <v>1547</v>
      </c>
      <c r="C9" s="125">
        <v>1</v>
      </c>
      <c r="D9" s="89"/>
      <c r="E9" s="89"/>
      <c r="F9" s="89"/>
      <c r="G9" s="89"/>
    </row>
    <row r="10" spans="1:7" ht="15">
      <c r="A10" s="94" t="s">
        <v>774</v>
      </c>
      <c r="B10" s="93">
        <v>15</v>
      </c>
      <c r="C10" s="126">
        <v>0.03044292775707905</v>
      </c>
      <c r="D10" s="93" t="s">
        <v>875</v>
      </c>
      <c r="E10" s="93" t="b">
        <v>0</v>
      </c>
      <c r="F10" s="93" t="b">
        <v>0</v>
      </c>
      <c r="G10" s="93" t="b">
        <v>0</v>
      </c>
    </row>
    <row r="11" spans="1:7" ht="15">
      <c r="A11" s="94" t="s">
        <v>775</v>
      </c>
      <c r="B11" s="93">
        <v>13</v>
      </c>
      <c r="C11" s="126">
        <v>0.02208074081841626</v>
      </c>
      <c r="D11" s="93" t="s">
        <v>875</v>
      </c>
      <c r="E11" s="93" t="b">
        <v>0</v>
      </c>
      <c r="F11" s="93" t="b">
        <v>0</v>
      </c>
      <c r="G11" s="93" t="b">
        <v>0</v>
      </c>
    </row>
    <row r="12" spans="1:7" ht="15">
      <c r="A12" s="94" t="s">
        <v>776</v>
      </c>
      <c r="B12" s="93">
        <v>13</v>
      </c>
      <c r="C12" s="126">
        <v>0.0305495846545554</v>
      </c>
      <c r="D12" s="93" t="s">
        <v>875</v>
      </c>
      <c r="E12" s="93" t="b">
        <v>0</v>
      </c>
      <c r="F12" s="93" t="b">
        <v>0</v>
      </c>
      <c r="G12" s="93" t="b">
        <v>0</v>
      </c>
    </row>
    <row r="13" spans="1:7" ht="15">
      <c r="A13" s="94" t="s">
        <v>777</v>
      </c>
      <c r="B13" s="93">
        <v>12</v>
      </c>
      <c r="C13" s="126">
        <v>0.02670797617630625</v>
      </c>
      <c r="D13" s="93" t="s">
        <v>875</v>
      </c>
      <c r="E13" s="93" t="b">
        <v>0</v>
      </c>
      <c r="F13" s="93" t="b">
        <v>0</v>
      </c>
      <c r="G13" s="93" t="b">
        <v>0</v>
      </c>
    </row>
    <row r="14" spans="1:7" ht="15">
      <c r="A14" s="94" t="s">
        <v>778</v>
      </c>
      <c r="B14" s="93">
        <v>10</v>
      </c>
      <c r="C14" s="126">
        <v>0.025021030786205198</v>
      </c>
      <c r="D14" s="93" t="s">
        <v>875</v>
      </c>
      <c r="E14" s="93" t="b">
        <v>0</v>
      </c>
      <c r="F14" s="93" t="b">
        <v>0</v>
      </c>
      <c r="G14" s="93" t="b">
        <v>0</v>
      </c>
    </row>
    <row r="15" spans="1:7" ht="15">
      <c r="A15" s="94" t="s">
        <v>779</v>
      </c>
      <c r="B15" s="93">
        <v>9</v>
      </c>
      <c r="C15" s="126">
        <v>0.017543036556874694</v>
      </c>
      <c r="D15" s="93" t="s">
        <v>875</v>
      </c>
      <c r="E15" s="93" t="b">
        <v>1</v>
      </c>
      <c r="F15" s="93" t="b">
        <v>0</v>
      </c>
      <c r="G15" s="93" t="b">
        <v>0</v>
      </c>
    </row>
    <row r="16" spans="1:7" ht="15">
      <c r="A16" s="94" t="s">
        <v>780</v>
      </c>
      <c r="B16" s="93">
        <v>8</v>
      </c>
      <c r="C16" s="126">
        <v>0.02001682462896416</v>
      </c>
      <c r="D16" s="93" t="s">
        <v>875</v>
      </c>
      <c r="E16" s="93" t="b">
        <v>0</v>
      </c>
      <c r="F16" s="93" t="b">
        <v>0</v>
      </c>
      <c r="G16" s="93" t="b">
        <v>0</v>
      </c>
    </row>
    <row r="17" spans="1:7" ht="15">
      <c r="A17" s="94" t="s">
        <v>781</v>
      </c>
      <c r="B17" s="93">
        <v>7</v>
      </c>
      <c r="C17" s="126">
        <v>0.014843973762582164</v>
      </c>
      <c r="D17" s="93" t="s">
        <v>875</v>
      </c>
      <c r="E17" s="93" t="b">
        <v>0</v>
      </c>
      <c r="F17" s="93" t="b">
        <v>0</v>
      </c>
      <c r="G17" s="93" t="b">
        <v>0</v>
      </c>
    </row>
    <row r="18" spans="1:7" ht="15">
      <c r="A18" s="94" t="s">
        <v>782</v>
      </c>
      <c r="B18" s="93">
        <v>7</v>
      </c>
      <c r="C18" s="126">
        <v>0.014843973762582164</v>
      </c>
      <c r="D18" s="93" t="s">
        <v>875</v>
      </c>
      <c r="E18" s="93" t="b">
        <v>1</v>
      </c>
      <c r="F18" s="93" t="b">
        <v>0</v>
      </c>
      <c r="G18" s="93" t="b">
        <v>0</v>
      </c>
    </row>
    <row r="19" spans="1:7" ht="15">
      <c r="A19" s="94" t="s">
        <v>783</v>
      </c>
      <c r="B19" s="93">
        <v>5</v>
      </c>
      <c r="C19" s="126">
        <v>0.011749840251752078</v>
      </c>
      <c r="D19" s="93" t="s">
        <v>875</v>
      </c>
      <c r="E19" s="93" t="b">
        <v>0</v>
      </c>
      <c r="F19" s="93" t="b">
        <v>0</v>
      </c>
      <c r="G19" s="93" t="b">
        <v>0</v>
      </c>
    </row>
    <row r="20" spans="1:7" ht="15">
      <c r="A20" s="94" t="s">
        <v>784</v>
      </c>
      <c r="B20" s="93">
        <v>5</v>
      </c>
      <c r="C20" s="126">
        <v>0.011749840251752078</v>
      </c>
      <c r="D20" s="93" t="s">
        <v>875</v>
      </c>
      <c r="E20" s="93" t="b">
        <v>0</v>
      </c>
      <c r="F20" s="93" t="b">
        <v>0</v>
      </c>
      <c r="G20" s="93" t="b">
        <v>0</v>
      </c>
    </row>
    <row r="21" spans="1:7" ht="15">
      <c r="A21" s="94" t="s">
        <v>785</v>
      </c>
      <c r="B21" s="93">
        <v>5</v>
      </c>
      <c r="C21" s="126">
        <v>0.011749840251752078</v>
      </c>
      <c r="D21" s="93" t="s">
        <v>875</v>
      </c>
      <c r="E21" s="93" t="b">
        <v>1</v>
      </c>
      <c r="F21" s="93" t="b">
        <v>0</v>
      </c>
      <c r="G21" s="93" t="b">
        <v>0</v>
      </c>
    </row>
    <row r="22" spans="1:7" ht="15">
      <c r="A22" s="94" t="s">
        <v>786</v>
      </c>
      <c r="B22" s="93">
        <v>5</v>
      </c>
      <c r="C22" s="126">
        <v>0.014873388200512185</v>
      </c>
      <c r="D22" s="93" t="s">
        <v>875</v>
      </c>
      <c r="E22" s="93" t="b">
        <v>0</v>
      </c>
      <c r="F22" s="93" t="b">
        <v>0</v>
      </c>
      <c r="G22" s="93" t="b">
        <v>0</v>
      </c>
    </row>
    <row r="23" spans="1:7" ht="15">
      <c r="A23" s="94" t="s">
        <v>787</v>
      </c>
      <c r="B23" s="93">
        <v>5</v>
      </c>
      <c r="C23" s="126">
        <v>0.014873388200512185</v>
      </c>
      <c r="D23" s="93" t="s">
        <v>875</v>
      </c>
      <c r="E23" s="93" t="b">
        <v>0</v>
      </c>
      <c r="F23" s="93" t="b">
        <v>0</v>
      </c>
      <c r="G23" s="93" t="b">
        <v>0</v>
      </c>
    </row>
    <row r="24" spans="1:7" ht="15">
      <c r="A24" s="94" t="s">
        <v>788</v>
      </c>
      <c r="B24" s="93">
        <v>4</v>
      </c>
      <c r="C24" s="126">
        <v>0.01000841231448208</v>
      </c>
      <c r="D24" s="93" t="s">
        <v>875</v>
      </c>
      <c r="E24" s="93" t="b">
        <v>0</v>
      </c>
      <c r="F24" s="93" t="b">
        <v>0</v>
      </c>
      <c r="G24" s="93" t="b">
        <v>0</v>
      </c>
    </row>
    <row r="25" spans="1:7" ht="15">
      <c r="A25" s="94" t="s">
        <v>789</v>
      </c>
      <c r="B25" s="93">
        <v>4</v>
      </c>
      <c r="C25" s="126">
        <v>0.010792956971363087</v>
      </c>
      <c r="D25" s="93" t="s">
        <v>875</v>
      </c>
      <c r="E25" s="93" t="b">
        <v>0</v>
      </c>
      <c r="F25" s="93" t="b">
        <v>0</v>
      </c>
      <c r="G25" s="93" t="b">
        <v>0</v>
      </c>
    </row>
    <row r="26" spans="1:7" ht="15">
      <c r="A26" s="94" t="s">
        <v>790</v>
      </c>
      <c r="B26" s="93">
        <v>4</v>
      </c>
      <c r="C26" s="126">
        <v>0.01000841231448208</v>
      </c>
      <c r="D26" s="93" t="s">
        <v>875</v>
      </c>
      <c r="E26" s="93" t="b">
        <v>0</v>
      </c>
      <c r="F26" s="93" t="b">
        <v>0</v>
      </c>
      <c r="G26" s="93" t="b">
        <v>0</v>
      </c>
    </row>
    <row r="27" spans="1:7" ht="15">
      <c r="A27" s="94" t="s">
        <v>791</v>
      </c>
      <c r="B27" s="93">
        <v>4</v>
      </c>
      <c r="C27" s="126">
        <v>0.01000841231448208</v>
      </c>
      <c r="D27" s="93" t="s">
        <v>875</v>
      </c>
      <c r="E27" s="93" t="b">
        <v>1</v>
      </c>
      <c r="F27" s="93" t="b">
        <v>0</v>
      </c>
      <c r="G27" s="93" t="b">
        <v>0</v>
      </c>
    </row>
    <row r="28" spans="1:7" ht="15">
      <c r="A28" s="94" t="s">
        <v>792</v>
      </c>
      <c r="B28" s="93">
        <v>4</v>
      </c>
      <c r="C28" s="126">
        <v>0.01000841231448208</v>
      </c>
      <c r="D28" s="93" t="s">
        <v>875</v>
      </c>
      <c r="E28" s="93" t="b">
        <v>1</v>
      </c>
      <c r="F28" s="93" t="b">
        <v>0</v>
      </c>
      <c r="G28" s="93" t="b">
        <v>0</v>
      </c>
    </row>
    <row r="29" spans="1:7" ht="15">
      <c r="A29" s="94" t="s">
        <v>793</v>
      </c>
      <c r="B29" s="93">
        <v>4</v>
      </c>
      <c r="C29" s="126">
        <v>0.01189871056040975</v>
      </c>
      <c r="D29" s="93" t="s">
        <v>875</v>
      </c>
      <c r="E29" s="93" t="b">
        <v>0</v>
      </c>
      <c r="F29" s="93" t="b">
        <v>0</v>
      </c>
      <c r="G29" s="93" t="b">
        <v>0</v>
      </c>
    </row>
    <row r="30" spans="1:7" ht="15">
      <c r="A30" s="94" t="s">
        <v>794</v>
      </c>
      <c r="B30" s="93">
        <v>4</v>
      </c>
      <c r="C30" s="126">
        <v>0.01000841231448208</v>
      </c>
      <c r="D30" s="93" t="s">
        <v>875</v>
      </c>
      <c r="E30" s="93" t="b">
        <v>1</v>
      </c>
      <c r="F30" s="93" t="b">
        <v>0</v>
      </c>
      <c r="G30" s="93" t="b">
        <v>0</v>
      </c>
    </row>
    <row r="31" spans="1:7" ht="15">
      <c r="A31" s="94" t="s">
        <v>795</v>
      </c>
      <c r="B31" s="93">
        <v>4</v>
      </c>
      <c r="C31" s="126">
        <v>0.01000841231448208</v>
      </c>
      <c r="D31" s="93" t="s">
        <v>875</v>
      </c>
      <c r="E31" s="93" t="b">
        <v>0</v>
      </c>
      <c r="F31" s="93" t="b">
        <v>0</v>
      </c>
      <c r="G31" s="93" t="b">
        <v>0</v>
      </c>
    </row>
    <row r="32" spans="1:7" ht="15">
      <c r="A32" s="94" t="s">
        <v>796</v>
      </c>
      <c r="B32" s="93">
        <v>4</v>
      </c>
      <c r="C32" s="126">
        <v>0.01000841231448208</v>
      </c>
      <c r="D32" s="93" t="s">
        <v>875</v>
      </c>
      <c r="E32" s="93" t="b">
        <v>1</v>
      </c>
      <c r="F32" s="93" t="b">
        <v>0</v>
      </c>
      <c r="G32" s="93" t="b">
        <v>0</v>
      </c>
    </row>
    <row r="33" spans="1:7" ht="15">
      <c r="A33" s="94" t="s">
        <v>797</v>
      </c>
      <c r="B33" s="93">
        <v>4</v>
      </c>
      <c r="C33" s="126">
        <v>0.01189871056040975</v>
      </c>
      <c r="D33" s="93" t="s">
        <v>875</v>
      </c>
      <c r="E33" s="93" t="b">
        <v>0</v>
      </c>
      <c r="F33" s="93" t="b">
        <v>0</v>
      </c>
      <c r="G33" s="93" t="b">
        <v>0</v>
      </c>
    </row>
    <row r="34" spans="1:7" ht="15">
      <c r="A34" s="94" t="s">
        <v>798</v>
      </c>
      <c r="B34" s="93">
        <v>4</v>
      </c>
      <c r="C34" s="126">
        <v>0.01189871056040975</v>
      </c>
      <c r="D34" s="93" t="s">
        <v>875</v>
      </c>
      <c r="E34" s="93" t="b">
        <v>0</v>
      </c>
      <c r="F34" s="93" t="b">
        <v>0</v>
      </c>
      <c r="G34" s="93" t="b">
        <v>0</v>
      </c>
    </row>
    <row r="35" spans="1:7" ht="15">
      <c r="A35" s="94" t="s">
        <v>799</v>
      </c>
      <c r="B35" s="93">
        <v>3</v>
      </c>
      <c r="C35" s="126">
        <v>0.008924032920307311</v>
      </c>
      <c r="D35" s="93" t="s">
        <v>875</v>
      </c>
      <c r="E35" s="93" t="b">
        <v>0</v>
      </c>
      <c r="F35" s="93" t="b">
        <v>0</v>
      </c>
      <c r="G35" s="93" t="b">
        <v>0</v>
      </c>
    </row>
    <row r="36" spans="1:7" ht="15">
      <c r="A36" s="94" t="s">
        <v>800</v>
      </c>
      <c r="B36" s="93">
        <v>3</v>
      </c>
      <c r="C36" s="126">
        <v>0.008924032920307311</v>
      </c>
      <c r="D36" s="93" t="s">
        <v>875</v>
      </c>
      <c r="E36" s="93" t="b">
        <v>0</v>
      </c>
      <c r="F36" s="93" t="b">
        <v>0</v>
      </c>
      <c r="G36" s="93" t="b">
        <v>0</v>
      </c>
    </row>
    <row r="37" spans="1:7" ht="15">
      <c r="A37" s="94" t="s">
        <v>801</v>
      </c>
      <c r="B37" s="93">
        <v>3</v>
      </c>
      <c r="C37" s="126">
        <v>0.008094717728522313</v>
      </c>
      <c r="D37" s="93" t="s">
        <v>875</v>
      </c>
      <c r="E37" s="93" t="b">
        <v>0</v>
      </c>
      <c r="F37" s="93" t="b">
        <v>0</v>
      </c>
      <c r="G37" s="93" t="b">
        <v>0</v>
      </c>
    </row>
    <row r="38" spans="1:7" ht="15">
      <c r="A38" s="94" t="s">
        <v>802</v>
      </c>
      <c r="B38" s="93">
        <v>3</v>
      </c>
      <c r="C38" s="126">
        <v>0.01034175660475306</v>
      </c>
      <c r="D38" s="93" t="s">
        <v>875</v>
      </c>
      <c r="E38" s="93" t="b">
        <v>0</v>
      </c>
      <c r="F38" s="93" t="b">
        <v>0</v>
      </c>
      <c r="G38" s="93" t="b">
        <v>0</v>
      </c>
    </row>
    <row r="39" spans="1:7" ht="15">
      <c r="A39" s="94" t="s">
        <v>803</v>
      </c>
      <c r="B39" s="93">
        <v>3</v>
      </c>
      <c r="C39" s="126">
        <v>0.008924032920307311</v>
      </c>
      <c r="D39" s="93" t="s">
        <v>875</v>
      </c>
      <c r="E39" s="93" t="b">
        <v>0</v>
      </c>
      <c r="F39" s="93" t="b">
        <v>0</v>
      </c>
      <c r="G39" s="93" t="b">
        <v>0</v>
      </c>
    </row>
    <row r="40" spans="1:7" ht="15">
      <c r="A40" s="94" t="s">
        <v>804</v>
      </c>
      <c r="B40" s="93">
        <v>3</v>
      </c>
      <c r="C40" s="126">
        <v>0.008094717728522313</v>
      </c>
      <c r="D40" s="93" t="s">
        <v>875</v>
      </c>
      <c r="E40" s="93" t="b">
        <v>0</v>
      </c>
      <c r="F40" s="93" t="b">
        <v>0</v>
      </c>
      <c r="G40" s="93" t="b">
        <v>0</v>
      </c>
    </row>
    <row r="41" spans="1:7" ht="15">
      <c r="A41" s="94" t="s">
        <v>805</v>
      </c>
      <c r="B41" s="93">
        <v>3</v>
      </c>
      <c r="C41" s="126">
        <v>0.01034175660475306</v>
      </c>
      <c r="D41" s="93" t="s">
        <v>875</v>
      </c>
      <c r="E41" s="93" t="b">
        <v>0</v>
      </c>
      <c r="F41" s="93" t="b">
        <v>0</v>
      </c>
      <c r="G41" s="93" t="b">
        <v>0</v>
      </c>
    </row>
    <row r="42" spans="1:7" ht="15">
      <c r="A42" s="94" t="s">
        <v>806</v>
      </c>
      <c r="B42" s="93">
        <v>3</v>
      </c>
      <c r="C42" s="126">
        <v>0.008924032920307311</v>
      </c>
      <c r="D42" s="93" t="s">
        <v>875</v>
      </c>
      <c r="E42" s="93" t="b">
        <v>1</v>
      </c>
      <c r="F42" s="93" t="b">
        <v>0</v>
      </c>
      <c r="G42" s="93" t="b">
        <v>0</v>
      </c>
    </row>
    <row r="43" spans="1:7" ht="15">
      <c r="A43" s="94" t="s">
        <v>807</v>
      </c>
      <c r="B43" s="93">
        <v>3</v>
      </c>
      <c r="C43" s="126">
        <v>0.008094717728522313</v>
      </c>
      <c r="D43" s="93" t="s">
        <v>875</v>
      </c>
      <c r="E43" s="93" t="b">
        <v>0</v>
      </c>
      <c r="F43" s="93" t="b">
        <v>1</v>
      </c>
      <c r="G43" s="93" t="b">
        <v>0</v>
      </c>
    </row>
    <row r="44" spans="1:7" ht="15">
      <c r="A44" s="94" t="s">
        <v>808</v>
      </c>
      <c r="B44" s="93">
        <v>3</v>
      </c>
      <c r="C44" s="126">
        <v>0.008094717728522313</v>
      </c>
      <c r="D44" s="93" t="s">
        <v>875</v>
      </c>
      <c r="E44" s="93" t="b">
        <v>0</v>
      </c>
      <c r="F44" s="93" t="b">
        <v>0</v>
      </c>
      <c r="G44" s="93" t="b">
        <v>0</v>
      </c>
    </row>
    <row r="45" spans="1:7" ht="15">
      <c r="A45" s="94" t="s">
        <v>809</v>
      </c>
      <c r="B45" s="93">
        <v>3</v>
      </c>
      <c r="C45" s="126">
        <v>0.008094717728522313</v>
      </c>
      <c r="D45" s="93" t="s">
        <v>875</v>
      </c>
      <c r="E45" s="93" t="b">
        <v>0</v>
      </c>
      <c r="F45" s="93" t="b">
        <v>0</v>
      </c>
      <c r="G45" s="93" t="b">
        <v>0</v>
      </c>
    </row>
    <row r="46" spans="1:7" ht="15">
      <c r="A46" s="94" t="s">
        <v>810</v>
      </c>
      <c r="B46" s="93">
        <v>3</v>
      </c>
      <c r="C46" s="126">
        <v>0.008094717728522313</v>
      </c>
      <c r="D46" s="93" t="s">
        <v>875</v>
      </c>
      <c r="E46" s="93" t="b">
        <v>0</v>
      </c>
      <c r="F46" s="93" t="b">
        <v>1</v>
      </c>
      <c r="G46" s="93" t="b">
        <v>0</v>
      </c>
    </row>
    <row r="47" spans="1:7" ht="15">
      <c r="A47" s="94" t="s">
        <v>811</v>
      </c>
      <c r="B47" s="93">
        <v>3</v>
      </c>
      <c r="C47" s="126">
        <v>0.008094717728522313</v>
      </c>
      <c r="D47" s="93" t="s">
        <v>875</v>
      </c>
      <c r="E47" s="93" t="b">
        <v>0</v>
      </c>
      <c r="F47" s="93" t="b">
        <v>0</v>
      </c>
      <c r="G47" s="93" t="b">
        <v>0</v>
      </c>
    </row>
    <row r="48" spans="1:7" ht="15">
      <c r="A48" s="94" t="s">
        <v>812</v>
      </c>
      <c r="B48" s="93">
        <v>3</v>
      </c>
      <c r="C48" s="126">
        <v>0.008094717728522313</v>
      </c>
      <c r="D48" s="93" t="s">
        <v>875</v>
      </c>
      <c r="E48" s="93" t="b">
        <v>0</v>
      </c>
      <c r="F48" s="93" t="b">
        <v>0</v>
      </c>
      <c r="G48" s="93" t="b">
        <v>0</v>
      </c>
    </row>
    <row r="49" spans="1:7" ht="15">
      <c r="A49" s="94" t="s">
        <v>813</v>
      </c>
      <c r="B49" s="93">
        <v>3</v>
      </c>
      <c r="C49" s="126">
        <v>0.008094717728522313</v>
      </c>
      <c r="D49" s="93" t="s">
        <v>875</v>
      </c>
      <c r="E49" s="93" t="b">
        <v>0</v>
      </c>
      <c r="F49" s="93" t="b">
        <v>1</v>
      </c>
      <c r="G49" s="93" t="b">
        <v>0</v>
      </c>
    </row>
    <row r="50" spans="1:7" ht="15">
      <c r="A50" s="94" t="s">
        <v>814</v>
      </c>
      <c r="B50" s="93">
        <v>3</v>
      </c>
      <c r="C50" s="126">
        <v>0.01034175660475306</v>
      </c>
      <c r="D50" s="93" t="s">
        <v>875</v>
      </c>
      <c r="E50" s="93" t="b">
        <v>0</v>
      </c>
      <c r="F50" s="93" t="b">
        <v>0</v>
      </c>
      <c r="G50" s="93" t="b">
        <v>0</v>
      </c>
    </row>
    <row r="51" spans="1:7" ht="15">
      <c r="A51" s="94" t="s">
        <v>815</v>
      </c>
      <c r="B51" s="93">
        <v>3</v>
      </c>
      <c r="C51" s="126">
        <v>0.008094717728522313</v>
      </c>
      <c r="D51" s="93" t="s">
        <v>875</v>
      </c>
      <c r="E51" s="93" t="b">
        <v>0</v>
      </c>
      <c r="F51" s="93" t="b">
        <v>0</v>
      </c>
      <c r="G51" s="93" t="b">
        <v>0</v>
      </c>
    </row>
    <row r="52" spans="1:7" ht="15">
      <c r="A52" s="94" t="s">
        <v>816</v>
      </c>
      <c r="B52" s="93">
        <v>2</v>
      </c>
      <c r="C52" s="126">
        <v>0.005949355280204875</v>
      </c>
      <c r="D52" s="93" t="s">
        <v>875</v>
      </c>
      <c r="E52" s="93" t="b">
        <v>0</v>
      </c>
      <c r="F52" s="93" t="b">
        <v>0</v>
      </c>
      <c r="G52" s="93" t="b">
        <v>0</v>
      </c>
    </row>
    <row r="53" spans="1:7" ht="15">
      <c r="A53" s="94" t="s">
        <v>817</v>
      </c>
      <c r="B53" s="93">
        <v>2</v>
      </c>
      <c r="C53" s="126">
        <v>0.006894504403168709</v>
      </c>
      <c r="D53" s="93" t="s">
        <v>875</v>
      </c>
      <c r="E53" s="93" t="b">
        <v>0</v>
      </c>
      <c r="F53" s="93" t="b">
        <v>0</v>
      </c>
      <c r="G53" s="93" t="b">
        <v>0</v>
      </c>
    </row>
    <row r="54" spans="1:7" ht="15">
      <c r="A54" s="94" t="s">
        <v>818</v>
      </c>
      <c r="B54" s="93">
        <v>2</v>
      </c>
      <c r="C54" s="126">
        <v>0.006894504403168709</v>
      </c>
      <c r="D54" s="93" t="s">
        <v>875</v>
      </c>
      <c r="E54" s="93" t="b">
        <v>0</v>
      </c>
      <c r="F54" s="93" t="b">
        <v>0</v>
      </c>
      <c r="G54" s="93" t="b">
        <v>0</v>
      </c>
    </row>
    <row r="55" spans="1:7" ht="15">
      <c r="A55" s="94" t="s">
        <v>819</v>
      </c>
      <c r="B55" s="93">
        <v>2</v>
      </c>
      <c r="C55" s="126">
        <v>0.006894504403168709</v>
      </c>
      <c r="D55" s="93" t="s">
        <v>875</v>
      </c>
      <c r="E55" s="93" t="b">
        <v>0</v>
      </c>
      <c r="F55" s="93" t="b">
        <v>0</v>
      </c>
      <c r="G55" s="93" t="b">
        <v>0</v>
      </c>
    </row>
    <row r="56" spans="1:7" ht="15">
      <c r="A56" s="94" t="s">
        <v>820</v>
      </c>
      <c r="B56" s="93">
        <v>2</v>
      </c>
      <c r="C56" s="126">
        <v>0.006894504403168709</v>
      </c>
      <c r="D56" s="93" t="s">
        <v>875</v>
      </c>
      <c r="E56" s="93" t="b">
        <v>0</v>
      </c>
      <c r="F56" s="93" t="b">
        <v>0</v>
      </c>
      <c r="G56" s="93" t="b">
        <v>0</v>
      </c>
    </row>
    <row r="57" spans="1:7" ht="15">
      <c r="A57" s="94" t="s">
        <v>821</v>
      </c>
      <c r="B57" s="93">
        <v>2</v>
      </c>
      <c r="C57" s="126">
        <v>0.006894504403168709</v>
      </c>
      <c r="D57" s="93" t="s">
        <v>875</v>
      </c>
      <c r="E57" s="93" t="b">
        <v>0</v>
      </c>
      <c r="F57" s="93" t="b">
        <v>0</v>
      </c>
      <c r="G57" s="93" t="b">
        <v>0</v>
      </c>
    </row>
    <row r="58" spans="1:7" ht="15">
      <c r="A58" s="94" t="s">
        <v>822</v>
      </c>
      <c r="B58" s="93">
        <v>2</v>
      </c>
      <c r="C58" s="126">
        <v>0.005949355280204875</v>
      </c>
      <c r="D58" s="93" t="s">
        <v>875</v>
      </c>
      <c r="E58" s="93" t="b">
        <v>0</v>
      </c>
      <c r="F58" s="93" t="b">
        <v>0</v>
      </c>
      <c r="G58" s="93" t="b">
        <v>0</v>
      </c>
    </row>
    <row r="59" spans="1:7" ht="15">
      <c r="A59" s="94" t="s">
        <v>823</v>
      </c>
      <c r="B59" s="93">
        <v>2</v>
      </c>
      <c r="C59" s="126">
        <v>0.005949355280204875</v>
      </c>
      <c r="D59" s="93" t="s">
        <v>875</v>
      </c>
      <c r="E59" s="93" t="b">
        <v>0</v>
      </c>
      <c r="F59" s="93" t="b">
        <v>0</v>
      </c>
      <c r="G59" s="93" t="b">
        <v>0</v>
      </c>
    </row>
    <row r="60" spans="1:7" ht="15">
      <c r="A60" s="94" t="s">
        <v>824</v>
      </c>
      <c r="B60" s="93">
        <v>2</v>
      </c>
      <c r="C60" s="126">
        <v>0.005949355280204875</v>
      </c>
      <c r="D60" s="93" t="s">
        <v>875</v>
      </c>
      <c r="E60" s="93" t="b">
        <v>1</v>
      </c>
      <c r="F60" s="93" t="b">
        <v>0</v>
      </c>
      <c r="G60" s="93" t="b">
        <v>0</v>
      </c>
    </row>
    <row r="61" spans="1:7" ht="15">
      <c r="A61" s="94" t="s">
        <v>825</v>
      </c>
      <c r="B61" s="93">
        <v>2</v>
      </c>
      <c r="C61" s="126">
        <v>0.005949355280204875</v>
      </c>
      <c r="D61" s="93" t="s">
        <v>875</v>
      </c>
      <c r="E61" s="93" t="b">
        <v>0</v>
      </c>
      <c r="F61" s="93" t="b">
        <v>0</v>
      </c>
      <c r="G61" s="93" t="b">
        <v>0</v>
      </c>
    </row>
    <row r="62" spans="1:7" ht="15">
      <c r="A62" s="94" t="s">
        <v>826</v>
      </c>
      <c r="B62" s="93">
        <v>2</v>
      </c>
      <c r="C62" s="126">
        <v>0.005949355280204875</v>
      </c>
      <c r="D62" s="93" t="s">
        <v>875</v>
      </c>
      <c r="E62" s="93" t="b">
        <v>1</v>
      </c>
      <c r="F62" s="93" t="b">
        <v>0</v>
      </c>
      <c r="G62" s="93" t="b">
        <v>0</v>
      </c>
    </row>
    <row r="63" spans="1:7" ht="15">
      <c r="A63" s="94" t="s">
        <v>827</v>
      </c>
      <c r="B63" s="93">
        <v>2</v>
      </c>
      <c r="C63" s="126">
        <v>0.006894504403168709</v>
      </c>
      <c r="D63" s="93" t="s">
        <v>875</v>
      </c>
      <c r="E63" s="93" t="b">
        <v>0</v>
      </c>
      <c r="F63" s="93" t="b">
        <v>1</v>
      </c>
      <c r="G63" s="93" t="b">
        <v>0</v>
      </c>
    </row>
    <row r="64" spans="1:7" ht="15">
      <c r="A64" s="94" t="s">
        <v>828</v>
      </c>
      <c r="B64" s="93">
        <v>2</v>
      </c>
      <c r="C64" s="126">
        <v>0.005949355280204875</v>
      </c>
      <c r="D64" s="93" t="s">
        <v>875</v>
      </c>
      <c r="E64" s="93" t="b">
        <v>0</v>
      </c>
      <c r="F64" s="93" t="b">
        <v>0</v>
      </c>
      <c r="G64" s="93" t="b">
        <v>0</v>
      </c>
    </row>
    <row r="65" spans="1:7" ht="15">
      <c r="A65" s="94" t="s">
        <v>829</v>
      </c>
      <c r="B65" s="93">
        <v>2</v>
      </c>
      <c r="C65" s="126">
        <v>0.005949355280204875</v>
      </c>
      <c r="D65" s="93" t="s">
        <v>875</v>
      </c>
      <c r="E65" s="93" t="b">
        <v>0</v>
      </c>
      <c r="F65" s="93" t="b">
        <v>0</v>
      </c>
      <c r="G65" s="93" t="b">
        <v>0</v>
      </c>
    </row>
    <row r="66" spans="1:7" ht="15">
      <c r="A66" s="94" t="s">
        <v>830</v>
      </c>
      <c r="B66" s="93">
        <v>2</v>
      </c>
      <c r="C66" s="126">
        <v>0.005949355280204875</v>
      </c>
      <c r="D66" s="93" t="s">
        <v>875</v>
      </c>
      <c r="E66" s="93" t="b">
        <v>0</v>
      </c>
      <c r="F66" s="93" t="b">
        <v>0</v>
      </c>
      <c r="G66" s="93" t="b">
        <v>0</v>
      </c>
    </row>
    <row r="67" spans="1:7" ht="15">
      <c r="A67" s="94" t="s">
        <v>831</v>
      </c>
      <c r="B67" s="93">
        <v>2</v>
      </c>
      <c r="C67" s="126">
        <v>0.005949355280204875</v>
      </c>
      <c r="D67" s="93" t="s">
        <v>875</v>
      </c>
      <c r="E67" s="93" t="b">
        <v>0</v>
      </c>
      <c r="F67" s="93" t="b">
        <v>0</v>
      </c>
      <c r="G67" s="93" t="b">
        <v>0</v>
      </c>
    </row>
    <row r="68" spans="1:7" ht="15">
      <c r="A68" s="94" t="s">
        <v>832</v>
      </c>
      <c r="B68" s="93">
        <v>2</v>
      </c>
      <c r="C68" s="126">
        <v>0.006894504403168709</v>
      </c>
      <c r="D68" s="93" t="s">
        <v>875</v>
      </c>
      <c r="E68" s="93" t="b">
        <v>0</v>
      </c>
      <c r="F68" s="93" t="b">
        <v>0</v>
      </c>
      <c r="G68" s="93" t="b">
        <v>0</v>
      </c>
    </row>
    <row r="69" spans="1:7" ht="15">
      <c r="A69" s="94" t="s">
        <v>833</v>
      </c>
      <c r="B69" s="93">
        <v>2</v>
      </c>
      <c r="C69" s="126">
        <v>0.005949355280204875</v>
      </c>
      <c r="D69" s="93" t="s">
        <v>875</v>
      </c>
      <c r="E69" s="93" t="b">
        <v>0</v>
      </c>
      <c r="F69" s="93" t="b">
        <v>0</v>
      </c>
      <c r="G69" s="93" t="b">
        <v>0</v>
      </c>
    </row>
    <row r="70" spans="1:7" ht="15">
      <c r="A70" s="94" t="s">
        <v>834</v>
      </c>
      <c r="B70" s="93">
        <v>2</v>
      </c>
      <c r="C70" s="126">
        <v>0.005949355280204875</v>
      </c>
      <c r="D70" s="93" t="s">
        <v>875</v>
      </c>
      <c r="E70" s="93" t="b">
        <v>0</v>
      </c>
      <c r="F70" s="93" t="b">
        <v>0</v>
      </c>
      <c r="G70" s="93" t="b">
        <v>0</v>
      </c>
    </row>
    <row r="71" spans="1:7" ht="15">
      <c r="A71" s="94" t="s">
        <v>835</v>
      </c>
      <c r="B71" s="93">
        <v>2</v>
      </c>
      <c r="C71" s="126">
        <v>0.005949355280204875</v>
      </c>
      <c r="D71" s="93" t="s">
        <v>875</v>
      </c>
      <c r="E71" s="93" t="b">
        <v>0</v>
      </c>
      <c r="F71" s="93" t="b">
        <v>1</v>
      </c>
      <c r="G71" s="93" t="b">
        <v>0</v>
      </c>
    </row>
    <row r="72" spans="1:7" ht="15">
      <c r="A72" s="94" t="s">
        <v>836</v>
      </c>
      <c r="B72" s="93">
        <v>2</v>
      </c>
      <c r="C72" s="126">
        <v>0.005949355280204875</v>
      </c>
      <c r="D72" s="93" t="s">
        <v>875</v>
      </c>
      <c r="E72" s="93" t="b">
        <v>0</v>
      </c>
      <c r="F72" s="93" t="b">
        <v>0</v>
      </c>
      <c r="G72" s="93" t="b">
        <v>0</v>
      </c>
    </row>
    <row r="73" spans="1:7" ht="15">
      <c r="A73" s="94" t="s">
        <v>837</v>
      </c>
      <c r="B73" s="93">
        <v>2</v>
      </c>
      <c r="C73" s="126">
        <v>0.005949355280204875</v>
      </c>
      <c r="D73" s="93" t="s">
        <v>875</v>
      </c>
      <c r="E73" s="93" t="b">
        <v>0</v>
      </c>
      <c r="F73" s="93" t="b">
        <v>0</v>
      </c>
      <c r="G73" s="93" t="b">
        <v>0</v>
      </c>
    </row>
    <row r="74" spans="1:7" ht="15">
      <c r="A74" s="94" t="s">
        <v>838</v>
      </c>
      <c r="B74" s="93">
        <v>2</v>
      </c>
      <c r="C74" s="126">
        <v>0.005949355280204875</v>
      </c>
      <c r="D74" s="93" t="s">
        <v>875</v>
      </c>
      <c r="E74" s="93" t="b">
        <v>1</v>
      </c>
      <c r="F74" s="93" t="b">
        <v>0</v>
      </c>
      <c r="G74" s="93" t="b">
        <v>0</v>
      </c>
    </row>
    <row r="75" spans="1:7" ht="15">
      <c r="A75" s="94" t="s">
        <v>839</v>
      </c>
      <c r="B75" s="93">
        <v>2</v>
      </c>
      <c r="C75" s="126">
        <v>0.005949355280204875</v>
      </c>
      <c r="D75" s="93" t="s">
        <v>875</v>
      </c>
      <c r="E75" s="93" t="b">
        <v>0</v>
      </c>
      <c r="F75" s="93" t="b">
        <v>0</v>
      </c>
      <c r="G75" s="93" t="b">
        <v>0</v>
      </c>
    </row>
    <row r="76" spans="1:7" ht="15">
      <c r="A76" s="94" t="s">
        <v>840</v>
      </c>
      <c r="B76" s="93">
        <v>2</v>
      </c>
      <c r="C76" s="126">
        <v>0.006894504403168709</v>
      </c>
      <c r="D76" s="93" t="s">
        <v>875</v>
      </c>
      <c r="E76" s="93" t="b">
        <v>0</v>
      </c>
      <c r="F76" s="93" t="b">
        <v>0</v>
      </c>
      <c r="G76" s="93" t="b">
        <v>0</v>
      </c>
    </row>
    <row r="77" spans="1:7" ht="15">
      <c r="A77" s="94" t="s">
        <v>841</v>
      </c>
      <c r="B77" s="93">
        <v>2</v>
      </c>
      <c r="C77" s="126">
        <v>0.006894504403168709</v>
      </c>
      <c r="D77" s="93" t="s">
        <v>875</v>
      </c>
      <c r="E77" s="93" t="b">
        <v>0</v>
      </c>
      <c r="F77" s="93" t="b">
        <v>1</v>
      </c>
      <c r="G77" s="93" t="b">
        <v>0</v>
      </c>
    </row>
    <row r="78" spans="1:7" ht="15">
      <c r="A78" s="94" t="s">
        <v>842</v>
      </c>
      <c r="B78" s="93">
        <v>2</v>
      </c>
      <c r="C78" s="126">
        <v>0.006894504403168709</v>
      </c>
      <c r="D78" s="93" t="s">
        <v>875</v>
      </c>
      <c r="E78" s="93" t="b">
        <v>0</v>
      </c>
      <c r="F78" s="93" t="b">
        <v>0</v>
      </c>
      <c r="G78" s="93" t="b">
        <v>0</v>
      </c>
    </row>
    <row r="79" spans="1:7" ht="15">
      <c r="A79" s="94" t="s">
        <v>843</v>
      </c>
      <c r="B79" s="93">
        <v>2</v>
      </c>
      <c r="C79" s="126">
        <v>0.006894504403168709</v>
      </c>
      <c r="D79" s="93" t="s">
        <v>875</v>
      </c>
      <c r="E79" s="93" t="b">
        <v>0</v>
      </c>
      <c r="F79" s="93" t="b">
        <v>0</v>
      </c>
      <c r="G79" s="93" t="b">
        <v>0</v>
      </c>
    </row>
    <row r="80" spans="1:7" ht="15">
      <c r="A80" s="94" t="s">
        <v>844</v>
      </c>
      <c r="B80" s="93">
        <v>2</v>
      </c>
      <c r="C80" s="126">
        <v>0.005949355280204875</v>
      </c>
      <c r="D80" s="93" t="s">
        <v>875</v>
      </c>
      <c r="E80" s="93" t="b">
        <v>0</v>
      </c>
      <c r="F80" s="93" t="b">
        <v>0</v>
      </c>
      <c r="G80" s="93" t="b">
        <v>0</v>
      </c>
    </row>
    <row r="81" spans="1:7" ht="15">
      <c r="A81" s="94" t="s">
        <v>845</v>
      </c>
      <c r="B81" s="93">
        <v>2</v>
      </c>
      <c r="C81" s="126">
        <v>0.006894504403168709</v>
      </c>
      <c r="D81" s="93" t="s">
        <v>875</v>
      </c>
      <c r="E81" s="93" t="b">
        <v>0</v>
      </c>
      <c r="F81" s="93" t="b">
        <v>0</v>
      </c>
      <c r="G81" s="93" t="b">
        <v>0</v>
      </c>
    </row>
    <row r="82" spans="1:7" ht="15">
      <c r="A82" s="94" t="s">
        <v>846</v>
      </c>
      <c r="B82" s="93">
        <v>2</v>
      </c>
      <c r="C82" s="126">
        <v>0.006894504403168709</v>
      </c>
      <c r="D82" s="93" t="s">
        <v>875</v>
      </c>
      <c r="E82" s="93" t="b">
        <v>0</v>
      </c>
      <c r="F82" s="93" t="b">
        <v>0</v>
      </c>
      <c r="G82" s="93" t="b">
        <v>0</v>
      </c>
    </row>
    <row r="83" spans="1:7" ht="15">
      <c r="A83" s="94" t="s">
        <v>847</v>
      </c>
      <c r="B83" s="93">
        <v>2</v>
      </c>
      <c r="C83" s="126">
        <v>0.005949355280204875</v>
      </c>
      <c r="D83" s="93" t="s">
        <v>875</v>
      </c>
      <c r="E83" s="93" t="b">
        <v>1</v>
      </c>
      <c r="F83" s="93" t="b">
        <v>0</v>
      </c>
      <c r="G83" s="93" t="b">
        <v>0</v>
      </c>
    </row>
    <row r="84" spans="1:7" ht="15">
      <c r="A84" s="94" t="s">
        <v>848</v>
      </c>
      <c r="B84" s="93">
        <v>2</v>
      </c>
      <c r="C84" s="126">
        <v>0.006894504403168709</v>
      </c>
      <c r="D84" s="93" t="s">
        <v>875</v>
      </c>
      <c r="E84" s="93" t="b">
        <v>0</v>
      </c>
      <c r="F84" s="93" t="b">
        <v>0</v>
      </c>
      <c r="G84" s="93" t="b">
        <v>0</v>
      </c>
    </row>
    <row r="85" spans="1:7" ht="15">
      <c r="A85" s="94" t="s">
        <v>849</v>
      </c>
      <c r="B85" s="93">
        <v>2</v>
      </c>
      <c r="C85" s="126">
        <v>0.006894504403168709</v>
      </c>
      <c r="D85" s="93" t="s">
        <v>875</v>
      </c>
      <c r="E85" s="93" t="b">
        <v>0</v>
      </c>
      <c r="F85" s="93" t="b">
        <v>0</v>
      </c>
      <c r="G85" s="93" t="b">
        <v>0</v>
      </c>
    </row>
    <row r="86" spans="1:7" ht="15">
      <c r="A86" s="94" t="s">
        <v>850</v>
      </c>
      <c r="B86" s="93">
        <v>2</v>
      </c>
      <c r="C86" s="126">
        <v>0.006894504403168709</v>
      </c>
      <c r="D86" s="93" t="s">
        <v>875</v>
      </c>
      <c r="E86" s="93" t="b">
        <v>0</v>
      </c>
      <c r="F86" s="93" t="b">
        <v>0</v>
      </c>
      <c r="G86" s="93" t="b">
        <v>0</v>
      </c>
    </row>
    <row r="87" spans="1:7" ht="15">
      <c r="A87" s="94" t="s">
        <v>851</v>
      </c>
      <c r="B87" s="93">
        <v>2</v>
      </c>
      <c r="C87" s="126">
        <v>0.006894504403168709</v>
      </c>
      <c r="D87" s="93" t="s">
        <v>875</v>
      </c>
      <c r="E87" s="93" t="b">
        <v>0</v>
      </c>
      <c r="F87" s="93" t="b">
        <v>1</v>
      </c>
      <c r="G87" s="93" t="b">
        <v>0</v>
      </c>
    </row>
    <row r="88" spans="1:7" ht="15">
      <c r="A88" s="94" t="s">
        <v>852</v>
      </c>
      <c r="B88" s="93">
        <v>2</v>
      </c>
      <c r="C88" s="126">
        <v>0.006894504403168709</v>
      </c>
      <c r="D88" s="93" t="s">
        <v>875</v>
      </c>
      <c r="E88" s="93" t="b">
        <v>0</v>
      </c>
      <c r="F88" s="93" t="b">
        <v>0</v>
      </c>
      <c r="G88" s="93" t="b">
        <v>0</v>
      </c>
    </row>
    <row r="89" spans="1:7" ht="15">
      <c r="A89" s="94" t="s">
        <v>853</v>
      </c>
      <c r="B89" s="93">
        <v>2</v>
      </c>
      <c r="C89" s="126">
        <v>0.006894504403168709</v>
      </c>
      <c r="D89" s="93" t="s">
        <v>875</v>
      </c>
      <c r="E89" s="93" t="b">
        <v>0</v>
      </c>
      <c r="F89" s="93" t="b">
        <v>0</v>
      </c>
      <c r="G89" s="93" t="b">
        <v>0</v>
      </c>
    </row>
    <row r="90" spans="1:7" ht="15">
      <c r="A90" s="94" t="s">
        <v>854</v>
      </c>
      <c r="B90" s="93">
        <v>2</v>
      </c>
      <c r="C90" s="126">
        <v>0.005949355280204875</v>
      </c>
      <c r="D90" s="93" t="s">
        <v>875</v>
      </c>
      <c r="E90" s="93" t="b">
        <v>0</v>
      </c>
      <c r="F90" s="93" t="b">
        <v>0</v>
      </c>
      <c r="G90" s="93" t="b">
        <v>0</v>
      </c>
    </row>
    <row r="91" spans="1:7" ht="15">
      <c r="A91" s="94" t="s">
        <v>855</v>
      </c>
      <c r="B91" s="93">
        <v>2</v>
      </c>
      <c r="C91" s="126">
        <v>0.005949355280204875</v>
      </c>
      <c r="D91" s="93" t="s">
        <v>875</v>
      </c>
      <c r="E91" s="93" t="b">
        <v>0</v>
      </c>
      <c r="F91" s="93" t="b">
        <v>0</v>
      </c>
      <c r="G91" s="93" t="b">
        <v>0</v>
      </c>
    </row>
    <row r="92" spans="1:7" ht="15">
      <c r="A92" s="94" t="s">
        <v>856</v>
      </c>
      <c r="B92" s="93">
        <v>2</v>
      </c>
      <c r="C92" s="126">
        <v>0.005949355280204875</v>
      </c>
      <c r="D92" s="93" t="s">
        <v>875</v>
      </c>
      <c r="E92" s="93" t="b">
        <v>1</v>
      </c>
      <c r="F92" s="93" t="b">
        <v>0</v>
      </c>
      <c r="G92" s="93" t="b">
        <v>0</v>
      </c>
    </row>
    <row r="93" spans="1:7" ht="15">
      <c r="A93" s="94" t="s">
        <v>857</v>
      </c>
      <c r="B93" s="93">
        <v>2</v>
      </c>
      <c r="C93" s="126">
        <v>0.005949355280204875</v>
      </c>
      <c r="D93" s="93" t="s">
        <v>875</v>
      </c>
      <c r="E93" s="93" t="b">
        <v>0</v>
      </c>
      <c r="F93" s="93" t="b">
        <v>0</v>
      </c>
      <c r="G93" s="93" t="b">
        <v>0</v>
      </c>
    </row>
    <row r="94" spans="1:7" ht="15">
      <c r="A94" s="94" t="s">
        <v>858</v>
      </c>
      <c r="B94" s="93">
        <v>2</v>
      </c>
      <c r="C94" s="126">
        <v>0.006894504403168709</v>
      </c>
      <c r="D94" s="93" t="s">
        <v>875</v>
      </c>
      <c r="E94" s="93" t="b">
        <v>0</v>
      </c>
      <c r="F94" s="93" t="b">
        <v>0</v>
      </c>
      <c r="G94" s="93" t="b">
        <v>0</v>
      </c>
    </row>
    <row r="95" spans="1:7" ht="15">
      <c r="A95" s="94" t="s">
        <v>859</v>
      </c>
      <c r="B95" s="93">
        <v>2</v>
      </c>
      <c r="C95" s="126">
        <v>0.005949355280204875</v>
      </c>
      <c r="D95" s="93" t="s">
        <v>875</v>
      </c>
      <c r="E95" s="93" t="b">
        <v>0</v>
      </c>
      <c r="F95" s="93" t="b">
        <v>0</v>
      </c>
      <c r="G95" s="93" t="b">
        <v>0</v>
      </c>
    </row>
    <row r="96" spans="1:7" ht="15">
      <c r="A96" s="94" t="s">
        <v>860</v>
      </c>
      <c r="B96" s="93">
        <v>2</v>
      </c>
      <c r="C96" s="126">
        <v>0.005949355280204875</v>
      </c>
      <c r="D96" s="93" t="s">
        <v>875</v>
      </c>
      <c r="E96" s="93" t="b">
        <v>1</v>
      </c>
      <c r="F96" s="93" t="b">
        <v>0</v>
      </c>
      <c r="G96" s="93" t="b">
        <v>0</v>
      </c>
    </row>
    <row r="97" spans="1:7" ht="15">
      <c r="A97" s="94" t="s">
        <v>861</v>
      </c>
      <c r="B97" s="93">
        <v>2</v>
      </c>
      <c r="C97" s="126">
        <v>0.005949355280204875</v>
      </c>
      <c r="D97" s="93" t="s">
        <v>875</v>
      </c>
      <c r="E97" s="93" t="b">
        <v>0</v>
      </c>
      <c r="F97" s="93" t="b">
        <v>0</v>
      </c>
      <c r="G97" s="93" t="b">
        <v>0</v>
      </c>
    </row>
    <row r="98" spans="1:7" ht="15">
      <c r="A98" s="94" t="s">
        <v>862</v>
      </c>
      <c r="B98" s="93">
        <v>2</v>
      </c>
      <c r="C98" s="126">
        <v>0.005949355280204875</v>
      </c>
      <c r="D98" s="93" t="s">
        <v>875</v>
      </c>
      <c r="E98" s="93" t="b">
        <v>0</v>
      </c>
      <c r="F98" s="93" t="b">
        <v>0</v>
      </c>
      <c r="G98" s="93" t="b">
        <v>0</v>
      </c>
    </row>
    <row r="99" spans="1:7" ht="15">
      <c r="A99" s="94" t="s">
        <v>863</v>
      </c>
      <c r="B99" s="93">
        <v>2</v>
      </c>
      <c r="C99" s="126">
        <v>0.005949355280204875</v>
      </c>
      <c r="D99" s="93" t="s">
        <v>875</v>
      </c>
      <c r="E99" s="93" t="b">
        <v>0</v>
      </c>
      <c r="F99" s="93" t="b">
        <v>0</v>
      </c>
      <c r="G99" s="93" t="b">
        <v>0</v>
      </c>
    </row>
    <row r="100" spans="1:7" ht="15">
      <c r="A100" s="94" t="s">
        <v>864</v>
      </c>
      <c r="B100" s="93">
        <v>2</v>
      </c>
      <c r="C100" s="126">
        <v>0.005949355280204875</v>
      </c>
      <c r="D100" s="93" t="s">
        <v>875</v>
      </c>
      <c r="E100" s="93" t="b">
        <v>0</v>
      </c>
      <c r="F100" s="93" t="b">
        <v>0</v>
      </c>
      <c r="G100" s="93" t="b">
        <v>0</v>
      </c>
    </row>
    <row r="101" spans="1:7" ht="15">
      <c r="A101" s="94" t="s">
        <v>865</v>
      </c>
      <c r="B101" s="93">
        <v>2</v>
      </c>
      <c r="C101" s="126">
        <v>0.005949355280204875</v>
      </c>
      <c r="D101" s="93" t="s">
        <v>875</v>
      </c>
      <c r="E101" s="93" t="b">
        <v>1</v>
      </c>
      <c r="F101" s="93" t="b">
        <v>0</v>
      </c>
      <c r="G101" s="93" t="b">
        <v>0</v>
      </c>
    </row>
    <row r="102" spans="1:7" ht="15">
      <c r="A102" s="94" t="s">
        <v>866</v>
      </c>
      <c r="B102" s="93">
        <v>2</v>
      </c>
      <c r="C102" s="126">
        <v>0.006894504403168709</v>
      </c>
      <c r="D102" s="93" t="s">
        <v>875</v>
      </c>
      <c r="E102" s="93" t="b">
        <v>0</v>
      </c>
      <c r="F102" s="93" t="b">
        <v>0</v>
      </c>
      <c r="G102" s="93" t="b">
        <v>0</v>
      </c>
    </row>
    <row r="103" spans="1:7" ht="15">
      <c r="A103" s="94" t="s">
        <v>867</v>
      </c>
      <c r="B103" s="93">
        <v>2</v>
      </c>
      <c r="C103" s="126">
        <v>0.005949355280204875</v>
      </c>
      <c r="D103" s="93" t="s">
        <v>875</v>
      </c>
      <c r="E103" s="93" t="b">
        <v>0</v>
      </c>
      <c r="F103" s="93" t="b">
        <v>0</v>
      </c>
      <c r="G103" s="93" t="b">
        <v>0</v>
      </c>
    </row>
    <row r="104" spans="1:7" ht="15">
      <c r="A104" s="94" t="s">
        <v>868</v>
      </c>
      <c r="B104" s="93">
        <v>2</v>
      </c>
      <c r="C104" s="126">
        <v>0.005949355280204875</v>
      </c>
      <c r="D104" s="93" t="s">
        <v>875</v>
      </c>
      <c r="E104" s="93" t="b">
        <v>0</v>
      </c>
      <c r="F104" s="93" t="b">
        <v>0</v>
      </c>
      <c r="G104" s="93" t="b">
        <v>0</v>
      </c>
    </row>
    <row r="105" spans="1:7" ht="15">
      <c r="A105" s="94" t="s">
        <v>869</v>
      </c>
      <c r="B105" s="93">
        <v>2</v>
      </c>
      <c r="C105" s="126">
        <v>0.006894504403168709</v>
      </c>
      <c r="D105" s="93" t="s">
        <v>875</v>
      </c>
      <c r="E105" s="93" t="b">
        <v>0</v>
      </c>
      <c r="F105" s="93" t="b">
        <v>0</v>
      </c>
      <c r="G105" s="93" t="b">
        <v>0</v>
      </c>
    </row>
    <row r="106" spans="1:7" ht="15">
      <c r="A106" s="94" t="s">
        <v>776</v>
      </c>
      <c r="B106" s="93">
        <v>12</v>
      </c>
      <c r="C106" s="126">
        <v>0.033568613779222975</v>
      </c>
      <c r="D106" s="93" t="s">
        <v>739</v>
      </c>
      <c r="E106" s="93" t="b">
        <v>0</v>
      </c>
      <c r="F106" s="93" t="b">
        <v>0</v>
      </c>
      <c r="G106" s="93" t="b">
        <v>0</v>
      </c>
    </row>
    <row r="107" spans="1:7" ht="15">
      <c r="A107" s="94" t="s">
        <v>774</v>
      </c>
      <c r="B107" s="93">
        <v>8</v>
      </c>
      <c r="C107" s="126">
        <v>0.022379075852815313</v>
      </c>
      <c r="D107" s="93" t="s">
        <v>739</v>
      </c>
      <c r="E107" s="93" t="b">
        <v>0</v>
      </c>
      <c r="F107" s="93" t="b">
        <v>0</v>
      </c>
      <c r="G107" s="93" t="b">
        <v>0</v>
      </c>
    </row>
    <row r="108" spans="1:7" ht="15">
      <c r="A108" s="94" t="s">
        <v>777</v>
      </c>
      <c r="B108" s="93">
        <v>8</v>
      </c>
      <c r="C108" s="126">
        <v>0.022379075852815313</v>
      </c>
      <c r="D108" s="93" t="s">
        <v>739</v>
      </c>
      <c r="E108" s="93" t="b">
        <v>0</v>
      </c>
      <c r="F108" s="93" t="b">
        <v>0</v>
      </c>
      <c r="G108" s="93" t="b">
        <v>0</v>
      </c>
    </row>
    <row r="109" spans="1:7" ht="15">
      <c r="A109" s="94" t="s">
        <v>779</v>
      </c>
      <c r="B109" s="93">
        <v>7</v>
      </c>
      <c r="C109" s="126">
        <v>0.015606770014194565</v>
      </c>
      <c r="D109" s="93" t="s">
        <v>739</v>
      </c>
      <c r="E109" s="93" t="b">
        <v>1</v>
      </c>
      <c r="F109" s="93" t="b">
        <v>0</v>
      </c>
      <c r="G109" s="93" t="b">
        <v>0</v>
      </c>
    </row>
    <row r="110" spans="1:7" ht="15">
      <c r="A110" s="94" t="s">
        <v>775</v>
      </c>
      <c r="B110" s="93">
        <v>5</v>
      </c>
      <c r="C110" s="126">
        <v>0.012854796087821996</v>
      </c>
      <c r="D110" s="93" t="s">
        <v>739</v>
      </c>
      <c r="E110" s="93" t="b">
        <v>0</v>
      </c>
      <c r="F110" s="93" t="b">
        <v>0</v>
      </c>
      <c r="G110" s="93" t="b">
        <v>0</v>
      </c>
    </row>
    <row r="111" spans="1:7" ht="15">
      <c r="A111" s="94" t="s">
        <v>781</v>
      </c>
      <c r="B111" s="93">
        <v>4</v>
      </c>
      <c r="C111" s="126">
        <v>0.011189537926407657</v>
      </c>
      <c r="D111" s="93" t="s">
        <v>739</v>
      </c>
      <c r="E111" s="93" t="b">
        <v>0</v>
      </c>
      <c r="F111" s="93" t="b">
        <v>0</v>
      </c>
      <c r="G111" s="93" t="b">
        <v>0</v>
      </c>
    </row>
    <row r="112" spans="1:7" ht="15">
      <c r="A112" s="94" t="s">
        <v>786</v>
      </c>
      <c r="B112" s="93">
        <v>4</v>
      </c>
      <c r="C112" s="126">
        <v>0.01681626681732319</v>
      </c>
      <c r="D112" s="93" t="s">
        <v>739</v>
      </c>
      <c r="E112" s="93" t="b">
        <v>0</v>
      </c>
      <c r="F112" s="93" t="b">
        <v>0</v>
      </c>
      <c r="G112" s="93" t="b">
        <v>0</v>
      </c>
    </row>
    <row r="113" spans="1:7" ht="15">
      <c r="A113" s="94" t="s">
        <v>787</v>
      </c>
      <c r="B113" s="93">
        <v>4</v>
      </c>
      <c r="C113" s="126">
        <v>0.01681626681732319</v>
      </c>
      <c r="D113" s="93" t="s">
        <v>739</v>
      </c>
      <c r="E113" s="93" t="b">
        <v>0</v>
      </c>
      <c r="F113" s="93" t="b">
        <v>0</v>
      </c>
      <c r="G113" s="93" t="b">
        <v>0</v>
      </c>
    </row>
    <row r="114" spans="1:7" ht="15">
      <c r="A114" s="94" t="s">
        <v>797</v>
      </c>
      <c r="B114" s="93">
        <v>4</v>
      </c>
      <c r="C114" s="126">
        <v>0.014002902371865423</v>
      </c>
      <c r="D114" s="93" t="s">
        <v>739</v>
      </c>
      <c r="E114" s="93" t="b">
        <v>0</v>
      </c>
      <c r="F114" s="93" t="b">
        <v>0</v>
      </c>
      <c r="G114" s="93" t="b">
        <v>0</v>
      </c>
    </row>
    <row r="115" spans="1:7" ht="15">
      <c r="A115" s="94" t="s">
        <v>798</v>
      </c>
      <c r="B115" s="93">
        <v>4</v>
      </c>
      <c r="C115" s="126">
        <v>0.014002902371865423</v>
      </c>
      <c r="D115" s="93" t="s">
        <v>739</v>
      </c>
      <c r="E115" s="93" t="b">
        <v>0</v>
      </c>
      <c r="F115" s="93" t="b">
        <v>0</v>
      </c>
      <c r="G115" s="93" t="b">
        <v>0</v>
      </c>
    </row>
    <row r="116" spans="1:7" ht="15">
      <c r="A116" s="94" t="s">
        <v>780</v>
      </c>
      <c r="B116" s="93">
        <v>4</v>
      </c>
      <c r="C116" s="126">
        <v>0.014002902371865423</v>
      </c>
      <c r="D116" s="93" t="s">
        <v>739</v>
      </c>
      <c r="E116" s="93" t="b">
        <v>0</v>
      </c>
      <c r="F116" s="93" t="b">
        <v>0</v>
      </c>
      <c r="G116" s="93" t="b">
        <v>0</v>
      </c>
    </row>
    <row r="117" spans="1:7" ht="15">
      <c r="A117" s="94" t="s">
        <v>778</v>
      </c>
      <c r="B117" s="93">
        <v>4</v>
      </c>
      <c r="C117" s="126">
        <v>0.014002902371865423</v>
      </c>
      <c r="D117" s="93" t="s">
        <v>739</v>
      </c>
      <c r="E117" s="93" t="b">
        <v>0</v>
      </c>
      <c r="F117" s="93" t="b">
        <v>0</v>
      </c>
      <c r="G117" s="93" t="b">
        <v>0</v>
      </c>
    </row>
    <row r="118" spans="1:7" ht="15">
      <c r="A118" s="94" t="s">
        <v>799</v>
      </c>
      <c r="B118" s="93">
        <v>3</v>
      </c>
      <c r="C118" s="126">
        <v>0.010502176778899069</v>
      </c>
      <c r="D118" s="93" t="s">
        <v>739</v>
      </c>
      <c r="E118" s="93" t="b">
        <v>0</v>
      </c>
      <c r="F118" s="93" t="b">
        <v>0</v>
      </c>
      <c r="G118" s="93" t="b">
        <v>0</v>
      </c>
    </row>
    <row r="119" spans="1:7" ht="15">
      <c r="A119" s="94" t="s">
        <v>800</v>
      </c>
      <c r="B119" s="93">
        <v>3</v>
      </c>
      <c r="C119" s="126">
        <v>0.010502176778899069</v>
      </c>
      <c r="D119" s="93" t="s">
        <v>739</v>
      </c>
      <c r="E119" s="93" t="b">
        <v>0</v>
      </c>
      <c r="F119" s="93" t="b">
        <v>0</v>
      </c>
      <c r="G119" s="93" t="b">
        <v>0</v>
      </c>
    </row>
    <row r="120" spans="1:7" ht="15">
      <c r="A120" s="94" t="s">
        <v>788</v>
      </c>
      <c r="B120" s="93">
        <v>3</v>
      </c>
      <c r="C120" s="126">
        <v>0.009267892252807846</v>
      </c>
      <c r="D120" s="93" t="s">
        <v>739</v>
      </c>
      <c r="E120" s="93" t="b">
        <v>0</v>
      </c>
      <c r="F120" s="93" t="b">
        <v>0</v>
      </c>
      <c r="G120" s="93" t="b">
        <v>0</v>
      </c>
    </row>
    <row r="121" spans="1:7" ht="15">
      <c r="A121" s="94" t="s">
        <v>802</v>
      </c>
      <c r="B121" s="93">
        <v>3</v>
      </c>
      <c r="C121" s="126">
        <v>0.012612200112992395</v>
      </c>
      <c r="D121" s="93" t="s">
        <v>739</v>
      </c>
      <c r="E121" s="93" t="b">
        <v>0</v>
      </c>
      <c r="F121" s="93" t="b">
        <v>0</v>
      </c>
      <c r="G121" s="93" t="b">
        <v>0</v>
      </c>
    </row>
    <row r="122" spans="1:7" ht="15">
      <c r="A122" s="94" t="s">
        <v>789</v>
      </c>
      <c r="B122" s="93">
        <v>3</v>
      </c>
      <c r="C122" s="126">
        <v>0.010502176778899069</v>
      </c>
      <c r="D122" s="93" t="s">
        <v>739</v>
      </c>
      <c r="E122" s="93" t="b">
        <v>0</v>
      </c>
      <c r="F122" s="93" t="b">
        <v>0</v>
      </c>
      <c r="G122" s="93" t="b">
        <v>0</v>
      </c>
    </row>
    <row r="123" spans="1:7" ht="15">
      <c r="A123" s="94" t="s">
        <v>803</v>
      </c>
      <c r="B123" s="93">
        <v>3</v>
      </c>
      <c r="C123" s="126">
        <v>0.010502176778899069</v>
      </c>
      <c r="D123" s="93" t="s">
        <v>739</v>
      </c>
      <c r="E123" s="93" t="b">
        <v>0</v>
      </c>
      <c r="F123" s="93" t="b">
        <v>0</v>
      </c>
      <c r="G123" s="93" t="b">
        <v>0</v>
      </c>
    </row>
    <row r="124" spans="1:7" ht="15">
      <c r="A124" s="94" t="s">
        <v>792</v>
      </c>
      <c r="B124" s="93">
        <v>3</v>
      </c>
      <c r="C124" s="126">
        <v>0.009267892252807846</v>
      </c>
      <c r="D124" s="93" t="s">
        <v>739</v>
      </c>
      <c r="E124" s="93" t="b">
        <v>1</v>
      </c>
      <c r="F124" s="93" t="b">
        <v>0</v>
      </c>
      <c r="G124" s="93" t="b">
        <v>0</v>
      </c>
    </row>
    <row r="125" spans="1:7" ht="15">
      <c r="A125" s="94" t="s">
        <v>785</v>
      </c>
      <c r="B125" s="93">
        <v>3</v>
      </c>
      <c r="C125" s="126">
        <v>0.009267892252807846</v>
      </c>
      <c r="D125" s="93" t="s">
        <v>739</v>
      </c>
      <c r="E125" s="93" t="b">
        <v>1</v>
      </c>
      <c r="F125" s="93" t="b">
        <v>0</v>
      </c>
      <c r="G125" s="93" t="b">
        <v>0</v>
      </c>
    </row>
    <row r="126" spans="1:7" ht="15">
      <c r="A126" s="94" t="s">
        <v>782</v>
      </c>
      <c r="B126" s="93">
        <v>3</v>
      </c>
      <c r="C126" s="126">
        <v>0.009267892252807846</v>
      </c>
      <c r="D126" s="93" t="s">
        <v>739</v>
      </c>
      <c r="E126" s="93" t="b">
        <v>1</v>
      </c>
      <c r="F126" s="93" t="b">
        <v>0</v>
      </c>
      <c r="G126" s="93" t="b">
        <v>0</v>
      </c>
    </row>
    <row r="127" spans="1:7" ht="15">
      <c r="A127" s="94" t="s">
        <v>793</v>
      </c>
      <c r="B127" s="93">
        <v>3</v>
      </c>
      <c r="C127" s="126">
        <v>0.012612200112992395</v>
      </c>
      <c r="D127" s="93" t="s">
        <v>739</v>
      </c>
      <c r="E127" s="93" t="b">
        <v>0</v>
      </c>
      <c r="F127" s="93" t="b">
        <v>0</v>
      </c>
      <c r="G127" s="93" t="b">
        <v>0</v>
      </c>
    </row>
    <row r="128" spans="1:7" ht="15">
      <c r="A128" s="94" t="s">
        <v>805</v>
      </c>
      <c r="B128" s="93">
        <v>3</v>
      </c>
      <c r="C128" s="126">
        <v>0.012612200112992395</v>
      </c>
      <c r="D128" s="93" t="s">
        <v>739</v>
      </c>
      <c r="E128" s="93" t="b">
        <v>0</v>
      </c>
      <c r="F128" s="93" t="b">
        <v>0</v>
      </c>
      <c r="G128" s="93" t="b">
        <v>0</v>
      </c>
    </row>
    <row r="129" spans="1:7" ht="15">
      <c r="A129" s="94" t="s">
        <v>813</v>
      </c>
      <c r="B129" s="93">
        <v>3</v>
      </c>
      <c r="C129" s="126">
        <v>0.009267892252807846</v>
      </c>
      <c r="D129" s="93" t="s">
        <v>739</v>
      </c>
      <c r="E129" s="93" t="b">
        <v>0</v>
      </c>
      <c r="F129" s="93" t="b">
        <v>1</v>
      </c>
      <c r="G129" s="93" t="b">
        <v>0</v>
      </c>
    </row>
    <row r="130" spans="1:7" ht="15">
      <c r="A130" s="94" t="s">
        <v>794</v>
      </c>
      <c r="B130" s="93">
        <v>3</v>
      </c>
      <c r="C130" s="126">
        <v>0.009267892252807846</v>
      </c>
      <c r="D130" s="93" t="s">
        <v>739</v>
      </c>
      <c r="E130" s="93" t="b">
        <v>1</v>
      </c>
      <c r="F130" s="93" t="b">
        <v>0</v>
      </c>
      <c r="G130" s="93" t="b">
        <v>0</v>
      </c>
    </row>
    <row r="131" spans="1:7" ht="15">
      <c r="A131" s="94" t="s">
        <v>814</v>
      </c>
      <c r="B131" s="93">
        <v>3</v>
      </c>
      <c r="C131" s="126">
        <v>0.012612200112992395</v>
      </c>
      <c r="D131" s="93" t="s">
        <v>739</v>
      </c>
      <c r="E131" s="93" t="b">
        <v>0</v>
      </c>
      <c r="F131" s="93" t="b">
        <v>0</v>
      </c>
      <c r="G131" s="93" t="b">
        <v>0</v>
      </c>
    </row>
    <row r="132" spans="1:7" ht="15">
      <c r="A132" s="94" t="s">
        <v>796</v>
      </c>
      <c r="B132" s="93">
        <v>3</v>
      </c>
      <c r="C132" s="126">
        <v>0.009267892252807846</v>
      </c>
      <c r="D132" s="93" t="s">
        <v>739</v>
      </c>
      <c r="E132" s="93" t="b">
        <v>1</v>
      </c>
      <c r="F132" s="93" t="b">
        <v>0</v>
      </c>
      <c r="G132" s="93" t="b">
        <v>0</v>
      </c>
    </row>
    <row r="133" spans="1:7" ht="15">
      <c r="A133" s="94" t="s">
        <v>801</v>
      </c>
      <c r="B133" s="93">
        <v>2</v>
      </c>
      <c r="C133" s="126">
        <v>0.007001451185932712</v>
      </c>
      <c r="D133" s="93" t="s">
        <v>739</v>
      </c>
      <c r="E133" s="93" t="b">
        <v>0</v>
      </c>
      <c r="F133" s="93" t="b">
        <v>0</v>
      </c>
      <c r="G133" s="93" t="b">
        <v>0</v>
      </c>
    </row>
    <row r="134" spans="1:7" ht="15">
      <c r="A134" s="94" t="s">
        <v>817</v>
      </c>
      <c r="B134" s="93">
        <v>2</v>
      </c>
      <c r="C134" s="126">
        <v>0.008408133408661596</v>
      </c>
      <c r="D134" s="93" t="s">
        <v>739</v>
      </c>
      <c r="E134" s="93" t="b">
        <v>0</v>
      </c>
      <c r="F134" s="93" t="b">
        <v>0</v>
      </c>
      <c r="G134" s="93" t="b">
        <v>0</v>
      </c>
    </row>
    <row r="135" spans="1:7" ht="15">
      <c r="A135" s="94" t="s">
        <v>818</v>
      </c>
      <c r="B135" s="93">
        <v>2</v>
      </c>
      <c r="C135" s="126">
        <v>0.008408133408661596</v>
      </c>
      <c r="D135" s="93" t="s">
        <v>739</v>
      </c>
      <c r="E135" s="93" t="b">
        <v>0</v>
      </c>
      <c r="F135" s="93" t="b">
        <v>0</v>
      </c>
      <c r="G135" s="93" t="b">
        <v>0</v>
      </c>
    </row>
    <row r="136" spans="1:7" ht="15">
      <c r="A136" s="94" t="s">
        <v>819</v>
      </c>
      <c r="B136" s="93">
        <v>2</v>
      </c>
      <c r="C136" s="126">
        <v>0.008408133408661596</v>
      </c>
      <c r="D136" s="93" t="s">
        <v>739</v>
      </c>
      <c r="E136" s="93" t="b">
        <v>0</v>
      </c>
      <c r="F136" s="93" t="b">
        <v>0</v>
      </c>
      <c r="G136" s="93" t="b">
        <v>0</v>
      </c>
    </row>
    <row r="137" spans="1:7" ht="15">
      <c r="A137" s="94" t="s">
        <v>820</v>
      </c>
      <c r="B137" s="93">
        <v>2</v>
      </c>
      <c r="C137" s="126">
        <v>0.008408133408661596</v>
      </c>
      <c r="D137" s="93" t="s">
        <v>739</v>
      </c>
      <c r="E137" s="93" t="b">
        <v>0</v>
      </c>
      <c r="F137" s="93" t="b">
        <v>0</v>
      </c>
      <c r="G137" s="93" t="b">
        <v>0</v>
      </c>
    </row>
    <row r="138" spans="1:7" ht="15">
      <c r="A138" s="94" t="s">
        <v>821</v>
      </c>
      <c r="B138" s="93">
        <v>2</v>
      </c>
      <c r="C138" s="126">
        <v>0.008408133408661596</v>
      </c>
      <c r="D138" s="93" t="s">
        <v>739</v>
      </c>
      <c r="E138" s="93" t="b">
        <v>0</v>
      </c>
      <c r="F138" s="93" t="b">
        <v>0</v>
      </c>
      <c r="G138" s="93" t="b">
        <v>0</v>
      </c>
    </row>
    <row r="139" spans="1:7" ht="15">
      <c r="A139" s="94" t="s">
        <v>783</v>
      </c>
      <c r="B139" s="93">
        <v>2</v>
      </c>
      <c r="C139" s="126">
        <v>0.007001451185932712</v>
      </c>
      <c r="D139" s="93" t="s">
        <v>739</v>
      </c>
      <c r="E139" s="93" t="b">
        <v>0</v>
      </c>
      <c r="F139" s="93" t="b">
        <v>0</v>
      </c>
      <c r="G139" s="93" t="b">
        <v>0</v>
      </c>
    </row>
    <row r="140" spans="1:7" ht="15">
      <c r="A140" s="94" t="s">
        <v>790</v>
      </c>
      <c r="B140" s="93">
        <v>2</v>
      </c>
      <c r="C140" s="126">
        <v>0.007001451185932712</v>
      </c>
      <c r="D140" s="93" t="s">
        <v>739</v>
      </c>
      <c r="E140" s="93" t="b">
        <v>0</v>
      </c>
      <c r="F140" s="93" t="b">
        <v>0</v>
      </c>
      <c r="G140" s="93" t="b">
        <v>0</v>
      </c>
    </row>
    <row r="141" spans="1:7" ht="15">
      <c r="A141" s="94" t="s">
        <v>791</v>
      </c>
      <c r="B141" s="93">
        <v>2</v>
      </c>
      <c r="C141" s="126">
        <v>0.007001451185932712</v>
      </c>
      <c r="D141" s="93" t="s">
        <v>739</v>
      </c>
      <c r="E141" s="93" t="b">
        <v>1</v>
      </c>
      <c r="F141" s="93" t="b">
        <v>0</v>
      </c>
      <c r="G141" s="93" t="b">
        <v>0</v>
      </c>
    </row>
    <row r="142" spans="1:7" ht="15">
      <c r="A142" s="94" t="s">
        <v>804</v>
      </c>
      <c r="B142" s="93">
        <v>2</v>
      </c>
      <c r="C142" s="126">
        <v>0.007001451185932712</v>
      </c>
      <c r="D142" s="93" t="s">
        <v>739</v>
      </c>
      <c r="E142" s="93" t="b">
        <v>0</v>
      </c>
      <c r="F142" s="93" t="b">
        <v>0</v>
      </c>
      <c r="G142" s="93" t="b">
        <v>0</v>
      </c>
    </row>
    <row r="143" spans="1:7" ht="15">
      <c r="A143" s="94" t="s">
        <v>826</v>
      </c>
      <c r="B143" s="93">
        <v>2</v>
      </c>
      <c r="C143" s="126">
        <v>0.007001451185932712</v>
      </c>
      <c r="D143" s="93" t="s">
        <v>739</v>
      </c>
      <c r="E143" s="93" t="b">
        <v>1</v>
      </c>
      <c r="F143" s="93" t="b">
        <v>0</v>
      </c>
      <c r="G143" s="93" t="b">
        <v>0</v>
      </c>
    </row>
    <row r="144" spans="1:7" ht="15">
      <c r="A144" s="94" t="s">
        <v>827</v>
      </c>
      <c r="B144" s="93">
        <v>2</v>
      </c>
      <c r="C144" s="126">
        <v>0.008408133408661596</v>
      </c>
      <c r="D144" s="93" t="s">
        <v>739</v>
      </c>
      <c r="E144" s="93" t="b">
        <v>0</v>
      </c>
      <c r="F144" s="93" t="b">
        <v>1</v>
      </c>
      <c r="G144" s="93" t="b">
        <v>0</v>
      </c>
    </row>
    <row r="145" spans="1:7" ht="15">
      <c r="A145" s="94" t="s">
        <v>829</v>
      </c>
      <c r="B145" s="93">
        <v>2</v>
      </c>
      <c r="C145" s="126">
        <v>0.007001451185932712</v>
      </c>
      <c r="D145" s="93" t="s">
        <v>739</v>
      </c>
      <c r="E145" s="93" t="b">
        <v>0</v>
      </c>
      <c r="F145" s="93" t="b">
        <v>0</v>
      </c>
      <c r="G145" s="93" t="b">
        <v>0</v>
      </c>
    </row>
    <row r="146" spans="1:7" ht="15">
      <c r="A146" s="94" t="s">
        <v>831</v>
      </c>
      <c r="B146" s="93">
        <v>2</v>
      </c>
      <c r="C146" s="126">
        <v>0.007001451185932712</v>
      </c>
      <c r="D146" s="93" t="s">
        <v>739</v>
      </c>
      <c r="E146" s="93" t="b">
        <v>0</v>
      </c>
      <c r="F146" s="93" t="b">
        <v>0</v>
      </c>
      <c r="G146" s="93" t="b">
        <v>0</v>
      </c>
    </row>
    <row r="147" spans="1:7" ht="15">
      <c r="A147" s="94" t="s">
        <v>832</v>
      </c>
      <c r="B147" s="93">
        <v>2</v>
      </c>
      <c r="C147" s="126">
        <v>0.008408133408661596</v>
      </c>
      <c r="D147" s="93" t="s">
        <v>739</v>
      </c>
      <c r="E147" s="93" t="b">
        <v>0</v>
      </c>
      <c r="F147" s="93" t="b">
        <v>0</v>
      </c>
      <c r="G147" s="93" t="b">
        <v>0</v>
      </c>
    </row>
    <row r="148" spans="1:7" ht="15">
      <c r="A148" s="94" t="s">
        <v>807</v>
      </c>
      <c r="B148" s="93">
        <v>2</v>
      </c>
      <c r="C148" s="126">
        <v>0.007001451185932712</v>
      </c>
      <c r="D148" s="93" t="s">
        <v>739</v>
      </c>
      <c r="E148" s="93" t="b">
        <v>0</v>
      </c>
      <c r="F148" s="93" t="b">
        <v>1</v>
      </c>
      <c r="G148" s="93" t="b">
        <v>0</v>
      </c>
    </row>
    <row r="149" spans="1:7" ht="15">
      <c r="A149" s="94" t="s">
        <v>808</v>
      </c>
      <c r="B149" s="93">
        <v>2</v>
      </c>
      <c r="C149" s="126">
        <v>0.007001451185932712</v>
      </c>
      <c r="D149" s="93" t="s">
        <v>739</v>
      </c>
      <c r="E149" s="93" t="b">
        <v>0</v>
      </c>
      <c r="F149" s="93" t="b">
        <v>0</v>
      </c>
      <c r="G149" s="93" t="b">
        <v>0</v>
      </c>
    </row>
    <row r="150" spans="1:7" ht="15">
      <c r="A150" s="94" t="s">
        <v>854</v>
      </c>
      <c r="B150" s="93">
        <v>2</v>
      </c>
      <c r="C150" s="126">
        <v>0.007001451185932712</v>
      </c>
      <c r="D150" s="93" t="s">
        <v>739</v>
      </c>
      <c r="E150" s="93" t="b">
        <v>0</v>
      </c>
      <c r="F150" s="93" t="b">
        <v>0</v>
      </c>
      <c r="G150" s="93" t="b">
        <v>0</v>
      </c>
    </row>
    <row r="151" spans="1:7" ht="15">
      <c r="A151" s="94" t="s">
        <v>855</v>
      </c>
      <c r="B151" s="93">
        <v>2</v>
      </c>
      <c r="C151" s="126">
        <v>0.007001451185932712</v>
      </c>
      <c r="D151" s="93" t="s">
        <v>739</v>
      </c>
      <c r="E151" s="93" t="b">
        <v>0</v>
      </c>
      <c r="F151" s="93" t="b">
        <v>0</v>
      </c>
      <c r="G151" s="93" t="b">
        <v>0</v>
      </c>
    </row>
    <row r="152" spans="1:7" ht="15">
      <c r="A152" s="94" t="s">
        <v>815</v>
      </c>
      <c r="B152" s="93">
        <v>2</v>
      </c>
      <c r="C152" s="126">
        <v>0.007001451185932712</v>
      </c>
      <c r="D152" s="93" t="s">
        <v>739</v>
      </c>
      <c r="E152" s="93" t="b">
        <v>0</v>
      </c>
      <c r="F152" s="93" t="b">
        <v>0</v>
      </c>
      <c r="G152" s="93" t="b">
        <v>0</v>
      </c>
    </row>
    <row r="153" spans="1:7" ht="15">
      <c r="A153" s="94" t="s">
        <v>835</v>
      </c>
      <c r="B153" s="93">
        <v>2</v>
      </c>
      <c r="C153" s="126">
        <v>0.007001451185932712</v>
      </c>
      <c r="D153" s="93" t="s">
        <v>739</v>
      </c>
      <c r="E153" s="93" t="b">
        <v>0</v>
      </c>
      <c r="F153" s="93" t="b">
        <v>1</v>
      </c>
      <c r="G153" s="93" t="b">
        <v>0</v>
      </c>
    </row>
    <row r="154" spans="1:7" ht="15">
      <c r="A154" s="94" t="s">
        <v>839</v>
      </c>
      <c r="B154" s="93">
        <v>2</v>
      </c>
      <c r="C154" s="126">
        <v>0.007001451185932712</v>
      </c>
      <c r="D154" s="93" t="s">
        <v>739</v>
      </c>
      <c r="E154" s="93" t="b">
        <v>0</v>
      </c>
      <c r="F154" s="93" t="b">
        <v>0</v>
      </c>
      <c r="G154" s="93" t="b">
        <v>0</v>
      </c>
    </row>
    <row r="155" spans="1:7" ht="15">
      <c r="A155" s="94" t="s">
        <v>840</v>
      </c>
      <c r="B155" s="93">
        <v>2</v>
      </c>
      <c r="C155" s="126">
        <v>0.008408133408661596</v>
      </c>
      <c r="D155" s="93" t="s">
        <v>739</v>
      </c>
      <c r="E155" s="93" t="b">
        <v>0</v>
      </c>
      <c r="F155" s="93" t="b">
        <v>0</v>
      </c>
      <c r="G155" s="93" t="b">
        <v>0</v>
      </c>
    </row>
    <row r="156" spans="1:7" ht="15">
      <c r="A156" s="94" t="s">
        <v>841</v>
      </c>
      <c r="B156" s="93">
        <v>2</v>
      </c>
      <c r="C156" s="126">
        <v>0.008408133408661596</v>
      </c>
      <c r="D156" s="93" t="s">
        <v>739</v>
      </c>
      <c r="E156" s="93" t="b">
        <v>0</v>
      </c>
      <c r="F156" s="93" t="b">
        <v>1</v>
      </c>
      <c r="G156" s="93" t="b">
        <v>0</v>
      </c>
    </row>
    <row r="157" spans="1:7" ht="15">
      <c r="A157" s="94" t="s">
        <v>842</v>
      </c>
      <c r="B157" s="93">
        <v>2</v>
      </c>
      <c r="C157" s="126">
        <v>0.008408133408661596</v>
      </c>
      <c r="D157" s="93" t="s">
        <v>739</v>
      </c>
      <c r="E157" s="93" t="b">
        <v>0</v>
      </c>
      <c r="F157" s="93" t="b">
        <v>0</v>
      </c>
      <c r="G157" s="93" t="b">
        <v>0</v>
      </c>
    </row>
    <row r="158" spans="1:7" ht="15">
      <c r="A158" s="94" t="s">
        <v>843</v>
      </c>
      <c r="B158" s="93">
        <v>2</v>
      </c>
      <c r="C158" s="126">
        <v>0.008408133408661596</v>
      </c>
      <c r="D158" s="93" t="s">
        <v>739</v>
      </c>
      <c r="E158" s="93" t="b">
        <v>0</v>
      </c>
      <c r="F158" s="93" t="b">
        <v>0</v>
      </c>
      <c r="G158" s="93" t="b">
        <v>0</v>
      </c>
    </row>
    <row r="159" spans="1:7" ht="15">
      <c r="A159" s="94" t="s">
        <v>844</v>
      </c>
      <c r="B159" s="93">
        <v>2</v>
      </c>
      <c r="C159" s="126">
        <v>0.007001451185932712</v>
      </c>
      <c r="D159" s="93" t="s">
        <v>739</v>
      </c>
      <c r="E159" s="93" t="b">
        <v>0</v>
      </c>
      <c r="F159" s="93" t="b">
        <v>0</v>
      </c>
      <c r="G159" s="93" t="b">
        <v>0</v>
      </c>
    </row>
    <row r="160" spans="1:7" ht="15">
      <c r="A160" s="94" t="s">
        <v>845</v>
      </c>
      <c r="B160" s="93">
        <v>2</v>
      </c>
      <c r="C160" s="126">
        <v>0.008408133408661596</v>
      </c>
      <c r="D160" s="93" t="s">
        <v>739</v>
      </c>
      <c r="E160" s="93" t="b">
        <v>0</v>
      </c>
      <c r="F160" s="93" t="b">
        <v>0</v>
      </c>
      <c r="G160" s="93" t="b">
        <v>0</v>
      </c>
    </row>
    <row r="161" spans="1:7" ht="15">
      <c r="A161" s="94" t="s">
        <v>846</v>
      </c>
      <c r="B161" s="93">
        <v>2</v>
      </c>
      <c r="C161" s="126">
        <v>0.008408133408661596</v>
      </c>
      <c r="D161" s="93" t="s">
        <v>739</v>
      </c>
      <c r="E161" s="93" t="b">
        <v>0</v>
      </c>
      <c r="F161" s="93" t="b">
        <v>0</v>
      </c>
      <c r="G161" s="93" t="b">
        <v>0</v>
      </c>
    </row>
    <row r="162" spans="1:7" ht="15">
      <c r="A162" s="94" t="s">
        <v>848</v>
      </c>
      <c r="B162" s="93">
        <v>2</v>
      </c>
      <c r="C162" s="126">
        <v>0.008408133408661596</v>
      </c>
      <c r="D162" s="93" t="s">
        <v>739</v>
      </c>
      <c r="E162" s="93" t="b">
        <v>0</v>
      </c>
      <c r="F162" s="93" t="b">
        <v>0</v>
      </c>
      <c r="G162" s="93" t="b">
        <v>0</v>
      </c>
    </row>
    <row r="163" spans="1:7" ht="15">
      <c r="A163" s="94" t="s">
        <v>849</v>
      </c>
      <c r="B163" s="93">
        <v>2</v>
      </c>
      <c r="C163" s="126">
        <v>0.008408133408661596</v>
      </c>
      <c r="D163" s="93" t="s">
        <v>739</v>
      </c>
      <c r="E163" s="93" t="b">
        <v>0</v>
      </c>
      <c r="F163" s="93" t="b">
        <v>0</v>
      </c>
      <c r="G163" s="93" t="b">
        <v>0</v>
      </c>
    </row>
    <row r="164" spans="1:7" ht="15">
      <c r="A164" s="94" t="s">
        <v>850</v>
      </c>
      <c r="B164" s="93">
        <v>2</v>
      </c>
      <c r="C164" s="126">
        <v>0.008408133408661596</v>
      </c>
      <c r="D164" s="93" t="s">
        <v>739</v>
      </c>
      <c r="E164" s="93" t="b">
        <v>0</v>
      </c>
      <c r="F164" s="93" t="b">
        <v>0</v>
      </c>
      <c r="G164" s="93" t="b">
        <v>0</v>
      </c>
    </row>
    <row r="165" spans="1:7" ht="15">
      <c r="A165" s="94" t="s">
        <v>851</v>
      </c>
      <c r="B165" s="93">
        <v>2</v>
      </c>
      <c r="C165" s="126">
        <v>0.008408133408661596</v>
      </c>
      <c r="D165" s="93" t="s">
        <v>739</v>
      </c>
      <c r="E165" s="93" t="b">
        <v>0</v>
      </c>
      <c r="F165" s="93" t="b">
        <v>1</v>
      </c>
      <c r="G165" s="93" t="b">
        <v>0</v>
      </c>
    </row>
    <row r="166" spans="1:7" ht="15">
      <c r="A166" s="94" t="s">
        <v>852</v>
      </c>
      <c r="B166" s="93">
        <v>2</v>
      </c>
      <c r="C166" s="126">
        <v>0.008408133408661596</v>
      </c>
      <c r="D166" s="93" t="s">
        <v>739</v>
      </c>
      <c r="E166" s="93" t="b">
        <v>0</v>
      </c>
      <c r="F166" s="93" t="b">
        <v>0</v>
      </c>
      <c r="G166" s="93" t="b">
        <v>0</v>
      </c>
    </row>
    <row r="167" spans="1:7" ht="15">
      <c r="A167" s="94" t="s">
        <v>858</v>
      </c>
      <c r="B167" s="93">
        <v>2</v>
      </c>
      <c r="C167" s="126">
        <v>0.008408133408661596</v>
      </c>
      <c r="D167" s="93" t="s">
        <v>739</v>
      </c>
      <c r="E167" s="93" t="b">
        <v>0</v>
      </c>
      <c r="F167" s="93" t="b">
        <v>0</v>
      </c>
      <c r="G167" s="93" t="b">
        <v>0</v>
      </c>
    </row>
    <row r="168" spans="1:7" ht="15">
      <c r="A168" s="94" t="s">
        <v>860</v>
      </c>
      <c r="B168" s="93">
        <v>2</v>
      </c>
      <c r="C168" s="126">
        <v>0.007001451185932712</v>
      </c>
      <c r="D168" s="93" t="s">
        <v>739</v>
      </c>
      <c r="E168" s="93" t="b">
        <v>1</v>
      </c>
      <c r="F168" s="93" t="b">
        <v>0</v>
      </c>
      <c r="G168" s="93" t="b">
        <v>0</v>
      </c>
    </row>
    <row r="169" spans="1:7" ht="15">
      <c r="A169" s="94" t="s">
        <v>861</v>
      </c>
      <c r="B169" s="93">
        <v>2</v>
      </c>
      <c r="C169" s="126">
        <v>0.007001451185932712</v>
      </c>
      <c r="D169" s="93" t="s">
        <v>739</v>
      </c>
      <c r="E169" s="93" t="b">
        <v>0</v>
      </c>
      <c r="F169" s="93" t="b">
        <v>0</v>
      </c>
      <c r="G169" s="93" t="b">
        <v>0</v>
      </c>
    </row>
    <row r="170" spans="1:7" ht="15">
      <c r="A170" s="94" t="s">
        <v>862</v>
      </c>
      <c r="B170" s="93">
        <v>2</v>
      </c>
      <c r="C170" s="126">
        <v>0.007001451185932712</v>
      </c>
      <c r="D170" s="93" t="s">
        <v>739</v>
      </c>
      <c r="E170" s="93" t="b">
        <v>0</v>
      </c>
      <c r="F170" s="93" t="b">
        <v>0</v>
      </c>
      <c r="G170" s="93" t="b">
        <v>0</v>
      </c>
    </row>
    <row r="171" spans="1:7" ht="15">
      <c r="A171" s="94" t="s">
        <v>863</v>
      </c>
      <c r="B171" s="93">
        <v>2</v>
      </c>
      <c r="C171" s="126">
        <v>0.007001451185932712</v>
      </c>
      <c r="D171" s="93" t="s">
        <v>739</v>
      </c>
      <c r="E171" s="93" t="b">
        <v>0</v>
      </c>
      <c r="F171" s="93" t="b">
        <v>0</v>
      </c>
      <c r="G171" s="93" t="b">
        <v>0</v>
      </c>
    </row>
    <row r="172" spans="1:7" ht="15">
      <c r="A172" s="94" t="s">
        <v>864</v>
      </c>
      <c r="B172" s="93">
        <v>2</v>
      </c>
      <c r="C172" s="126">
        <v>0.007001451185932712</v>
      </c>
      <c r="D172" s="93" t="s">
        <v>739</v>
      </c>
      <c r="E172" s="93" t="b">
        <v>0</v>
      </c>
      <c r="F172" s="93" t="b">
        <v>0</v>
      </c>
      <c r="G172" s="93" t="b">
        <v>0</v>
      </c>
    </row>
    <row r="173" spans="1:7" ht="15">
      <c r="A173" s="94" t="s">
        <v>811</v>
      </c>
      <c r="B173" s="93">
        <v>3</v>
      </c>
      <c r="C173" s="126">
        <v>0.0735598369062274</v>
      </c>
      <c r="D173" s="93" t="s">
        <v>740</v>
      </c>
      <c r="E173" s="93" t="b">
        <v>0</v>
      </c>
      <c r="F173" s="93" t="b">
        <v>0</v>
      </c>
      <c r="G173" s="93" t="b">
        <v>0</v>
      </c>
    </row>
    <row r="174" spans="1:7" ht="15">
      <c r="A174" s="94" t="s">
        <v>812</v>
      </c>
      <c r="B174" s="93">
        <v>3</v>
      </c>
      <c r="C174" s="126">
        <v>0.0735598369062274</v>
      </c>
      <c r="D174" s="93" t="s">
        <v>740</v>
      </c>
      <c r="E174" s="93" t="b">
        <v>0</v>
      </c>
      <c r="F174" s="93" t="b">
        <v>0</v>
      </c>
      <c r="G174" s="93" t="b">
        <v>0</v>
      </c>
    </row>
    <row r="175" spans="1:7" ht="15">
      <c r="A175" s="94" t="s">
        <v>775</v>
      </c>
      <c r="B175" s="93">
        <v>2</v>
      </c>
      <c r="C175" s="126">
        <v>0.057230182389687155</v>
      </c>
      <c r="D175" s="93" t="s">
        <v>740</v>
      </c>
      <c r="E175" s="93" t="b">
        <v>0</v>
      </c>
      <c r="F175" s="93" t="b">
        <v>0</v>
      </c>
      <c r="G175" s="93" t="b">
        <v>0</v>
      </c>
    </row>
    <row r="176" spans="1:7" ht="15">
      <c r="A176" s="94" t="s">
        <v>809</v>
      </c>
      <c r="B176" s="93">
        <v>2</v>
      </c>
      <c r="C176" s="126">
        <v>0.057230182389687155</v>
      </c>
      <c r="D176" s="93" t="s">
        <v>740</v>
      </c>
      <c r="E176" s="93" t="b">
        <v>0</v>
      </c>
      <c r="F176" s="93" t="b">
        <v>0</v>
      </c>
      <c r="G176" s="93" t="b">
        <v>0</v>
      </c>
    </row>
    <row r="177" spans="1:7" ht="15">
      <c r="A177" s="94" t="s">
        <v>795</v>
      </c>
      <c r="B177" s="93">
        <v>2</v>
      </c>
      <c r="C177" s="126">
        <v>0.057230182389687155</v>
      </c>
      <c r="D177" s="93" t="s">
        <v>740</v>
      </c>
      <c r="E177" s="93" t="b">
        <v>0</v>
      </c>
      <c r="F177" s="93" t="b">
        <v>0</v>
      </c>
      <c r="G177" s="93" t="b">
        <v>0</v>
      </c>
    </row>
    <row r="178" spans="1:7" ht="15">
      <c r="A178" s="94" t="s">
        <v>774</v>
      </c>
      <c r="B178" s="93">
        <v>3</v>
      </c>
      <c r="C178" s="126">
        <v>0.07265530361569013</v>
      </c>
      <c r="D178" s="93" t="s">
        <v>741</v>
      </c>
      <c r="E178" s="93" t="b">
        <v>0</v>
      </c>
      <c r="F178" s="93" t="b">
        <v>0</v>
      </c>
      <c r="G178" s="93" t="b">
        <v>0</v>
      </c>
    </row>
    <row r="179" spans="1:7" ht="15">
      <c r="A179" s="94" t="s">
        <v>791</v>
      </c>
      <c r="B179" s="93">
        <v>2</v>
      </c>
      <c r="C179" s="126">
        <v>0.04843686907712675</v>
      </c>
      <c r="D179" s="93" t="s">
        <v>741</v>
      </c>
      <c r="E179" s="93" t="b">
        <v>1</v>
      </c>
      <c r="F179" s="93" t="b">
        <v>0</v>
      </c>
      <c r="G179" s="93" t="b">
        <v>0</v>
      </c>
    </row>
    <row r="180" spans="1:7" ht="15">
      <c r="A180" s="94" t="s">
        <v>865</v>
      </c>
      <c r="B180" s="93">
        <v>2</v>
      </c>
      <c r="C180" s="126">
        <v>0.04843686907712675</v>
      </c>
      <c r="D180" s="93" t="s">
        <v>741</v>
      </c>
      <c r="E180" s="93" t="b">
        <v>1</v>
      </c>
      <c r="F180" s="93" t="b">
        <v>0</v>
      </c>
      <c r="G180" s="93" t="b">
        <v>0</v>
      </c>
    </row>
    <row r="181" spans="1:7" ht="15">
      <c r="A181" s="94" t="s">
        <v>782</v>
      </c>
      <c r="B181" s="93">
        <v>2</v>
      </c>
      <c r="C181" s="126">
        <v>0.04843686907712675</v>
      </c>
      <c r="D181" s="93" t="s">
        <v>741</v>
      </c>
      <c r="E181" s="93" t="b">
        <v>1</v>
      </c>
      <c r="F181" s="93" t="b">
        <v>0</v>
      </c>
      <c r="G181" s="93" t="b">
        <v>0</v>
      </c>
    </row>
    <row r="182" spans="1:7" ht="15">
      <c r="A182" s="94" t="s">
        <v>866</v>
      </c>
      <c r="B182" s="93">
        <v>2</v>
      </c>
      <c r="C182" s="126">
        <v>0.06243826422428866</v>
      </c>
      <c r="D182" s="93" t="s">
        <v>741</v>
      </c>
      <c r="E182" s="93" t="b">
        <v>0</v>
      </c>
      <c r="F182" s="93" t="b">
        <v>0</v>
      </c>
      <c r="G182" s="93" t="b">
        <v>0</v>
      </c>
    </row>
    <row r="183" spans="1:7" ht="15">
      <c r="A183" s="94" t="s">
        <v>867</v>
      </c>
      <c r="B183" s="93">
        <v>2</v>
      </c>
      <c r="C183" s="126">
        <v>0.037018134474712194</v>
      </c>
      <c r="D183" s="93" t="s">
        <v>742</v>
      </c>
      <c r="E183" s="93" t="b">
        <v>0</v>
      </c>
      <c r="F183" s="93" t="b">
        <v>0</v>
      </c>
      <c r="G183" s="93" t="b">
        <v>0</v>
      </c>
    </row>
    <row r="184" spans="1:7" ht="15">
      <c r="A184" s="94" t="s">
        <v>868</v>
      </c>
      <c r="B184" s="93">
        <v>2</v>
      </c>
      <c r="C184" s="126">
        <v>0.037018134474712194</v>
      </c>
      <c r="D184" s="93" t="s">
        <v>742</v>
      </c>
      <c r="E184" s="93" t="b">
        <v>0</v>
      </c>
      <c r="F184" s="93" t="b">
        <v>0</v>
      </c>
      <c r="G184" s="93" t="b">
        <v>0</v>
      </c>
    </row>
    <row r="185" spans="1:7" ht="15">
      <c r="A185" s="94" t="s">
        <v>869</v>
      </c>
      <c r="B185" s="93">
        <v>2</v>
      </c>
      <c r="C185" s="126">
        <v>0.05206963425791126</v>
      </c>
      <c r="D185" s="93" t="s">
        <v>742</v>
      </c>
      <c r="E185" s="93" t="b">
        <v>0</v>
      </c>
      <c r="F185" s="93" t="b">
        <v>0</v>
      </c>
      <c r="G185" s="93" t="b">
        <v>0</v>
      </c>
    </row>
    <row r="186" spans="1:7" ht="15">
      <c r="A186" s="94" t="s">
        <v>775</v>
      </c>
      <c r="B186" s="93">
        <v>4</v>
      </c>
      <c r="C186" s="126">
        <v>0.08060267323707787</v>
      </c>
      <c r="D186" s="93" t="s">
        <v>743</v>
      </c>
      <c r="E186" s="93" t="b">
        <v>0</v>
      </c>
      <c r="F186" s="93" t="b">
        <v>0</v>
      </c>
      <c r="G186" s="93" t="b">
        <v>0</v>
      </c>
    </row>
    <row r="187" spans="1:7" ht="15">
      <c r="A187" s="94" t="s">
        <v>783</v>
      </c>
      <c r="B187" s="93">
        <v>2</v>
      </c>
      <c r="C187" s="126">
        <v>0.06259985481587087</v>
      </c>
      <c r="D187" s="93" t="s">
        <v>743</v>
      </c>
      <c r="E187" s="93" t="b">
        <v>0</v>
      </c>
      <c r="F187" s="93" t="b">
        <v>0</v>
      </c>
      <c r="G187" s="93" t="b">
        <v>0</v>
      </c>
    </row>
    <row r="188" spans="1:7" ht="15">
      <c r="A188" s="94" t="s">
        <v>833</v>
      </c>
      <c r="B188" s="93">
        <v>2</v>
      </c>
      <c r="C188" s="126">
        <v>0.06259985481587087</v>
      </c>
      <c r="D188" s="93" t="s">
        <v>743</v>
      </c>
      <c r="E188" s="93" t="b">
        <v>0</v>
      </c>
      <c r="F188" s="93" t="b">
        <v>0</v>
      </c>
      <c r="G188" s="93" t="b">
        <v>0</v>
      </c>
    </row>
    <row r="189" spans="1:7" ht="15">
      <c r="A189" s="94" t="s">
        <v>778</v>
      </c>
      <c r="B189" s="93">
        <v>6</v>
      </c>
      <c r="C189" s="126">
        <v>0.04515449934959718</v>
      </c>
      <c r="D189" s="93" t="s">
        <v>744</v>
      </c>
      <c r="E189" s="93" t="b">
        <v>0</v>
      </c>
      <c r="F189" s="93" t="b">
        <v>0</v>
      </c>
      <c r="G189" s="93" t="b">
        <v>0</v>
      </c>
    </row>
    <row r="190" spans="1:7" ht="15">
      <c r="A190" s="94" t="s">
        <v>780</v>
      </c>
      <c r="B190" s="93">
        <v>4</v>
      </c>
      <c r="C190" s="126">
        <v>0.03010299956639812</v>
      </c>
      <c r="D190" s="93" t="s">
        <v>744</v>
      </c>
      <c r="E190" s="93" t="b">
        <v>0</v>
      </c>
      <c r="F190" s="93" t="b">
        <v>0</v>
      </c>
      <c r="G190" s="93" t="b">
        <v>0</v>
      </c>
    </row>
    <row r="191" spans="1:7" ht="15">
      <c r="A191" s="94" t="s">
        <v>777</v>
      </c>
      <c r="B191" s="93">
        <v>4</v>
      </c>
      <c r="C191" s="126">
        <v>0.03010299956639812</v>
      </c>
      <c r="D191" s="93" t="s">
        <v>744</v>
      </c>
      <c r="E191" s="93" t="b">
        <v>0</v>
      </c>
      <c r="F191" s="93" t="b">
        <v>0</v>
      </c>
      <c r="G191" s="93" t="b">
        <v>0</v>
      </c>
    </row>
    <row r="192" spans="1:7" ht="15">
      <c r="A192" s="94" t="s">
        <v>774</v>
      </c>
      <c r="B192" s="93">
        <v>4</v>
      </c>
      <c r="C192" s="126">
        <v>0.03010299956639812</v>
      </c>
      <c r="D192" s="93" t="s">
        <v>744</v>
      </c>
      <c r="E192" s="93" t="b">
        <v>0</v>
      </c>
      <c r="F192" s="93" t="b">
        <v>0</v>
      </c>
      <c r="G192" s="93" t="b">
        <v>0</v>
      </c>
    </row>
    <row r="193" spans="1:7" ht="15">
      <c r="A193" s="94" t="s">
        <v>806</v>
      </c>
      <c r="B193" s="93">
        <v>2</v>
      </c>
      <c r="C193" s="126">
        <v>0.03010299956639812</v>
      </c>
      <c r="D193" s="93" t="s">
        <v>744</v>
      </c>
      <c r="E193" s="93" t="b">
        <v>1</v>
      </c>
      <c r="F193" s="93" t="b">
        <v>0</v>
      </c>
      <c r="G193" s="93" t="b">
        <v>0</v>
      </c>
    </row>
    <row r="194" spans="1:7" ht="15">
      <c r="A194" s="94" t="s">
        <v>853</v>
      </c>
      <c r="B194" s="93">
        <v>2</v>
      </c>
      <c r="C194" s="126">
        <v>0.03010299956639812</v>
      </c>
      <c r="D194" s="93" t="s">
        <v>744</v>
      </c>
      <c r="E194" s="93" t="b">
        <v>0</v>
      </c>
      <c r="F194" s="93" t="b">
        <v>0</v>
      </c>
      <c r="G194" s="93" t="b">
        <v>0</v>
      </c>
    </row>
    <row r="195" spans="1:7" ht="15">
      <c r="A195" s="94" t="s">
        <v>784</v>
      </c>
      <c r="B195" s="93">
        <v>2</v>
      </c>
      <c r="C195" s="126">
        <v>0</v>
      </c>
      <c r="D195" s="93" t="s">
        <v>748</v>
      </c>
      <c r="E195" s="93" t="b">
        <v>0</v>
      </c>
      <c r="F195" s="93" t="b">
        <v>0</v>
      </c>
      <c r="G19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A6ED7-B2A9-43C7-B5F6-9767E27FA7D8}">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879</v>
      </c>
      <c r="B1" s="13" t="s">
        <v>880</v>
      </c>
      <c r="C1" s="13" t="s">
        <v>870</v>
      </c>
      <c r="D1" s="13" t="s">
        <v>874</v>
      </c>
      <c r="E1" s="13" t="s">
        <v>881</v>
      </c>
      <c r="F1" s="13" t="s">
        <v>144</v>
      </c>
      <c r="G1" s="13" t="s">
        <v>882</v>
      </c>
      <c r="H1" s="13" t="s">
        <v>883</v>
      </c>
      <c r="I1" s="13" t="s">
        <v>884</v>
      </c>
      <c r="J1" s="13" t="s">
        <v>885</v>
      </c>
      <c r="K1" s="13" t="s">
        <v>886</v>
      </c>
      <c r="L1" s="13" t="s">
        <v>887</v>
      </c>
    </row>
    <row r="2" spans="1:12" ht="15">
      <c r="A2" s="93" t="s">
        <v>780</v>
      </c>
      <c r="B2" s="93" t="s">
        <v>777</v>
      </c>
      <c r="C2" s="93">
        <v>8</v>
      </c>
      <c r="D2" s="126">
        <v>0.02001682462896416</v>
      </c>
      <c r="E2" s="126">
        <v>1.6275365362891339</v>
      </c>
      <c r="F2" s="93" t="s">
        <v>875</v>
      </c>
      <c r="G2" s="93" t="b">
        <v>0</v>
      </c>
      <c r="H2" s="93" t="b">
        <v>0</v>
      </c>
      <c r="I2" s="93" t="b">
        <v>0</v>
      </c>
      <c r="J2" s="93" t="b">
        <v>0</v>
      </c>
      <c r="K2" s="93" t="b">
        <v>0</v>
      </c>
      <c r="L2" s="93" t="b">
        <v>0</v>
      </c>
    </row>
    <row r="3" spans="1:12" ht="15">
      <c r="A3" s="94" t="s">
        <v>777</v>
      </c>
      <c r="B3" s="93" t="s">
        <v>778</v>
      </c>
      <c r="C3" s="93">
        <v>8</v>
      </c>
      <c r="D3" s="126">
        <v>0.02001682462896416</v>
      </c>
      <c r="E3" s="126">
        <v>1.5306265232810774</v>
      </c>
      <c r="F3" s="93" t="s">
        <v>875</v>
      </c>
      <c r="G3" s="93" t="b">
        <v>0</v>
      </c>
      <c r="H3" s="93" t="b">
        <v>0</v>
      </c>
      <c r="I3" s="93" t="b">
        <v>0</v>
      </c>
      <c r="J3" s="93" t="b">
        <v>0</v>
      </c>
      <c r="K3" s="93" t="b">
        <v>0</v>
      </c>
      <c r="L3" s="93" t="b">
        <v>0</v>
      </c>
    </row>
    <row r="4" spans="1:12" ht="15">
      <c r="A4" s="94" t="s">
        <v>778</v>
      </c>
      <c r="B4" s="93" t="s">
        <v>774</v>
      </c>
      <c r="C4" s="93">
        <v>8</v>
      </c>
      <c r="D4" s="126">
        <v>0.02001682462896416</v>
      </c>
      <c r="E4" s="126">
        <v>1.4337165102730212</v>
      </c>
      <c r="F4" s="93" t="s">
        <v>875</v>
      </c>
      <c r="G4" s="93" t="b">
        <v>0</v>
      </c>
      <c r="H4" s="93" t="b">
        <v>0</v>
      </c>
      <c r="I4" s="93" t="b">
        <v>0</v>
      </c>
      <c r="J4" s="93" t="b">
        <v>0</v>
      </c>
      <c r="K4" s="93" t="b">
        <v>0</v>
      </c>
      <c r="L4" s="93" t="b">
        <v>0</v>
      </c>
    </row>
    <row r="5" spans="1:12" ht="15">
      <c r="A5" s="94" t="s">
        <v>783</v>
      </c>
      <c r="B5" s="93" t="s">
        <v>790</v>
      </c>
      <c r="C5" s="93">
        <v>4</v>
      </c>
      <c r="D5" s="126">
        <v>0.01000841231448208</v>
      </c>
      <c r="E5" s="126">
        <v>2.00774777800074</v>
      </c>
      <c r="F5" s="93" t="s">
        <v>875</v>
      </c>
      <c r="G5" s="93" t="b">
        <v>0</v>
      </c>
      <c r="H5" s="93" t="b">
        <v>0</v>
      </c>
      <c r="I5" s="93" t="b">
        <v>0</v>
      </c>
      <c r="J5" s="93" t="b">
        <v>0</v>
      </c>
      <c r="K5" s="93" t="b">
        <v>0</v>
      </c>
      <c r="L5" s="93" t="b">
        <v>0</v>
      </c>
    </row>
    <row r="6" spans="1:12" ht="15">
      <c r="A6" s="94" t="s">
        <v>774</v>
      </c>
      <c r="B6" s="93" t="s">
        <v>780</v>
      </c>
      <c r="C6" s="93">
        <v>4</v>
      </c>
      <c r="D6" s="126">
        <v>0.01000841231448208</v>
      </c>
      <c r="E6" s="126">
        <v>1.502597799680834</v>
      </c>
      <c r="F6" s="93" t="s">
        <v>875</v>
      </c>
      <c r="G6" s="93" t="b">
        <v>0</v>
      </c>
      <c r="H6" s="93" t="b">
        <v>0</v>
      </c>
      <c r="I6" s="93" t="b">
        <v>0</v>
      </c>
      <c r="J6" s="93" t="b">
        <v>0</v>
      </c>
      <c r="K6" s="93" t="b">
        <v>0</v>
      </c>
      <c r="L6" s="93" t="b">
        <v>0</v>
      </c>
    </row>
    <row r="7" spans="1:12" ht="15">
      <c r="A7" s="94" t="s">
        <v>798</v>
      </c>
      <c r="B7" s="93" t="s">
        <v>777</v>
      </c>
      <c r="C7" s="93">
        <v>4</v>
      </c>
      <c r="D7" s="126">
        <v>0.01189871056040975</v>
      </c>
      <c r="E7" s="126">
        <v>1.6275365362891339</v>
      </c>
      <c r="F7" s="93" t="s">
        <v>875</v>
      </c>
      <c r="G7" s="93" t="b">
        <v>0</v>
      </c>
      <c r="H7" s="93" t="b">
        <v>0</v>
      </c>
      <c r="I7" s="93" t="b">
        <v>0</v>
      </c>
      <c r="J7" s="93" t="b">
        <v>0</v>
      </c>
      <c r="K7" s="93" t="b">
        <v>0</v>
      </c>
      <c r="L7" s="93" t="b">
        <v>0</v>
      </c>
    </row>
    <row r="8" spans="1:12" ht="15">
      <c r="A8" s="94" t="s">
        <v>799</v>
      </c>
      <c r="B8" s="93" t="s">
        <v>800</v>
      </c>
      <c r="C8" s="93">
        <v>3</v>
      </c>
      <c r="D8" s="126">
        <v>0.008924032920307311</v>
      </c>
      <c r="E8" s="126">
        <v>2.229596527617096</v>
      </c>
      <c r="F8" s="93" t="s">
        <v>875</v>
      </c>
      <c r="G8" s="93" t="b">
        <v>0</v>
      </c>
      <c r="H8" s="93" t="b">
        <v>0</v>
      </c>
      <c r="I8" s="93" t="b">
        <v>0</v>
      </c>
      <c r="J8" s="93" t="b">
        <v>0</v>
      </c>
      <c r="K8" s="93" t="b">
        <v>0</v>
      </c>
      <c r="L8" s="93" t="b">
        <v>0</v>
      </c>
    </row>
    <row r="9" spans="1:12" ht="15">
      <c r="A9" s="94" t="s">
        <v>781</v>
      </c>
      <c r="B9" s="93" t="s">
        <v>775</v>
      </c>
      <c r="C9" s="93">
        <v>3</v>
      </c>
      <c r="D9" s="126">
        <v>0.008094717728522313</v>
      </c>
      <c r="E9" s="126">
        <v>1.4356510100502209</v>
      </c>
      <c r="F9" s="93" t="s">
        <v>875</v>
      </c>
      <c r="G9" s="93" t="b">
        <v>0</v>
      </c>
      <c r="H9" s="93" t="b">
        <v>0</v>
      </c>
      <c r="I9" s="93" t="b">
        <v>0</v>
      </c>
      <c r="J9" s="93" t="b">
        <v>0</v>
      </c>
      <c r="K9" s="93" t="b">
        <v>0</v>
      </c>
      <c r="L9" s="93" t="b">
        <v>0</v>
      </c>
    </row>
    <row r="10" spans="1:12" ht="15">
      <c r="A10" s="94" t="s">
        <v>793</v>
      </c>
      <c r="B10" s="93" t="s">
        <v>805</v>
      </c>
      <c r="C10" s="93">
        <v>3</v>
      </c>
      <c r="D10" s="126">
        <v>0.01034175660475306</v>
      </c>
      <c r="E10" s="126">
        <v>2.1046577910087962</v>
      </c>
      <c r="F10" s="93" t="s">
        <v>875</v>
      </c>
      <c r="G10" s="93" t="b">
        <v>0</v>
      </c>
      <c r="H10" s="93" t="b">
        <v>0</v>
      </c>
      <c r="I10" s="93" t="b">
        <v>0</v>
      </c>
      <c r="J10" s="93" t="b">
        <v>0</v>
      </c>
      <c r="K10" s="93" t="b">
        <v>0</v>
      </c>
      <c r="L10" s="93" t="b">
        <v>0</v>
      </c>
    </row>
    <row r="11" spans="1:12" ht="15">
      <c r="A11" s="94" t="s">
        <v>775</v>
      </c>
      <c r="B11" s="93" t="s">
        <v>783</v>
      </c>
      <c r="C11" s="93">
        <v>3</v>
      </c>
      <c r="D11" s="126">
        <v>0.008094717728522313</v>
      </c>
      <c r="E11" s="126">
        <v>1.8036277953448152</v>
      </c>
      <c r="F11" s="93" t="s">
        <v>875</v>
      </c>
      <c r="G11" s="93" t="b">
        <v>0</v>
      </c>
      <c r="H11" s="93" t="b">
        <v>0</v>
      </c>
      <c r="I11" s="93" t="b">
        <v>0</v>
      </c>
      <c r="J11" s="93" t="b">
        <v>0</v>
      </c>
      <c r="K11" s="93" t="b">
        <v>0</v>
      </c>
      <c r="L11" s="93" t="b">
        <v>0</v>
      </c>
    </row>
    <row r="12" spans="1:12" ht="15">
      <c r="A12" s="94" t="s">
        <v>811</v>
      </c>
      <c r="B12" s="93" t="s">
        <v>812</v>
      </c>
      <c r="C12" s="93">
        <v>3</v>
      </c>
      <c r="D12" s="126">
        <v>0.008094717728522313</v>
      </c>
      <c r="E12" s="126">
        <v>2.229596527617096</v>
      </c>
      <c r="F12" s="93" t="s">
        <v>875</v>
      </c>
      <c r="G12" s="93" t="b">
        <v>0</v>
      </c>
      <c r="H12" s="93" t="b">
        <v>0</v>
      </c>
      <c r="I12" s="93" t="b">
        <v>0</v>
      </c>
      <c r="J12" s="93" t="b">
        <v>0</v>
      </c>
      <c r="K12" s="93" t="b">
        <v>0</v>
      </c>
      <c r="L12" s="93" t="b">
        <v>0</v>
      </c>
    </row>
    <row r="13" spans="1:12" ht="15">
      <c r="A13" s="94" t="s">
        <v>781</v>
      </c>
      <c r="B13" s="93" t="s">
        <v>801</v>
      </c>
      <c r="C13" s="93">
        <v>2</v>
      </c>
      <c r="D13" s="126">
        <v>0.005949355280204875</v>
      </c>
      <c r="E13" s="126">
        <v>1.8616197423225018</v>
      </c>
      <c r="F13" s="93" t="s">
        <v>875</v>
      </c>
      <c r="G13" s="93" t="b">
        <v>0</v>
      </c>
      <c r="H13" s="93" t="b">
        <v>0</v>
      </c>
      <c r="I13" s="93" t="b">
        <v>0</v>
      </c>
      <c r="J13" s="93" t="b">
        <v>0</v>
      </c>
      <c r="K13" s="93" t="b">
        <v>0</v>
      </c>
      <c r="L13" s="93" t="b">
        <v>0</v>
      </c>
    </row>
    <row r="14" spans="1:12" ht="15">
      <c r="A14" s="94" t="s">
        <v>827</v>
      </c>
      <c r="B14" s="93" t="s">
        <v>786</v>
      </c>
      <c r="C14" s="93">
        <v>2</v>
      </c>
      <c r="D14" s="126">
        <v>0.006894504403168709</v>
      </c>
      <c r="E14" s="126">
        <v>2.00774777800074</v>
      </c>
      <c r="F14" s="93" t="s">
        <v>875</v>
      </c>
      <c r="G14" s="93" t="b">
        <v>0</v>
      </c>
      <c r="H14" s="93" t="b">
        <v>1</v>
      </c>
      <c r="I14" s="93" t="b">
        <v>0</v>
      </c>
      <c r="J14" s="93" t="b">
        <v>0</v>
      </c>
      <c r="K14" s="93" t="b">
        <v>0</v>
      </c>
      <c r="L14" s="93" t="b">
        <v>0</v>
      </c>
    </row>
    <row r="15" spans="1:12" ht="15">
      <c r="A15" s="94" t="s">
        <v>833</v>
      </c>
      <c r="B15" s="93" t="s">
        <v>775</v>
      </c>
      <c r="C15" s="93">
        <v>2</v>
      </c>
      <c r="D15" s="126">
        <v>0.005949355280204875</v>
      </c>
      <c r="E15" s="126">
        <v>1.8036277953448152</v>
      </c>
      <c r="F15" s="93" t="s">
        <v>875</v>
      </c>
      <c r="G15" s="93" t="b">
        <v>0</v>
      </c>
      <c r="H15" s="93" t="b">
        <v>0</v>
      </c>
      <c r="I15" s="93" t="b">
        <v>0</v>
      </c>
      <c r="J15" s="93" t="b">
        <v>0</v>
      </c>
      <c r="K15" s="93" t="b">
        <v>0</v>
      </c>
      <c r="L15" s="93" t="b">
        <v>0</v>
      </c>
    </row>
    <row r="16" spans="1:12" ht="15">
      <c r="A16" s="94" t="s">
        <v>813</v>
      </c>
      <c r="B16" s="93" t="s">
        <v>779</v>
      </c>
      <c r="C16" s="93">
        <v>2</v>
      </c>
      <c r="D16" s="126">
        <v>0.005949355280204875</v>
      </c>
      <c r="E16" s="126">
        <v>2.229596527617096</v>
      </c>
      <c r="F16" s="93" t="s">
        <v>875</v>
      </c>
      <c r="G16" s="93" t="b">
        <v>0</v>
      </c>
      <c r="H16" s="93" t="b">
        <v>1</v>
      </c>
      <c r="I16" s="93" t="b">
        <v>0</v>
      </c>
      <c r="J16" s="93" t="b">
        <v>1</v>
      </c>
      <c r="K16" s="93" t="b">
        <v>0</v>
      </c>
      <c r="L16" s="93" t="b">
        <v>0</v>
      </c>
    </row>
    <row r="17" spans="1:12" ht="15">
      <c r="A17" s="94" t="s">
        <v>841</v>
      </c>
      <c r="B17" s="93" t="s">
        <v>842</v>
      </c>
      <c r="C17" s="93">
        <v>2</v>
      </c>
      <c r="D17" s="126">
        <v>0.006894504403168709</v>
      </c>
      <c r="E17" s="126">
        <v>2.4056877866727775</v>
      </c>
      <c r="F17" s="93" t="s">
        <v>875</v>
      </c>
      <c r="G17" s="93" t="b">
        <v>0</v>
      </c>
      <c r="H17" s="93" t="b">
        <v>1</v>
      </c>
      <c r="I17" s="93" t="b">
        <v>0</v>
      </c>
      <c r="J17" s="93" t="b">
        <v>0</v>
      </c>
      <c r="K17" s="93" t="b">
        <v>0</v>
      </c>
      <c r="L17" s="93" t="b">
        <v>0</v>
      </c>
    </row>
    <row r="18" spans="1:12" ht="15">
      <c r="A18" s="94" t="s">
        <v>851</v>
      </c>
      <c r="B18" s="93" t="s">
        <v>852</v>
      </c>
      <c r="C18" s="93">
        <v>2</v>
      </c>
      <c r="D18" s="126">
        <v>0.006894504403168709</v>
      </c>
      <c r="E18" s="126">
        <v>2.4056877866727775</v>
      </c>
      <c r="F18" s="93" t="s">
        <v>875</v>
      </c>
      <c r="G18" s="93" t="b">
        <v>0</v>
      </c>
      <c r="H18" s="93" t="b">
        <v>1</v>
      </c>
      <c r="I18" s="93" t="b">
        <v>0</v>
      </c>
      <c r="J18" s="93" t="b">
        <v>0</v>
      </c>
      <c r="K18" s="93" t="b">
        <v>0</v>
      </c>
      <c r="L18" s="93" t="b">
        <v>0</v>
      </c>
    </row>
    <row r="19" spans="1:12" ht="15">
      <c r="A19" s="94" t="s">
        <v>854</v>
      </c>
      <c r="B19" s="93" t="s">
        <v>855</v>
      </c>
      <c r="C19" s="93">
        <v>2</v>
      </c>
      <c r="D19" s="126">
        <v>0.005949355280204875</v>
      </c>
      <c r="E19" s="126">
        <v>2.4056877866727775</v>
      </c>
      <c r="F19" s="93" t="s">
        <v>875</v>
      </c>
      <c r="G19" s="93" t="b">
        <v>0</v>
      </c>
      <c r="H19" s="93" t="b">
        <v>0</v>
      </c>
      <c r="I19" s="93" t="b">
        <v>0</v>
      </c>
      <c r="J19" s="93" t="b">
        <v>0</v>
      </c>
      <c r="K19" s="93" t="b">
        <v>0</v>
      </c>
      <c r="L19" s="93" t="b">
        <v>0</v>
      </c>
    </row>
    <row r="20" spans="1:12" ht="15">
      <c r="A20" s="94" t="s">
        <v>777</v>
      </c>
      <c r="B20" s="93" t="s">
        <v>858</v>
      </c>
      <c r="C20" s="93">
        <v>2</v>
      </c>
      <c r="D20" s="126">
        <v>0.006894504403168709</v>
      </c>
      <c r="E20" s="126">
        <v>1.6275365362891339</v>
      </c>
      <c r="F20" s="93" t="s">
        <v>875</v>
      </c>
      <c r="G20" s="93" t="b">
        <v>0</v>
      </c>
      <c r="H20" s="93" t="b">
        <v>0</v>
      </c>
      <c r="I20" s="93" t="b">
        <v>0</v>
      </c>
      <c r="J20" s="93" t="b">
        <v>0</v>
      </c>
      <c r="K20" s="93" t="b">
        <v>0</v>
      </c>
      <c r="L20" s="93" t="b">
        <v>0</v>
      </c>
    </row>
    <row r="21" spans="1:12" ht="15">
      <c r="A21" s="94" t="s">
        <v>860</v>
      </c>
      <c r="B21" s="93" t="s">
        <v>861</v>
      </c>
      <c r="C21" s="93">
        <v>2</v>
      </c>
      <c r="D21" s="126">
        <v>0.005949355280204875</v>
      </c>
      <c r="E21" s="126">
        <v>2.4056877866727775</v>
      </c>
      <c r="F21" s="93" t="s">
        <v>875</v>
      </c>
      <c r="G21" s="93" t="b">
        <v>1</v>
      </c>
      <c r="H21" s="93" t="b">
        <v>0</v>
      </c>
      <c r="I21" s="93" t="b">
        <v>0</v>
      </c>
      <c r="J21" s="93" t="b">
        <v>0</v>
      </c>
      <c r="K21" s="93" t="b">
        <v>0</v>
      </c>
      <c r="L21" s="93" t="b">
        <v>0</v>
      </c>
    </row>
    <row r="22" spans="1:12" ht="15">
      <c r="A22" s="94" t="s">
        <v>861</v>
      </c>
      <c r="B22" s="93" t="s">
        <v>796</v>
      </c>
      <c r="C22" s="93">
        <v>2</v>
      </c>
      <c r="D22" s="126">
        <v>0.005949355280204875</v>
      </c>
      <c r="E22" s="126">
        <v>2.4056877866727775</v>
      </c>
      <c r="F22" s="93" t="s">
        <v>875</v>
      </c>
      <c r="G22" s="93" t="b">
        <v>0</v>
      </c>
      <c r="H22" s="93" t="b">
        <v>0</v>
      </c>
      <c r="I22" s="93" t="b">
        <v>0</v>
      </c>
      <c r="J22" s="93" t="b">
        <v>1</v>
      </c>
      <c r="K22" s="93" t="b">
        <v>0</v>
      </c>
      <c r="L22" s="93" t="b">
        <v>0</v>
      </c>
    </row>
    <row r="23" spans="1:12" ht="15">
      <c r="A23" s="94" t="s">
        <v>796</v>
      </c>
      <c r="B23" s="93" t="s">
        <v>862</v>
      </c>
      <c r="C23" s="93">
        <v>2</v>
      </c>
      <c r="D23" s="126">
        <v>0.005949355280204875</v>
      </c>
      <c r="E23" s="126">
        <v>2.229596527617096</v>
      </c>
      <c r="F23" s="93" t="s">
        <v>875</v>
      </c>
      <c r="G23" s="93" t="b">
        <v>1</v>
      </c>
      <c r="H23" s="93" t="b">
        <v>0</v>
      </c>
      <c r="I23" s="93" t="b">
        <v>0</v>
      </c>
      <c r="J23" s="93" t="b">
        <v>0</v>
      </c>
      <c r="K23" s="93" t="b">
        <v>0</v>
      </c>
      <c r="L23" s="93" t="b">
        <v>0</v>
      </c>
    </row>
    <row r="24" spans="1:12" ht="15">
      <c r="A24" s="94" t="s">
        <v>862</v>
      </c>
      <c r="B24" s="93" t="s">
        <v>863</v>
      </c>
      <c r="C24" s="93">
        <v>2</v>
      </c>
      <c r="D24" s="126">
        <v>0.005949355280204875</v>
      </c>
      <c r="E24" s="126">
        <v>2.4056877866727775</v>
      </c>
      <c r="F24" s="93" t="s">
        <v>875</v>
      </c>
      <c r="G24" s="93" t="b">
        <v>0</v>
      </c>
      <c r="H24" s="93" t="b">
        <v>0</v>
      </c>
      <c r="I24" s="93" t="b">
        <v>0</v>
      </c>
      <c r="J24" s="93" t="b">
        <v>0</v>
      </c>
      <c r="K24" s="93" t="b">
        <v>0</v>
      </c>
      <c r="L24" s="93" t="b">
        <v>0</v>
      </c>
    </row>
    <row r="25" spans="1:12" ht="15">
      <c r="A25" s="94" t="s">
        <v>863</v>
      </c>
      <c r="B25" s="93" t="s">
        <v>864</v>
      </c>
      <c r="C25" s="93">
        <v>2</v>
      </c>
      <c r="D25" s="126">
        <v>0.005949355280204875</v>
      </c>
      <c r="E25" s="126">
        <v>2.4056877866727775</v>
      </c>
      <c r="F25" s="93" t="s">
        <v>875</v>
      </c>
      <c r="G25" s="93" t="b">
        <v>0</v>
      </c>
      <c r="H25" s="93" t="b">
        <v>0</v>
      </c>
      <c r="I25" s="93" t="b">
        <v>0</v>
      </c>
      <c r="J25" s="93" t="b">
        <v>0</v>
      </c>
      <c r="K25" s="93" t="b">
        <v>0</v>
      </c>
      <c r="L25" s="93" t="b">
        <v>0</v>
      </c>
    </row>
    <row r="26" spans="1:12" ht="15">
      <c r="A26" s="94" t="s">
        <v>864</v>
      </c>
      <c r="B26" s="93" t="s">
        <v>780</v>
      </c>
      <c r="C26" s="93">
        <v>2</v>
      </c>
      <c r="D26" s="126">
        <v>0.005949355280204875</v>
      </c>
      <c r="E26" s="126">
        <v>1.8036277953448152</v>
      </c>
      <c r="F26" s="93" t="s">
        <v>875</v>
      </c>
      <c r="G26" s="93" t="b">
        <v>0</v>
      </c>
      <c r="H26" s="93" t="b">
        <v>0</v>
      </c>
      <c r="I26" s="93" t="b">
        <v>0</v>
      </c>
      <c r="J26" s="93" t="b">
        <v>0</v>
      </c>
      <c r="K26" s="93" t="b">
        <v>0</v>
      </c>
      <c r="L26" s="93" t="b">
        <v>0</v>
      </c>
    </row>
    <row r="27" spans="1:12" ht="15">
      <c r="A27" s="94" t="s">
        <v>866</v>
      </c>
      <c r="B27" s="93" t="s">
        <v>774</v>
      </c>
      <c r="C27" s="93">
        <v>2</v>
      </c>
      <c r="D27" s="126">
        <v>0.006894504403168709</v>
      </c>
      <c r="E27" s="126">
        <v>1.5306265232810774</v>
      </c>
      <c r="F27" s="93" t="s">
        <v>875</v>
      </c>
      <c r="G27" s="93" t="b">
        <v>0</v>
      </c>
      <c r="H27" s="93" t="b">
        <v>0</v>
      </c>
      <c r="I27" s="93" t="b">
        <v>0</v>
      </c>
      <c r="J27" s="93" t="b">
        <v>0</v>
      </c>
      <c r="K27" s="93" t="b">
        <v>0</v>
      </c>
      <c r="L27" s="93" t="b">
        <v>0</v>
      </c>
    </row>
    <row r="28" spans="1:12" ht="15">
      <c r="A28" s="94" t="s">
        <v>867</v>
      </c>
      <c r="B28" s="93" t="s">
        <v>868</v>
      </c>
      <c r="C28" s="93">
        <v>2</v>
      </c>
      <c r="D28" s="126">
        <v>0.005949355280204875</v>
      </c>
      <c r="E28" s="126">
        <v>2.4056877866727775</v>
      </c>
      <c r="F28" s="93" t="s">
        <v>875</v>
      </c>
      <c r="G28" s="93" t="b">
        <v>0</v>
      </c>
      <c r="H28" s="93" t="b">
        <v>0</v>
      </c>
      <c r="I28" s="93" t="b">
        <v>0</v>
      </c>
      <c r="J28" s="93" t="b">
        <v>0</v>
      </c>
      <c r="K28" s="93" t="b">
        <v>0</v>
      </c>
      <c r="L28" s="93" t="b">
        <v>0</v>
      </c>
    </row>
    <row r="29" spans="1:12" ht="15">
      <c r="A29" s="94" t="s">
        <v>798</v>
      </c>
      <c r="B29" s="93" t="s">
        <v>777</v>
      </c>
      <c r="C29" s="93">
        <v>4</v>
      </c>
      <c r="D29" s="126">
        <v>0.014002902371865423</v>
      </c>
      <c r="E29" s="126">
        <v>1.6639363791671167</v>
      </c>
      <c r="F29" s="93" t="s">
        <v>739</v>
      </c>
      <c r="G29" s="93" t="b">
        <v>0</v>
      </c>
      <c r="H29" s="93" t="b">
        <v>0</v>
      </c>
      <c r="I29" s="93" t="b">
        <v>0</v>
      </c>
      <c r="J29" s="93" t="b">
        <v>0</v>
      </c>
      <c r="K29" s="93" t="b">
        <v>0</v>
      </c>
      <c r="L29" s="93" t="b">
        <v>0</v>
      </c>
    </row>
    <row r="30" spans="1:12" ht="15">
      <c r="A30" s="94" t="s">
        <v>780</v>
      </c>
      <c r="B30" s="93" t="s">
        <v>777</v>
      </c>
      <c r="C30" s="93">
        <v>4</v>
      </c>
      <c r="D30" s="126">
        <v>0.014002902371865423</v>
      </c>
      <c r="E30" s="126">
        <v>1.6639363791671167</v>
      </c>
      <c r="F30" s="93" t="s">
        <v>739</v>
      </c>
      <c r="G30" s="93" t="b">
        <v>0</v>
      </c>
      <c r="H30" s="93" t="b">
        <v>0</v>
      </c>
      <c r="I30" s="93" t="b">
        <v>0</v>
      </c>
      <c r="J30" s="93" t="b">
        <v>0</v>
      </c>
      <c r="K30" s="93" t="b">
        <v>0</v>
      </c>
      <c r="L30" s="93" t="b">
        <v>0</v>
      </c>
    </row>
    <row r="31" spans="1:12" ht="15">
      <c r="A31" s="94" t="s">
        <v>777</v>
      </c>
      <c r="B31" s="93" t="s">
        <v>778</v>
      </c>
      <c r="C31" s="93">
        <v>4</v>
      </c>
      <c r="D31" s="126">
        <v>0.014002902371865423</v>
      </c>
      <c r="E31" s="126">
        <v>1.6639363791671167</v>
      </c>
      <c r="F31" s="93" t="s">
        <v>739</v>
      </c>
      <c r="G31" s="93" t="b">
        <v>0</v>
      </c>
      <c r="H31" s="93" t="b">
        <v>0</v>
      </c>
      <c r="I31" s="93" t="b">
        <v>0</v>
      </c>
      <c r="J31" s="93" t="b">
        <v>0</v>
      </c>
      <c r="K31" s="93" t="b">
        <v>0</v>
      </c>
      <c r="L31" s="93" t="b">
        <v>0</v>
      </c>
    </row>
    <row r="32" spans="1:12" ht="15">
      <c r="A32" s="94" t="s">
        <v>778</v>
      </c>
      <c r="B32" s="93" t="s">
        <v>774</v>
      </c>
      <c r="C32" s="93">
        <v>4</v>
      </c>
      <c r="D32" s="126">
        <v>0.014002902371865423</v>
      </c>
      <c r="E32" s="126">
        <v>1.6639363791671167</v>
      </c>
      <c r="F32" s="93" t="s">
        <v>739</v>
      </c>
      <c r="G32" s="93" t="b">
        <v>0</v>
      </c>
      <c r="H32" s="93" t="b">
        <v>0</v>
      </c>
      <c r="I32" s="93" t="b">
        <v>0</v>
      </c>
      <c r="J32" s="93" t="b">
        <v>0</v>
      </c>
      <c r="K32" s="93" t="b">
        <v>0</v>
      </c>
      <c r="L32" s="93" t="b">
        <v>0</v>
      </c>
    </row>
    <row r="33" spans="1:12" ht="15">
      <c r="A33" s="94" t="s">
        <v>799</v>
      </c>
      <c r="B33" s="93" t="s">
        <v>800</v>
      </c>
      <c r="C33" s="93">
        <v>3</v>
      </c>
      <c r="D33" s="126">
        <v>0.010502176778899069</v>
      </c>
      <c r="E33" s="126">
        <v>2.089905111439398</v>
      </c>
      <c r="F33" s="93" t="s">
        <v>739</v>
      </c>
      <c r="G33" s="93" t="b">
        <v>0</v>
      </c>
      <c r="H33" s="93" t="b">
        <v>0</v>
      </c>
      <c r="I33" s="93" t="b">
        <v>0</v>
      </c>
      <c r="J33" s="93" t="b">
        <v>0</v>
      </c>
      <c r="K33" s="93" t="b">
        <v>0</v>
      </c>
      <c r="L33" s="93" t="b">
        <v>0</v>
      </c>
    </row>
    <row r="34" spans="1:12" ht="15">
      <c r="A34" s="94" t="s">
        <v>793</v>
      </c>
      <c r="B34" s="93" t="s">
        <v>805</v>
      </c>
      <c r="C34" s="93">
        <v>3</v>
      </c>
      <c r="D34" s="126">
        <v>0.012612200112992395</v>
      </c>
      <c r="E34" s="126">
        <v>2.089905111439398</v>
      </c>
      <c r="F34" s="93" t="s">
        <v>739</v>
      </c>
      <c r="G34" s="93" t="b">
        <v>0</v>
      </c>
      <c r="H34" s="93" t="b">
        <v>0</v>
      </c>
      <c r="I34" s="93" t="b">
        <v>0</v>
      </c>
      <c r="J34" s="93" t="b">
        <v>0</v>
      </c>
      <c r="K34" s="93" t="b">
        <v>0</v>
      </c>
      <c r="L34" s="93" t="b">
        <v>0</v>
      </c>
    </row>
    <row r="35" spans="1:12" ht="15">
      <c r="A35" s="94" t="s">
        <v>783</v>
      </c>
      <c r="B35" s="93" t="s">
        <v>790</v>
      </c>
      <c r="C35" s="93">
        <v>2</v>
      </c>
      <c r="D35" s="126">
        <v>0.007001451185932712</v>
      </c>
      <c r="E35" s="126">
        <v>2.265996370495079</v>
      </c>
      <c r="F35" s="93" t="s">
        <v>739</v>
      </c>
      <c r="G35" s="93" t="b">
        <v>0</v>
      </c>
      <c r="H35" s="93" t="b">
        <v>0</v>
      </c>
      <c r="I35" s="93" t="b">
        <v>0</v>
      </c>
      <c r="J35" s="93" t="b">
        <v>0</v>
      </c>
      <c r="K35" s="93" t="b">
        <v>0</v>
      </c>
      <c r="L35" s="93" t="b">
        <v>0</v>
      </c>
    </row>
    <row r="36" spans="1:12" ht="15">
      <c r="A36" s="94" t="s">
        <v>827</v>
      </c>
      <c r="B36" s="93" t="s">
        <v>786</v>
      </c>
      <c r="C36" s="93">
        <v>2</v>
      </c>
      <c r="D36" s="126">
        <v>0.008408133408661596</v>
      </c>
      <c r="E36" s="126">
        <v>1.964966374831098</v>
      </c>
      <c r="F36" s="93" t="s">
        <v>739</v>
      </c>
      <c r="G36" s="93" t="b">
        <v>0</v>
      </c>
      <c r="H36" s="93" t="b">
        <v>1</v>
      </c>
      <c r="I36" s="93" t="b">
        <v>0</v>
      </c>
      <c r="J36" s="93" t="b">
        <v>0</v>
      </c>
      <c r="K36" s="93" t="b">
        <v>0</v>
      </c>
      <c r="L36" s="93" t="b">
        <v>0</v>
      </c>
    </row>
    <row r="37" spans="1:12" ht="15">
      <c r="A37" s="94" t="s">
        <v>854</v>
      </c>
      <c r="B37" s="93" t="s">
        <v>855</v>
      </c>
      <c r="C37" s="93">
        <v>2</v>
      </c>
      <c r="D37" s="126">
        <v>0.007001451185932712</v>
      </c>
      <c r="E37" s="126">
        <v>2.265996370495079</v>
      </c>
      <c r="F37" s="93" t="s">
        <v>739</v>
      </c>
      <c r="G37" s="93" t="b">
        <v>0</v>
      </c>
      <c r="H37" s="93" t="b">
        <v>0</v>
      </c>
      <c r="I37" s="93" t="b">
        <v>0</v>
      </c>
      <c r="J37" s="93" t="b">
        <v>0</v>
      </c>
      <c r="K37" s="93" t="b">
        <v>0</v>
      </c>
      <c r="L37" s="93" t="b">
        <v>0</v>
      </c>
    </row>
    <row r="38" spans="1:12" ht="15">
      <c r="A38" s="94" t="s">
        <v>813</v>
      </c>
      <c r="B38" s="93" t="s">
        <v>779</v>
      </c>
      <c r="C38" s="93">
        <v>2</v>
      </c>
      <c r="D38" s="126">
        <v>0.007001451185932712</v>
      </c>
      <c r="E38" s="126">
        <v>2.089905111439398</v>
      </c>
      <c r="F38" s="93" t="s">
        <v>739</v>
      </c>
      <c r="G38" s="93" t="b">
        <v>0</v>
      </c>
      <c r="H38" s="93" t="b">
        <v>1</v>
      </c>
      <c r="I38" s="93" t="b">
        <v>0</v>
      </c>
      <c r="J38" s="93" t="b">
        <v>1</v>
      </c>
      <c r="K38" s="93" t="b">
        <v>0</v>
      </c>
      <c r="L38" s="93" t="b">
        <v>0</v>
      </c>
    </row>
    <row r="39" spans="1:12" ht="15">
      <c r="A39" s="94" t="s">
        <v>841</v>
      </c>
      <c r="B39" s="93" t="s">
        <v>842</v>
      </c>
      <c r="C39" s="93">
        <v>2</v>
      </c>
      <c r="D39" s="126">
        <v>0.008408133408661596</v>
      </c>
      <c r="E39" s="126">
        <v>2.265996370495079</v>
      </c>
      <c r="F39" s="93" t="s">
        <v>739</v>
      </c>
      <c r="G39" s="93" t="b">
        <v>0</v>
      </c>
      <c r="H39" s="93" t="b">
        <v>1</v>
      </c>
      <c r="I39" s="93" t="b">
        <v>0</v>
      </c>
      <c r="J39" s="93" t="b">
        <v>0</v>
      </c>
      <c r="K39" s="93" t="b">
        <v>0</v>
      </c>
      <c r="L39" s="93" t="b">
        <v>0</v>
      </c>
    </row>
    <row r="40" spans="1:12" ht="15">
      <c r="A40" s="94" t="s">
        <v>851</v>
      </c>
      <c r="B40" s="93" t="s">
        <v>852</v>
      </c>
      <c r="C40" s="93">
        <v>2</v>
      </c>
      <c r="D40" s="126">
        <v>0.008408133408661596</v>
      </c>
      <c r="E40" s="126">
        <v>2.265996370495079</v>
      </c>
      <c r="F40" s="93" t="s">
        <v>739</v>
      </c>
      <c r="G40" s="93" t="b">
        <v>0</v>
      </c>
      <c r="H40" s="93" t="b">
        <v>1</v>
      </c>
      <c r="I40" s="93" t="b">
        <v>0</v>
      </c>
      <c r="J40" s="93" t="b">
        <v>0</v>
      </c>
      <c r="K40" s="93" t="b">
        <v>0</v>
      </c>
      <c r="L40" s="93" t="b">
        <v>0</v>
      </c>
    </row>
    <row r="41" spans="1:12" ht="15">
      <c r="A41" s="94" t="s">
        <v>777</v>
      </c>
      <c r="B41" s="93" t="s">
        <v>858</v>
      </c>
      <c r="C41" s="93">
        <v>2</v>
      </c>
      <c r="D41" s="126">
        <v>0.008408133408661596</v>
      </c>
      <c r="E41" s="126">
        <v>1.6639363791671167</v>
      </c>
      <c r="F41" s="93" t="s">
        <v>739</v>
      </c>
      <c r="G41" s="93" t="b">
        <v>0</v>
      </c>
      <c r="H41" s="93" t="b">
        <v>0</v>
      </c>
      <c r="I41" s="93" t="b">
        <v>0</v>
      </c>
      <c r="J41" s="93" t="b">
        <v>0</v>
      </c>
      <c r="K41" s="93" t="b">
        <v>0</v>
      </c>
      <c r="L41" s="93" t="b">
        <v>0</v>
      </c>
    </row>
    <row r="42" spans="1:12" ht="15">
      <c r="A42" s="94" t="s">
        <v>860</v>
      </c>
      <c r="B42" s="93" t="s">
        <v>861</v>
      </c>
      <c r="C42" s="93">
        <v>2</v>
      </c>
      <c r="D42" s="126">
        <v>0.007001451185932712</v>
      </c>
      <c r="E42" s="126">
        <v>2.265996370495079</v>
      </c>
      <c r="F42" s="93" t="s">
        <v>739</v>
      </c>
      <c r="G42" s="93" t="b">
        <v>1</v>
      </c>
      <c r="H42" s="93" t="b">
        <v>0</v>
      </c>
      <c r="I42" s="93" t="b">
        <v>0</v>
      </c>
      <c r="J42" s="93" t="b">
        <v>0</v>
      </c>
      <c r="K42" s="93" t="b">
        <v>0</v>
      </c>
      <c r="L42" s="93" t="b">
        <v>0</v>
      </c>
    </row>
    <row r="43" spans="1:12" ht="15">
      <c r="A43" s="94" t="s">
        <v>861</v>
      </c>
      <c r="B43" s="93" t="s">
        <v>796</v>
      </c>
      <c r="C43" s="93">
        <v>2</v>
      </c>
      <c r="D43" s="126">
        <v>0.007001451185932712</v>
      </c>
      <c r="E43" s="126">
        <v>2.265996370495079</v>
      </c>
      <c r="F43" s="93" t="s">
        <v>739</v>
      </c>
      <c r="G43" s="93" t="b">
        <v>0</v>
      </c>
      <c r="H43" s="93" t="b">
        <v>0</v>
      </c>
      <c r="I43" s="93" t="b">
        <v>0</v>
      </c>
      <c r="J43" s="93" t="b">
        <v>1</v>
      </c>
      <c r="K43" s="93" t="b">
        <v>0</v>
      </c>
      <c r="L43" s="93" t="b">
        <v>0</v>
      </c>
    </row>
    <row r="44" spans="1:12" ht="15">
      <c r="A44" s="94" t="s">
        <v>796</v>
      </c>
      <c r="B44" s="93" t="s">
        <v>862</v>
      </c>
      <c r="C44" s="93">
        <v>2</v>
      </c>
      <c r="D44" s="126">
        <v>0.007001451185932712</v>
      </c>
      <c r="E44" s="126">
        <v>2.089905111439398</v>
      </c>
      <c r="F44" s="93" t="s">
        <v>739</v>
      </c>
      <c r="G44" s="93" t="b">
        <v>1</v>
      </c>
      <c r="H44" s="93" t="b">
        <v>0</v>
      </c>
      <c r="I44" s="93" t="b">
        <v>0</v>
      </c>
      <c r="J44" s="93" t="b">
        <v>0</v>
      </c>
      <c r="K44" s="93" t="b">
        <v>0</v>
      </c>
      <c r="L44" s="93" t="b">
        <v>0</v>
      </c>
    </row>
    <row r="45" spans="1:12" ht="15">
      <c r="A45" s="94" t="s">
        <v>862</v>
      </c>
      <c r="B45" s="93" t="s">
        <v>863</v>
      </c>
      <c r="C45" s="93">
        <v>2</v>
      </c>
      <c r="D45" s="126">
        <v>0.007001451185932712</v>
      </c>
      <c r="E45" s="126">
        <v>2.265996370495079</v>
      </c>
      <c r="F45" s="93" t="s">
        <v>739</v>
      </c>
      <c r="G45" s="93" t="b">
        <v>0</v>
      </c>
      <c r="H45" s="93" t="b">
        <v>0</v>
      </c>
      <c r="I45" s="93" t="b">
        <v>0</v>
      </c>
      <c r="J45" s="93" t="b">
        <v>0</v>
      </c>
      <c r="K45" s="93" t="b">
        <v>0</v>
      </c>
      <c r="L45" s="93" t="b">
        <v>0</v>
      </c>
    </row>
    <row r="46" spans="1:12" ht="15">
      <c r="A46" s="94" t="s">
        <v>863</v>
      </c>
      <c r="B46" s="93" t="s">
        <v>864</v>
      </c>
      <c r="C46" s="93">
        <v>2</v>
      </c>
      <c r="D46" s="126">
        <v>0.007001451185932712</v>
      </c>
      <c r="E46" s="126">
        <v>2.265996370495079</v>
      </c>
      <c r="F46" s="93" t="s">
        <v>739</v>
      </c>
      <c r="G46" s="93" t="b">
        <v>0</v>
      </c>
      <c r="H46" s="93" t="b">
        <v>0</v>
      </c>
      <c r="I46" s="93" t="b">
        <v>0</v>
      </c>
      <c r="J46" s="93" t="b">
        <v>0</v>
      </c>
      <c r="K46" s="93" t="b">
        <v>0</v>
      </c>
      <c r="L46" s="93" t="b">
        <v>0</v>
      </c>
    </row>
    <row r="47" spans="1:12" ht="15">
      <c r="A47" s="94" t="s">
        <v>864</v>
      </c>
      <c r="B47" s="93" t="s">
        <v>780</v>
      </c>
      <c r="C47" s="93">
        <v>2</v>
      </c>
      <c r="D47" s="126">
        <v>0.007001451185932712</v>
      </c>
      <c r="E47" s="126">
        <v>1.964966374831098</v>
      </c>
      <c r="F47" s="93" t="s">
        <v>739</v>
      </c>
      <c r="G47" s="93" t="b">
        <v>0</v>
      </c>
      <c r="H47" s="93" t="b">
        <v>0</v>
      </c>
      <c r="I47" s="93" t="b">
        <v>0</v>
      </c>
      <c r="J47" s="93" t="b">
        <v>0</v>
      </c>
      <c r="K47" s="93" t="b">
        <v>0</v>
      </c>
      <c r="L47" s="93" t="b">
        <v>0</v>
      </c>
    </row>
    <row r="48" spans="1:12" ht="15">
      <c r="A48" s="94" t="s">
        <v>774</v>
      </c>
      <c r="B48" s="93" t="s">
        <v>780</v>
      </c>
      <c r="C48" s="93">
        <v>2</v>
      </c>
      <c r="D48" s="126">
        <v>0.007001451185932712</v>
      </c>
      <c r="E48" s="126">
        <v>1.6639363791671167</v>
      </c>
      <c r="F48" s="93" t="s">
        <v>739</v>
      </c>
      <c r="G48" s="93" t="b">
        <v>0</v>
      </c>
      <c r="H48" s="93" t="b">
        <v>0</v>
      </c>
      <c r="I48" s="93" t="b">
        <v>0</v>
      </c>
      <c r="J48" s="93" t="b">
        <v>0</v>
      </c>
      <c r="K48" s="93" t="b">
        <v>0</v>
      </c>
      <c r="L48" s="93" t="b">
        <v>0</v>
      </c>
    </row>
    <row r="49" spans="1:12" ht="15">
      <c r="A49" s="94" t="s">
        <v>811</v>
      </c>
      <c r="B49" s="93" t="s">
        <v>812</v>
      </c>
      <c r="C49" s="93">
        <v>3</v>
      </c>
      <c r="D49" s="126">
        <v>0.0735598369062274</v>
      </c>
      <c r="E49" s="126">
        <v>0.8846065812979305</v>
      </c>
      <c r="F49" s="93" t="s">
        <v>740</v>
      </c>
      <c r="G49" s="93" t="b">
        <v>0</v>
      </c>
      <c r="H49" s="93" t="b">
        <v>0</v>
      </c>
      <c r="I49" s="93" t="b">
        <v>0</v>
      </c>
      <c r="J49" s="93" t="b">
        <v>0</v>
      </c>
      <c r="K49" s="93" t="b">
        <v>0</v>
      </c>
      <c r="L49" s="93" t="b">
        <v>0</v>
      </c>
    </row>
    <row r="50" spans="1:12" ht="15">
      <c r="A50" s="94" t="s">
        <v>866</v>
      </c>
      <c r="B50" s="93" t="s">
        <v>774</v>
      </c>
      <c r="C50" s="93">
        <v>2</v>
      </c>
      <c r="D50" s="126">
        <v>0.06243826422428866</v>
      </c>
      <c r="E50" s="126">
        <v>0.9378520932511555</v>
      </c>
      <c r="F50" s="93" t="s">
        <v>741</v>
      </c>
      <c r="G50" s="93" t="b">
        <v>0</v>
      </c>
      <c r="H50" s="93" t="b">
        <v>0</v>
      </c>
      <c r="I50" s="93" t="b">
        <v>0</v>
      </c>
      <c r="J50" s="93" t="b">
        <v>0</v>
      </c>
      <c r="K50" s="93" t="b">
        <v>0</v>
      </c>
      <c r="L50" s="93" t="b">
        <v>0</v>
      </c>
    </row>
    <row r="51" spans="1:12" ht="15">
      <c r="A51" s="94" t="s">
        <v>867</v>
      </c>
      <c r="B51" s="93" t="s">
        <v>868</v>
      </c>
      <c r="C51" s="93">
        <v>2</v>
      </c>
      <c r="D51" s="126">
        <v>0.037018134474712194</v>
      </c>
      <c r="E51" s="126">
        <v>1.1760912590556813</v>
      </c>
      <c r="F51" s="93" t="s">
        <v>742</v>
      </c>
      <c r="G51" s="93" t="b">
        <v>0</v>
      </c>
      <c r="H51" s="93" t="b">
        <v>0</v>
      </c>
      <c r="I51" s="93" t="b">
        <v>0</v>
      </c>
      <c r="J51" s="93" t="b">
        <v>0</v>
      </c>
      <c r="K51" s="93" t="b">
        <v>0</v>
      </c>
      <c r="L51" s="93" t="b">
        <v>0</v>
      </c>
    </row>
    <row r="52" spans="1:12" ht="15">
      <c r="A52" s="94" t="s">
        <v>775</v>
      </c>
      <c r="B52" s="93" t="s">
        <v>783</v>
      </c>
      <c r="C52" s="93">
        <v>2</v>
      </c>
      <c r="D52" s="126">
        <v>0.06259985481587087</v>
      </c>
      <c r="E52" s="126">
        <v>0.9030899869919435</v>
      </c>
      <c r="F52" s="93" t="s">
        <v>743</v>
      </c>
      <c r="G52" s="93" t="b">
        <v>0</v>
      </c>
      <c r="H52" s="93" t="b">
        <v>0</v>
      </c>
      <c r="I52" s="93" t="b">
        <v>0</v>
      </c>
      <c r="J52" s="93" t="b">
        <v>0</v>
      </c>
      <c r="K52" s="93" t="b">
        <v>0</v>
      </c>
      <c r="L52" s="93" t="b">
        <v>0</v>
      </c>
    </row>
    <row r="53" spans="1:12" ht="15">
      <c r="A53" s="94" t="s">
        <v>833</v>
      </c>
      <c r="B53" s="93" t="s">
        <v>775</v>
      </c>
      <c r="C53" s="93">
        <v>2</v>
      </c>
      <c r="D53" s="126">
        <v>0.06259985481587087</v>
      </c>
      <c r="E53" s="126">
        <v>0.9030899869919435</v>
      </c>
      <c r="F53" s="93" t="s">
        <v>743</v>
      </c>
      <c r="G53" s="93" t="b">
        <v>0</v>
      </c>
      <c r="H53" s="93" t="b">
        <v>0</v>
      </c>
      <c r="I53" s="93" t="b">
        <v>0</v>
      </c>
      <c r="J53" s="93" t="b">
        <v>0</v>
      </c>
      <c r="K53" s="93" t="b">
        <v>0</v>
      </c>
      <c r="L53" s="93" t="b">
        <v>0</v>
      </c>
    </row>
    <row r="54" spans="1:12" ht="15">
      <c r="A54" s="94" t="s">
        <v>780</v>
      </c>
      <c r="B54" s="93" t="s">
        <v>777</v>
      </c>
      <c r="C54" s="93">
        <v>4</v>
      </c>
      <c r="D54" s="126">
        <v>0.03010299956639812</v>
      </c>
      <c r="E54" s="126">
        <v>0.9542425094393249</v>
      </c>
      <c r="F54" s="93" t="s">
        <v>744</v>
      </c>
      <c r="G54" s="93" t="b">
        <v>0</v>
      </c>
      <c r="H54" s="93" t="b">
        <v>0</v>
      </c>
      <c r="I54" s="93" t="b">
        <v>0</v>
      </c>
      <c r="J54" s="93" t="b">
        <v>0</v>
      </c>
      <c r="K54" s="93" t="b">
        <v>0</v>
      </c>
      <c r="L54" s="93" t="b">
        <v>0</v>
      </c>
    </row>
    <row r="55" spans="1:12" ht="15">
      <c r="A55" s="94" t="s">
        <v>777</v>
      </c>
      <c r="B55" s="93" t="s">
        <v>778</v>
      </c>
      <c r="C55" s="93">
        <v>4</v>
      </c>
      <c r="D55" s="126">
        <v>0.03010299956639812</v>
      </c>
      <c r="E55" s="126">
        <v>0.7781512503836436</v>
      </c>
      <c r="F55" s="93" t="s">
        <v>744</v>
      </c>
      <c r="G55" s="93" t="b">
        <v>0</v>
      </c>
      <c r="H55" s="93" t="b">
        <v>0</v>
      </c>
      <c r="I55" s="93" t="b">
        <v>0</v>
      </c>
      <c r="J55" s="93" t="b">
        <v>0</v>
      </c>
      <c r="K55" s="93" t="b">
        <v>0</v>
      </c>
      <c r="L55" s="93" t="b">
        <v>0</v>
      </c>
    </row>
    <row r="56" spans="1:12" ht="15">
      <c r="A56" s="94" t="s">
        <v>778</v>
      </c>
      <c r="B56" s="93" t="s">
        <v>774</v>
      </c>
      <c r="C56" s="93">
        <v>4</v>
      </c>
      <c r="D56" s="126">
        <v>0.03010299956639812</v>
      </c>
      <c r="E56" s="126">
        <v>0.7781512503836436</v>
      </c>
      <c r="F56" s="93" t="s">
        <v>744</v>
      </c>
      <c r="G56" s="93" t="b">
        <v>0</v>
      </c>
      <c r="H56" s="93" t="b">
        <v>0</v>
      </c>
      <c r="I56" s="93" t="b">
        <v>0</v>
      </c>
      <c r="J56" s="93" t="b">
        <v>0</v>
      </c>
      <c r="K56" s="93" t="b">
        <v>0</v>
      </c>
      <c r="L56" s="93" t="b">
        <v>0</v>
      </c>
    </row>
    <row r="57" spans="1:12" ht="15">
      <c r="A57" s="94" t="s">
        <v>774</v>
      </c>
      <c r="B57" s="93" t="s">
        <v>780</v>
      </c>
      <c r="C57" s="93">
        <v>2</v>
      </c>
      <c r="D57" s="126">
        <v>0.01505149978319906</v>
      </c>
      <c r="E57" s="126">
        <v>0.9542425094393249</v>
      </c>
      <c r="F57" s="93" t="s">
        <v>744</v>
      </c>
      <c r="G57" s="93" t="b">
        <v>0</v>
      </c>
      <c r="H57" s="93" t="b">
        <v>0</v>
      </c>
      <c r="I57" s="93" t="b">
        <v>0</v>
      </c>
      <c r="J57" s="93" t="b">
        <v>0</v>
      </c>
      <c r="K57" s="93" t="b">
        <v>0</v>
      </c>
      <c r="L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2021-06-15T11:49:16Z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